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ЦяКнига"/>
  <mc:AlternateContent xmlns:mc="http://schemas.openxmlformats.org/markup-compatibility/2006">
    <mc:Choice Requires="x15">
      <x15ac:absPath xmlns:x15ac="http://schemas.microsoft.com/office/spreadsheetml/2010/11/ac" url="\\docs\zagvid\Рішення 2025\16.12.2025пз\"/>
    </mc:Choice>
  </mc:AlternateContent>
  <bookViews>
    <workbookView xWindow="0" yWindow="0" windowWidth="28800" windowHeight="12435" tabRatio="583" activeTab="8"/>
  </bookViews>
  <sheets>
    <sheet name="d1" sheetId="188" r:id="rId1"/>
    <sheet name="d2" sheetId="172" r:id="rId2"/>
    <sheet name="d3" sheetId="165" r:id="rId3"/>
    <sheet name="d4" sheetId="107" r:id="rId4"/>
    <sheet name="d5" sheetId="170" r:id="rId5"/>
    <sheet name="d6" sheetId="184" r:id="rId6"/>
    <sheet name="d7" sheetId="167" r:id="rId7"/>
    <sheet name="d8" sheetId="108" r:id="rId8"/>
    <sheet name="d9" sheetId="197" r:id="rId9"/>
  </sheets>
  <definedNames>
    <definedName name="_GoBack" localSheetId="5">'d6'!#REF!</definedName>
    <definedName name="_xlnm.Print_Titles" localSheetId="2">'d3'!$11:$14</definedName>
    <definedName name="_xlnm.Print_Titles" localSheetId="5">'d6'!$9:$11</definedName>
    <definedName name="_xlnm.Print_Titles" localSheetId="6">'d7'!$12:$14</definedName>
    <definedName name="_xlnm.Print_Area" localSheetId="0">'d1'!$A$1:$F$165</definedName>
    <definedName name="_xlnm.Print_Area" localSheetId="1">'d2'!$A$1:$F$67</definedName>
    <definedName name="_xlnm.Print_Area" localSheetId="2">'d3'!$A$1:$P$467</definedName>
    <definedName name="_xlnm.Print_Area" localSheetId="3">'d4'!$B$1:$Q$35</definedName>
    <definedName name="_xlnm.Print_Area" localSheetId="4">'d5'!$A$1:$D$128</definedName>
    <definedName name="_xlnm.Print_Area" localSheetId="5">'d6'!$B$1:$O$89</definedName>
    <definedName name="_xlnm.Print_Area" localSheetId="6">'d7'!$A$1:$J$405</definedName>
    <definedName name="_xlnm.Print_Area" localSheetId="7">'d8'!$A$1:$D$42</definedName>
    <definedName name="_xlnm.Print_Area" localSheetId="8">'d9'!$A$1:$F$47</definedName>
    <definedName name="С16" localSheetId="0">#REF!</definedName>
    <definedName name="С16" localSheetId="1">#REF!</definedName>
    <definedName name="С16" localSheetId="4">#REF!</definedName>
    <definedName name="С16" localSheetId="5">#REF!</definedName>
    <definedName name="С16" localSheetId="6">#REF!</definedName>
    <definedName name="С16" localSheetId="8">#REF!</definedName>
    <definedName name="С16">#REF!</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462" i="165" l="1"/>
  <c r="F48" i="165"/>
  <c r="I48" i="165"/>
  <c r="J293" i="167"/>
  <c r="I293" i="167"/>
  <c r="K321" i="165"/>
  <c r="K316" i="165"/>
  <c r="F38" i="197"/>
  <c r="M462" i="165"/>
  <c r="M474" i="165" s="1"/>
  <c r="E462" i="165"/>
  <c r="F121" i="165"/>
  <c r="H462" i="165"/>
  <c r="G462" i="165"/>
  <c r="I121" i="165" l="1"/>
  <c r="H243" i="167"/>
  <c r="H242" i="167"/>
  <c r="H49" i="167" l="1"/>
  <c r="Q232" i="165" l="1"/>
  <c r="Q211" i="165"/>
  <c r="Q149" i="165"/>
  <c r="Q49" i="165"/>
  <c r="L462" i="165"/>
  <c r="L475" i="165"/>
  <c r="F55" i="165"/>
  <c r="F54" i="165"/>
  <c r="F52" i="165"/>
  <c r="H197" i="165"/>
  <c r="H167" i="165"/>
  <c r="G197" i="165"/>
  <c r="H166" i="165"/>
  <c r="H152" i="165"/>
  <c r="F462" i="165"/>
  <c r="P462" i="165"/>
  <c r="Q372" i="165"/>
  <c r="G160" i="188"/>
  <c r="J159" i="188"/>
  <c r="I159" i="188"/>
  <c r="H159" i="188"/>
  <c r="G159" i="188"/>
  <c r="D115" i="188"/>
  <c r="H134" i="167" l="1"/>
  <c r="E139" i="165"/>
  <c r="E132" i="165"/>
  <c r="E131" i="165"/>
  <c r="E127" i="165"/>
  <c r="E124" i="165"/>
  <c r="E123" i="165"/>
  <c r="E122" i="165"/>
  <c r="J29" i="184"/>
  <c r="J28" i="184" s="1"/>
  <c r="O28" i="184"/>
  <c r="N28" i="184"/>
  <c r="M28" i="184"/>
  <c r="L28" i="184"/>
  <c r="K28" i="184"/>
  <c r="J27" i="184"/>
  <c r="J26" i="184" s="1"/>
  <c r="O26" i="184"/>
  <c r="N26" i="184"/>
  <c r="M26" i="184"/>
  <c r="L26" i="184"/>
  <c r="K26" i="184"/>
  <c r="J25" i="184"/>
  <c r="J24" i="184" s="1"/>
  <c r="O24" i="184"/>
  <c r="N24" i="184"/>
  <c r="M24" i="184"/>
  <c r="L24" i="184"/>
  <c r="K24" i="184"/>
  <c r="J23" i="184"/>
  <c r="J22" i="184" s="1"/>
  <c r="O22" i="184"/>
  <c r="N22" i="184"/>
  <c r="M22" i="184"/>
  <c r="L22" i="184"/>
  <c r="K22" i="184"/>
  <c r="J21" i="184"/>
  <c r="J20" i="184" s="1"/>
  <c r="O20" i="184"/>
  <c r="O19" i="184" s="1"/>
  <c r="N20" i="184"/>
  <c r="N19" i="184" s="1"/>
  <c r="M20" i="184"/>
  <c r="M19" i="184" s="1"/>
  <c r="L20" i="184"/>
  <c r="K20" i="184"/>
  <c r="E121" i="165"/>
  <c r="H123" i="167" s="1"/>
  <c r="E118" i="165"/>
  <c r="Q233" i="165"/>
  <c r="O285" i="165"/>
  <c r="O238" i="165"/>
  <c r="E248" i="165"/>
  <c r="E258" i="165"/>
  <c r="H239" i="165"/>
  <c r="F239" i="165"/>
  <c r="H238" i="165"/>
  <c r="E239" i="165"/>
  <c r="E238" i="165"/>
  <c r="E254" i="165"/>
  <c r="E253" i="165"/>
  <c r="E252" i="165"/>
  <c r="E245" i="165"/>
  <c r="E243" i="165"/>
  <c r="E242" i="165"/>
  <c r="H247" i="165"/>
  <c r="G247" i="165"/>
  <c r="F247" i="165"/>
  <c r="E247" i="165" s="1"/>
  <c r="I247" i="165"/>
  <c r="M17" i="107"/>
  <c r="I18" i="107"/>
  <c r="P18" i="107"/>
  <c r="P17" i="107"/>
  <c r="N462" i="165"/>
  <c r="Q212" i="165"/>
  <c r="E226" i="165"/>
  <c r="F222" i="165"/>
  <c r="E222" i="165"/>
  <c r="H221" i="165"/>
  <c r="E221" i="165"/>
  <c r="H218" i="165"/>
  <c r="E218" i="165"/>
  <c r="F218" i="165"/>
  <c r="H217" i="165"/>
  <c r="E217" i="165"/>
  <c r="H216" i="165"/>
  <c r="F216" i="165"/>
  <c r="F214" i="165"/>
  <c r="H214" i="165"/>
  <c r="E214" i="165"/>
  <c r="O221" i="165"/>
  <c r="O214" i="165"/>
  <c r="O218" i="165"/>
  <c r="O217" i="165"/>
  <c r="O216" i="165"/>
  <c r="E216" i="165"/>
  <c r="G112" i="167"/>
  <c r="O101" i="165"/>
  <c r="J101" i="165"/>
  <c r="I98" i="165"/>
  <c r="N98" i="165"/>
  <c r="M98" i="165"/>
  <c r="L98" i="165"/>
  <c r="K98" i="165"/>
  <c r="H98" i="165"/>
  <c r="G98" i="165"/>
  <c r="F98" i="165"/>
  <c r="O67" i="165"/>
  <c r="O64" i="165"/>
  <c r="O62" i="165"/>
  <c r="O54" i="165"/>
  <c r="O52" i="165"/>
  <c r="O197" i="165"/>
  <c r="N197" i="165"/>
  <c r="M197" i="165"/>
  <c r="L197" i="165"/>
  <c r="N166" i="165"/>
  <c r="O93" i="165"/>
  <c r="O90" i="165"/>
  <c r="I64" i="165"/>
  <c r="I106" i="165"/>
  <c r="I54" i="165"/>
  <c r="I52" i="165"/>
  <c r="E106" i="165"/>
  <c r="H18" i="165"/>
  <c r="O15" i="184"/>
  <c r="N15" i="184"/>
  <c r="M15" i="184"/>
  <c r="L15" i="184"/>
  <c r="K15" i="184"/>
  <c r="J15" i="184"/>
  <c r="J106" i="167"/>
  <c r="I106" i="167"/>
  <c r="G106" i="167" s="1"/>
  <c r="K94" i="165"/>
  <c r="K106" i="167"/>
  <c r="J14" i="184"/>
  <c r="J13" i="184" s="1"/>
  <c r="O13" i="184"/>
  <c r="N13" i="184"/>
  <c r="M13" i="184"/>
  <c r="L13" i="184"/>
  <c r="K13" i="184"/>
  <c r="J19" i="184" l="1"/>
  <c r="K19" i="184"/>
  <c r="L19" i="184"/>
  <c r="E101" i="165"/>
  <c r="M106" i="167"/>
  <c r="J80" i="184"/>
  <c r="J79" i="184" s="1"/>
  <c r="O79" i="184"/>
  <c r="N79" i="184"/>
  <c r="M79" i="184"/>
  <c r="L79" i="184"/>
  <c r="K79" i="184"/>
  <c r="F56" i="165"/>
  <c r="E56" i="165" s="1"/>
  <c r="E52" i="165"/>
  <c r="I56" i="165"/>
  <c r="I55" i="165"/>
  <c r="F67" i="165"/>
  <c r="F62" i="165"/>
  <c r="E62" i="165" s="1"/>
  <c r="G62" i="165"/>
  <c r="F68" i="165"/>
  <c r="F64" i="165"/>
  <c r="F72" i="165"/>
  <c r="F70" i="165"/>
  <c r="E70" i="165" s="1"/>
  <c r="H52" i="165"/>
  <c r="H72" i="165"/>
  <c r="H70" i="165"/>
  <c r="H67" i="165"/>
  <c r="H64" i="165"/>
  <c r="H62" i="165"/>
  <c r="H56" i="165"/>
  <c r="H55" i="165"/>
  <c r="H54" i="165"/>
  <c r="G64" i="165"/>
  <c r="E99" i="165"/>
  <c r="E55" i="165"/>
  <c r="E68" i="165"/>
  <c r="G72" i="165"/>
  <c r="G70" i="165"/>
  <c r="G67" i="165"/>
  <c r="G56" i="165"/>
  <c r="G55" i="165"/>
  <c r="G54" i="165"/>
  <c r="G52" i="165"/>
  <c r="E72" i="165"/>
  <c r="E67" i="165"/>
  <c r="E64" i="165"/>
  <c r="D112" i="170"/>
  <c r="D93" i="170"/>
  <c r="M44" i="167"/>
  <c r="G45" i="167"/>
  <c r="F41" i="165"/>
  <c r="E48" i="165"/>
  <c r="E32" i="165"/>
  <c r="E46" i="165"/>
  <c r="E41" i="165"/>
  <c r="M24" i="167"/>
  <c r="H27" i="167"/>
  <c r="H24" i="167"/>
  <c r="E21" i="165"/>
  <c r="E34" i="165"/>
  <c r="E40" i="165"/>
  <c r="E29" i="165"/>
  <c r="E26" i="165"/>
  <c r="E37" i="165"/>
  <c r="D30" i="108"/>
  <c r="D35" i="108"/>
  <c r="D27" i="108"/>
  <c r="P101" i="165" l="1"/>
  <c r="E54" i="165"/>
  <c r="L36" i="165"/>
  <c r="E43" i="165"/>
  <c r="F18" i="165"/>
  <c r="E18" i="165" s="1"/>
  <c r="M28" i="107" l="1"/>
  <c r="E451" i="165"/>
  <c r="E453" i="165"/>
  <c r="E459" i="165"/>
  <c r="E445" i="165"/>
  <c r="E436" i="165"/>
  <c r="E426" i="165"/>
  <c r="F385" i="165"/>
  <c r="E385" i="165"/>
  <c r="E340" i="165"/>
  <c r="E305" i="165"/>
  <c r="E272" i="165"/>
  <c r="E439" i="165"/>
  <c r="E432" i="165"/>
  <c r="J70" i="184"/>
  <c r="J69" i="184" s="1"/>
  <c r="O69" i="184"/>
  <c r="N69" i="184"/>
  <c r="M69" i="184"/>
  <c r="L69" i="184"/>
  <c r="K69" i="184"/>
  <c r="G353" i="167"/>
  <c r="O388" i="165"/>
  <c r="N388" i="165"/>
  <c r="M388" i="165"/>
  <c r="L388" i="165"/>
  <c r="K388" i="165"/>
  <c r="I388" i="165"/>
  <c r="H388" i="165"/>
  <c r="G388" i="165"/>
  <c r="F388" i="165"/>
  <c r="E388" i="165"/>
  <c r="O389" i="165"/>
  <c r="J389" i="165"/>
  <c r="J388" i="165" s="1"/>
  <c r="E400" i="165"/>
  <c r="E394" i="165"/>
  <c r="E392" i="165"/>
  <c r="G330" i="167"/>
  <c r="O359" i="165"/>
  <c r="J359" i="165" s="1"/>
  <c r="N358" i="165"/>
  <c r="M358" i="165"/>
  <c r="L358" i="165"/>
  <c r="K358" i="165"/>
  <c r="I358" i="165"/>
  <c r="H358" i="165"/>
  <c r="G358" i="165"/>
  <c r="F358" i="165"/>
  <c r="E358" i="165"/>
  <c r="J68" i="184"/>
  <c r="J67" i="184" s="1"/>
  <c r="O67" i="184"/>
  <c r="N67" i="184"/>
  <c r="M67" i="184"/>
  <c r="L67" i="184"/>
  <c r="K67" i="184"/>
  <c r="J77" i="184"/>
  <c r="J76" i="184" s="1"/>
  <c r="O76" i="184"/>
  <c r="N76" i="184"/>
  <c r="M76" i="184"/>
  <c r="L76" i="184"/>
  <c r="K76" i="184"/>
  <c r="J75" i="184"/>
  <c r="J74" i="184" s="1"/>
  <c r="O74" i="184"/>
  <c r="N74" i="184"/>
  <c r="M74" i="184"/>
  <c r="L74" i="184"/>
  <c r="K74" i="184"/>
  <c r="I336" i="167"/>
  <c r="G336" i="167" s="1"/>
  <c r="J336" i="167"/>
  <c r="G325" i="167"/>
  <c r="H345" i="165"/>
  <c r="O347" i="165"/>
  <c r="J347" i="165" s="1"/>
  <c r="P347" i="165" s="1"/>
  <c r="N346" i="165"/>
  <c r="N345" i="165" s="1"/>
  <c r="M346" i="165"/>
  <c r="M345" i="165" s="1"/>
  <c r="L346" i="165"/>
  <c r="L345" i="165" s="1"/>
  <c r="I346" i="165"/>
  <c r="I345" i="165" s="1"/>
  <c r="H346" i="165"/>
  <c r="G346" i="165"/>
  <c r="G345" i="165" s="1"/>
  <c r="F346" i="165"/>
  <c r="F345" i="165" s="1"/>
  <c r="J39" i="184"/>
  <c r="J38" i="184" s="1"/>
  <c r="O38" i="184"/>
  <c r="N38" i="184"/>
  <c r="M38" i="184"/>
  <c r="L38" i="184"/>
  <c r="K38" i="184"/>
  <c r="J48" i="184"/>
  <c r="J47" i="184" s="1"/>
  <c r="J46" i="184" s="1"/>
  <c r="O47" i="184"/>
  <c r="O46" i="184" s="1"/>
  <c r="N47" i="184"/>
  <c r="N46" i="184" s="1"/>
  <c r="M47" i="184"/>
  <c r="M46" i="184" s="1"/>
  <c r="L47" i="184"/>
  <c r="L46" i="184" s="1"/>
  <c r="K47" i="184"/>
  <c r="K46" i="184" s="1"/>
  <c r="G329" i="167"/>
  <c r="E355" i="165"/>
  <c r="E354" i="165" s="1"/>
  <c r="F355" i="165"/>
  <c r="F354" i="165" s="1"/>
  <c r="G355" i="165"/>
  <c r="G354" i="165" s="1"/>
  <c r="H355" i="165"/>
  <c r="H354" i="165" s="1"/>
  <c r="I355" i="165"/>
  <c r="I354" i="165" s="1"/>
  <c r="K355" i="165"/>
  <c r="K354" i="165" s="1"/>
  <c r="L355" i="165"/>
  <c r="L354" i="165" s="1"/>
  <c r="M355" i="165"/>
  <c r="M354" i="165" s="1"/>
  <c r="N355" i="165"/>
  <c r="N354" i="165" s="1"/>
  <c r="O357" i="165"/>
  <c r="J357" i="165" s="1"/>
  <c r="P357" i="165" s="1"/>
  <c r="J32" i="184"/>
  <c r="J31" i="184" s="1"/>
  <c r="J30" i="184" s="1"/>
  <c r="O31" i="184"/>
  <c r="O30" i="184" s="1"/>
  <c r="N31" i="184"/>
  <c r="N30" i="184" s="1"/>
  <c r="M31" i="184"/>
  <c r="M30" i="184" s="1"/>
  <c r="L31" i="184"/>
  <c r="L30" i="184" s="1"/>
  <c r="K31" i="184"/>
  <c r="K30" i="184" s="1"/>
  <c r="G326" i="167"/>
  <c r="N350" i="165"/>
  <c r="M350" i="165"/>
  <c r="L350" i="165"/>
  <c r="K350" i="165"/>
  <c r="I350" i="165"/>
  <c r="H350" i="165"/>
  <c r="G350" i="165"/>
  <c r="F350" i="165"/>
  <c r="E350" i="165"/>
  <c r="O351" i="165"/>
  <c r="J351" i="165" s="1"/>
  <c r="P351" i="165" s="1"/>
  <c r="J82" i="184"/>
  <c r="J81" i="184" s="1"/>
  <c r="J78" i="184" s="1"/>
  <c r="O81" i="184"/>
  <c r="O78" i="184" s="1"/>
  <c r="N81" i="184"/>
  <c r="N78" i="184" s="1"/>
  <c r="M81" i="184"/>
  <c r="M78" i="184" s="1"/>
  <c r="L81" i="184"/>
  <c r="L78" i="184" s="1"/>
  <c r="K81" i="184"/>
  <c r="K78" i="184" s="1"/>
  <c r="J18" i="184"/>
  <c r="J17" i="184" s="1"/>
  <c r="J12" i="184" s="1"/>
  <c r="O17" i="184"/>
  <c r="O12" i="184" s="1"/>
  <c r="N17" i="184"/>
  <c r="N12" i="184" s="1"/>
  <c r="M17" i="184"/>
  <c r="M12" i="184" s="1"/>
  <c r="L17" i="184"/>
  <c r="L12" i="184" s="1"/>
  <c r="K17" i="184"/>
  <c r="K12" i="184" s="1"/>
  <c r="J73" i="184"/>
  <c r="J72" i="184" s="1"/>
  <c r="O72" i="184"/>
  <c r="N72" i="184"/>
  <c r="M72" i="184"/>
  <c r="L72" i="184"/>
  <c r="K72" i="184"/>
  <c r="J61" i="184"/>
  <c r="J60" i="184" s="1"/>
  <c r="O60" i="184"/>
  <c r="N60" i="184"/>
  <c r="M60" i="184"/>
  <c r="L60" i="184"/>
  <c r="K60" i="184"/>
  <c r="G293" i="167"/>
  <c r="O321" i="165"/>
  <c r="J321" i="165" s="1"/>
  <c r="P321" i="165" s="1"/>
  <c r="O320" i="165"/>
  <c r="J57" i="184"/>
  <c r="J56" i="184" s="1"/>
  <c r="O56" i="184"/>
  <c r="N56" i="184"/>
  <c r="M56" i="184"/>
  <c r="L56" i="184"/>
  <c r="K56" i="184"/>
  <c r="J66" i="184"/>
  <c r="J65" i="184" s="1"/>
  <c r="O65" i="184"/>
  <c r="O64" i="184" s="1"/>
  <c r="N65" i="184"/>
  <c r="N64" i="184" s="1"/>
  <c r="M65" i="184"/>
  <c r="M64" i="184" s="1"/>
  <c r="L65" i="184"/>
  <c r="L64" i="184" s="1"/>
  <c r="K65" i="184"/>
  <c r="K64" i="184" s="1"/>
  <c r="J55" i="184"/>
  <c r="J54" i="184" s="1"/>
  <c r="O54" i="184"/>
  <c r="N54" i="184"/>
  <c r="M54" i="184"/>
  <c r="L54" i="184"/>
  <c r="K54" i="184"/>
  <c r="J59" i="184"/>
  <c r="J58" i="184" s="1"/>
  <c r="O58" i="184"/>
  <c r="N58" i="184"/>
  <c r="M58" i="184"/>
  <c r="L58" i="184"/>
  <c r="K58" i="184"/>
  <c r="O50" i="184"/>
  <c r="O52" i="184"/>
  <c r="J53" i="184"/>
  <c r="J52" i="184" s="1"/>
  <c r="N52" i="184"/>
  <c r="M52" i="184"/>
  <c r="L52" i="184"/>
  <c r="K52" i="184"/>
  <c r="J51" i="184"/>
  <c r="J50" i="184" s="1"/>
  <c r="J49" i="184" s="1"/>
  <c r="N50" i="184"/>
  <c r="N49" i="184" s="1"/>
  <c r="M50" i="184"/>
  <c r="M49" i="184" s="1"/>
  <c r="L50" i="184"/>
  <c r="L49" i="184" s="1"/>
  <c r="K50" i="184"/>
  <c r="J63" i="184"/>
  <c r="J62" i="184" s="1"/>
  <c r="O62" i="184"/>
  <c r="N62" i="184"/>
  <c r="M62" i="184"/>
  <c r="L62" i="184"/>
  <c r="K62" i="184"/>
  <c r="E336" i="165"/>
  <c r="G346" i="167"/>
  <c r="O379" i="165"/>
  <c r="J379" i="165" s="1"/>
  <c r="P379" i="165" s="1"/>
  <c r="N378" i="165"/>
  <c r="M378" i="165"/>
  <c r="L378" i="165"/>
  <c r="I378" i="165"/>
  <c r="H378" i="165"/>
  <c r="G378" i="165"/>
  <c r="F378" i="165"/>
  <c r="E378" i="165"/>
  <c r="E331" i="165"/>
  <c r="G286" i="167"/>
  <c r="E315" i="165"/>
  <c r="H282" i="167"/>
  <c r="E314" i="165"/>
  <c r="E313" i="165"/>
  <c r="E311" i="165"/>
  <c r="E310" i="165"/>
  <c r="H274" i="167" s="1"/>
  <c r="E307" i="165"/>
  <c r="H273" i="167" s="1"/>
  <c r="E374" i="165"/>
  <c r="J37" i="184"/>
  <c r="J36" i="184" s="1"/>
  <c r="O36" i="184"/>
  <c r="N36" i="184"/>
  <c r="M36" i="184"/>
  <c r="L36" i="184"/>
  <c r="K36" i="184"/>
  <c r="K34" i="184"/>
  <c r="G186" i="167"/>
  <c r="J45" i="184"/>
  <c r="J44" i="184" s="1"/>
  <c r="O44" i="184"/>
  <c r="N44" i="184"/>
  <c r="M44" i="184"/>
  <c r="L44" i="184"/>
  <c r="K44" i="184"/>
  <c r="J43" i="184"/>
  <c r="J42" i="184" s="1"/>
  <c r="O42" i="184"/>
  <c r="N42" i="184"/>
  <c r="M42" i="184"/>
  <c r="L42" i="184"/>
  <c r="K42" i="184"/>
  <c r="K200" i="165"/>
  <c r="M187" i="167" s="1"/>
  <c r="I197" i="165"/>
  <c r="E197" i="165" s="1"/>
  <c r="H178" i="167" s="1"/>
  <c r="E207" i="165"/>
  <c r="H190" i="167" s="1"/>
  <c r="J41" i="184"/>
  <c r="J40" i="184" s="1"/>
  <c r="O40" i="184"/>
  <c r="N40" i="184"/>
  <c r="M40" i="184"/>
  <c r="L40" i="184"/>
  <c r="K40" i="184"/>
  <c r="K187" i="167"/>
  <c r="E169" i="165"/>
  <c r="H165" i="167" s="1"/>
  <c r="H160" i="167"/>
  <c r="E164" i="165"/>
  <c r="E175" i="165"/>
  <c r="H170" i="167" s="1"/>
  <c r="E162" i="165"/>
  <c r="H158" i="167" s="1"/>
  <c r="E195" i="165"/>
  <c r="H177" i="167" s="1"/>
  <c r="E179" i="165"/>
  <c r="H176" i="167" s="1"/>
  <c r="E173" i="165"/>
  <c r="H172" i="165"/>
  <c r="E172" i="165"/>
  <c r="H168" i="167" s="1"/>
  <c r="H171" i="165"/>
  <c r="E171" i="165"/>
  <c r="H166" i="167" s="1"/>
  <c r="G167" i="165"/>
  <c r="E167" i="165"/>
  <c r="H159" i="167"/>
  <c r="H157" i="167"/>
  <c r="E166" i="165"/>
  <c r="E163" i="165"/>
  <c r="E161" i="165"/>
  <c r="H156" i="167"/>
  <c r="H155" i="167"/>
  <c r="H154" i="167"/>
  <c r="E160" i="165"/>
  <c r="E159" i="165"/>
  <c r="H185" i="167"/>
  <c r="H180" i="167"/>
  <c r="E198" i="165"/>
  <c r="E178" i="165"/>
  <c r="K174" i="167" s="1"/>
  <c r="E176" i="165"/>
  <c r="K171" i="167" s="1"/>
  <c r="E158" i="165"/>
  <c r="E157" i="165"/>
  <c r="E154" i="165"/>
  <c r="E152" i="165"/>
  <c r="E407" i="165"/>
  <c r="E410" i="165"/>
  <c r="E412" i="165"/>
  <c r="H332" i="165"/>
  <c r="E332" i="165"/>
  <c r="O272" i="165"/>
  <c r="E282" i="165"/>
  <c r="J64" i="184" l="1"/>
  <c r="K49" i="184"/>
  <c r="O49" i="184"/>
  <c r="O71" i="184"/>
  <c r="J71" i="184"/>
  <c r="N71" i="184"/>
  <c r="K71" i="184"/>
  <c r="L71" i="184"/>
  <c r="M71" i="184"/>
  <c r="P389" i="165"/>
  <c r="P388" i="165" s="1"/>
  <c r="P359" i="165"/>
  <c r="P358" i="165" s="1"/>
  <c r="J358" i="165"/>
  <c r="O358" i="165"/>
  <c r="K33" i="184"/>
  <c r="K180" i="167"/>
  <c r="E170" i="165"/>
  <c r="E156" i="165"/>
  <c r="E196" i="165"/>
  <c r="K83" i="184" l="1"/>
  <c r="P84" i="184" s="1"/>
  <c r="J35" i="184"/>
  <c r="J34" i="184" s="1"/>
  <c r="L34" i="184"/>
  <c r="M34" i="184"/>
  <c r="N34" i="184"/>
  <c r="O34" i="184"/>
  <c r="G241" i="167"/>
  <c r="O277" i="165"/>
  <c r="J277" i="165" s="1"/>
  <c r="P277" i="165" s="1"/>
  <c r="N275" i="165"/>
  <c r="M275" i="165"/>
  <c r="L275" i="165"/>
  <c r="K275" i="165"/>
  <c r="I275" i="165"/>
  <c r="H275" i="165"/>
  <c r="G275" i="165"/>
  <c r="F275" i="165"/>
  <c r="E275" i="165"/>
  <c r="E299" i="165"/>
  <c r="E286" i="165"/>
  <c r="E285" i="165"/>
  <c r="E284" i="165"/>
  <c r="E283" i="165"/>
  <c r="E280" i="165"/>
  <c r="E393" i="165"/>
  <c r="E143" i="165"/>
  <c r="E140" i="165" s="1"/>
  <c r="J33" i="184" l="1"/>
  <c r="J83" i="184" s="1"/>
  <c r="O33" i="184"/>
  <c r="O83" i="184" s="1"/>
  <c r="N33" i="184"/>
  <c r="N83" i="184" s="1"/>
  <c r="M33" i="184"/>
  <c r="M83" i="184" s="1"/>
  <c r="L33" i="184"/>
  <c r="L83" i="184" s="1"/>
  <c r="I17" i="165" l="1"/>
  <c r="L17" i="165"/>
  <c r="M17" i="165"/>
  <c r="N17" i="165"/>
  <c r="G17" i="165"/>
  <c r="K17" i="165"/>
  <c r="O19" i="165"/>
  <c r="O20" i="165"/>
  <c r="O21" i="165"/>
  <c r="J21" i="165" s="1"/>
  <c r="L24" i="167" s="1"/>
  <c r="G23" i="165"/>
  <c r="H23" i="165"/>
  <c r="I23" i="165"/>
  <c r="K23" i="165"/>
  <c r="L23" i="165"/>
  <c r="M23" i="165"/>
  <c r="N23" i="165"/>
  <c r="O23" i="165"/>
  <c r="F23" i="165"/>
  <c r="J24" i="165"/>
  <c r="J23" i="165" s="1"/>
  <c r="G25" i="165"/>
  <c r="H25" i="165"/>
  <c r="I25" i="165"/>
  <c r="L25" i="165"/>
  <c r="M25" i="165"/>
  <c r="N25" i="165"/>
  <c r="G28" i="165"/>
  <c r="H28" i="165"/>
  <c r="I28" i="165"/>
  <c r="L28" i="165"/>
  <c r="M28" i="165"/>
  <c r="N28" i="165"/>
  <c r="F28" i="165"/>
  <c r="E30" i="165"/>
  <c r="J30" i="165"/>
  <c r="O32" i="165"/>
  <c r="O33" i="165"/>
  <c r="J33" i="165" s="1"/>
  <c r="P33" i="165" s="1"/>
  <c r="O34" i="165"/>
  <c r="G35" i="165"/>
  <c r="H35" i="165"/>
  <c r="H31" i="165" s="1"/>
  <c r="I35" i="165"/>
  <c r="K35" i="165"/>
  <c r="K31" i="165" s="1"/>
  <c r="M35" i="165"/>
  <c r="N35" i="165"/>
  <c r="N31" i="165" s="1"/>
  <c r="O35" i="165"/>
  <c r="F35" i="165"/>
  <c r="J37" i="165"/>
  <c r="G39" i="165"/>
  <c r="H39" i="165"/>
  <c r="I39" i="165"/>
  <c r="L39" i="165"/>
  <c r="M39" i="165"/>
  <c r="N39" i="165"/>
  <c r="O41" i="165"/>
  <c r="J41" i="165" s="1"/>
  <c r="L44" i="167" s="1"/>
  <c r="F42" i="165"/>
  <c r="G42" i="165"/>
  <c r="H42" i="165"/>
  <c r="I42" i="165"/>
  <c r="L42" i="165"/>
  <c r="M42" i="165"/>
  <c r="N42" i="165"/>
  <c r="E42" i="165"/>
  <c r="K42" i="165"/>
  <c r="G45" i="165"/>
  <c r="G44" i="165" s="1"/>
  <c r="H45" i="165"/>
  <c r="I45" i="165"/>
  <c r="I44" i="165" s="1"/>
  <c r="L45" i="165"/>
  <c r="M45" i="165"/>
  <c r="M44" i="165" s="1"/>
  <c r="N45" i="165"/>
  <c r="O46" i="165"/>
  <c r="J46" i="165" s="1"/>
  <c r="F47" i="165"/>
  <c r="K47" i="165"/>
  <c r="K45" i="165" s="1"/>
  <c r="O48" i="165"/>
  <c r="J48" i="165" s="1"/>
  <c r="I53" i="165"/>
  <c r="M53" i="165"/>
  <c r="O55" i="165"/>
  <c r="J55" i="165" s="1"/>
  <c r="O56" i="165"/>
  <c r="J56" i="165" s="1"/>
  <c r="H57" i="165"/>
  <c r="I57" i="165"/>
  <c r="K57" i="165"/>
  <c r="L57" i="165"/>
  <c r="M57" i="165"/>
  <c r="N57" i="165"/>
  <c r="O58" i="165"/>
  <c r="O57" i="165" s="1"/>
  <c r="J59" i="165"/>
  <c r="F60" i="165"/>
  <c r="G60" i="165"/>
  <c r="H60" i="165"/>
  <c r="I60" i="165"/>
  <c r="K60" i="165"/>
  <c r="L60" i="165"/>
  <c r="M60" i="165"/>
  <c r="N60" i="165"/>
  <c r="E61" i="165"/>
  <c r="O61" i="165"/>
  <c r="J62" i="165"/>
  <c r="I63" i="165"/>
  <c r="L63" i="165"/>
  <c r="M63" i="165"/>
  <c r="N63" i="165"/>
  <c r="H63" i="165"/>
  <c r="K63" i="165"/>
  <c r="J65" i="165"/>
  <c r="I66" i="165"/>
  <c r="L66" i="165"/>
  <c r="M66" i="165"/>
  <c r="N66" i="165"/>
  <c r="G66" i="165"/>
  <c r="O68" i="165"/>
  <c r="J68" i="165" s="1"/>
  <c r="I69" i="165"/>
  <c r="K69" i="165"/>
  <c r="L69" i="165"/>
  <c r="M69" i="165"/>
  <c r="N69" i="165"/>
  <c r="H69" i="165"/>
  <c r="O70" i="165"/>
  <c r="J70" i="165" s="1"/>
  <c r="O71" i="165"/>
  <c r="J71" i="165" s="1"/>
  <c r="O72" i="165"/>
  <c r="J72" i="165" s="1"/>
  <c r="F73" i="165"/>
  <c r="G73" i="165"/>
  <c r="H73" i="165"/>
  <c r="I73" i="165"/>
  <c r="K73" i="165"/>
  <c r="L73" i="165"/>
  <c r="M73" i="165"/>
  <c r="N73" i="165"/>
  <c r="E74" i="165"/>
  <c r="O74" i="165"/>
  <c r="E75" i="165"/>
  <c r="O75" i="165"/>
  <c r="J75" i="165" s="1"/>
  <c r="O76" i="165"/>
  <c r="J76" i="165" s="1"/>
  <c r="O77" i="165"/>
  <c r="J77" i="165" s="1"/>
  <c r="O78" i="165"/>
  <c r="J78" i="165" s="1"/>
  <c r="E79" i="165"/>
  <c r="O79" i="165"/>
  <c r="J79" i="165" s="1"/>
  <c r="G80" i="165"/>
  <c r="H80" i="165"/>
  <c r="I80" i="165"/>
  <c r="K80" i="165"/>
  <c r="L80" i="165"/>
  <c r="M80" i="165"/>
  <c r="N80" i="165"/>
  <c r="E81" i="165"/>
  <c r="O81" i="165"/>
  <c r="O80" i="165" s="1"/>
  <c r="F82" i="165"/>
  <c r="E82" i="165" s="1"/>
  <c r="O82" i="165"/>
  <c r="J82" i="165" s="1"/>
  <c r="F83" i="165"/>
  <c r="G83" i="165"/>
  <c r="H83" i="165"/>
  <c r="I83" i="165"/>
  <c r="L83" i="165"/>
  <c r="M83" i="165"/>
  <c r="N83" i="165"/>
  <c r="K83" i="165"/>
  <c r="E85" i="165"/>
  <c r="O85" i="165"/>
  <c r="J85" i="165" s="1"/>
  <c r="F86" i="165"/>
  <c r="G86" i="165"/>
  <c r="H86" i="165"/>
  <c r="I86" i="165"/>
  <c r="K86" i="165"/>
  <c r="L86" i="165"/>
  <c r="M86" i="165"/>
  <c r="N86" i="165"/>
  <c r="E87" i="165"/>
  <c r="O87" i="165"/>
  <c r="J87" i="165" s="1"/>
  <c r="E88" i="165"/>
  <c r="O88" i="165"/>
  <c r="J88" i="165" s="1"/>
  <c r="O89" i="165"/>
  <c r="J89" i="165" s="1"/>
  <c r="J90" i="165"/>
  <c r="G91" i="165"/>
  <c r="H91" i="165"/>
  <c r="I91" i="165"/>
  <c r="L91" i="165"/>
  <c r="M91" i="165"/>
  <c r="N91" i="165"/>
  <c r="K91" i="165"/>
  <c r="J93" i="165"/>
  <c r="O94" i="165"/>
  <c r="J94" i="165" s="1"/>
  <c r="L106" i="167" s="1"/>
  <c r="F95" i="165"/>
  <c r="G95" i="165"/>
  <c r="H95" i="165"/>
  <c r="I95" i="165"/>
  <c r="K95" i="165"/>
  <c r="L95" i="165"/>
  <c r="M95" i="165"/>
  <c r="N95" i="165"/>
  <c r="E95" i="165"/>
  <c r="O96" i="165"/>
  <c r="O95" i="165" s="1"/>
  <c r="O97" i="165"/>
  <c r="J97" i="165" s="1"/>
  <c r="O99" i="165"/>
  <c r="J99" i="165" s="1"/>
  <c r="E100" i="165"/>
  <c r="E98" i="165" s="1"/>
  <c r="O100" i="165"/>
  <c r="F103" i="165"/>
  <c r="G103" i="165"/>
  <c r="H103" i="165"/>
  <c r="I103" i="165"/>
  <c r="L103" i="165"/>
  <c r="M103" i="165"/>
  <c r="N103" i="165"/>
  <c r="E104" i="165"/>
  <c r="K104" i="165"/>
  <c r="K103" i="165" s="1"/>
  <c r="F105" i="165"/>
  <c r="G105" i="165"/>
  <c r="H105" i="165"/>
  <c r="I105" i="165"/>
  <c r="L105" i="165"/>
  <c r="M105" i="165"/>
  <c r="N105" i="165"/>
  <c r="O106" i="165"/>
  <c r="F108" i="165"/>
  <c r="G108" i="165"/>
  <c r="H108" i="165"/>
  <c r="I108" i="165"/>
  <c r="K108" i="165"/>
  <c r="L108" i="165"/>
  <c r="M108" i="165"/>
  <c r="N108" i="165"/>
  <c r="O109" i="165"/>
  <c r="H117" i="165"/>
  <c r="I117" i="165"/>
  <c r="K117" i="165"/>
  <c r="L117" i="165"/>
  <c r="M117" i="165"/>
  <c r="N117" i="165"/>
  <c r="G117" i="165"/>
  <c r="O118" i="165"/>
  <c r="E119" i="165"/>
  <c r="O119" i="165"/>
  <c r="J119" i="165" s="1"/>
  <c r="O121" i="165"/>
  <c r="O122" i="165"/>
  <c r="O124" i="165"/>
  <c r="J124" i="165" s="1"/>
  <c r="F125" i="165"/>
  <c r="K125" i="165"/>
  <c r="O125" i="165" s="1"/>
  <c r="J125" i="165" s="1"/>
  <c r="G126" i="165"/>
  <c r="H126" i="165"/>
  <c r="I126" i="165"/>
  <c r="L126" i="165"/>
  <c r="M126" i="165"/>
  <c r="N126" i="165"/>
  <c r="K126" i="165"/>
  <c r="F128" i="165"/>
  <c r="G128" i="165"/>
  <c r="H128" i="165"/>
  <c r="I128" i="165"/>
  <c r="K128" i="165"/>
  <c r="L128" i="165"/>
  <c r="M128" i="165"/>
  <c r="N128" i="165"/>
  <c r="E129" i="165"/>
  <c r="O129" i="165"/>
  <c r="F130" i="165"/>
  <c r="G130" i="165"/>
  <c r="H130" i="165"/>
  <c r="I130" i="165"/>
  <c r="K130" i="165"/>
  <c r="L130" i="165"/>
  <c r="M130" i="165"/>
  <c r="N130" i="165"/>
  <c r="O131" i="165"/>
  <c r="O132" i="165"/>
  <c r="F133" i="165"/>
  <c r="G133" i="165"/>
  <c r="H133" i="165"/>
  <c r="I133" i="165"/>
  <c r="L133" i="165"/>
  <c r="M133" i="165"/>
  <c r="N133" i="165"/>
  <c r="E134" i="165"/>
  <c r="E133" i="165" s="1"/>
  <c r="K134" i="165"/>
  <c r="O135" i="165"/>
  <c r="J135" i="165" s="1"/>
  <c r="F137" i="165"/>
  <c r="G137" i="165"/>
  <c r="G136" i="165" s="1"/>
  <c r="H137" i="165"/>
  <c r="I137" i="165"/>
  <c r="I136" i="165" s="1"/>
  <c r="K137" i="165"/>
  <c r="L137" i="165"/>
  <c r="L136" i="165" s="1"/>
  <c r="M137" i="165"/>
  <c r="M136" i="165" s="1"/>
  <c r="N137" i="165"/>
  <c r="N136" i="165" s="1"/>
  <c r="O137" i="165"/>
  <c r="E137" i="165"/>
  <c r="J138" i="165"/>
  <c r="O139" i="165"/>
  <c r="F141" i="165"/>
  <c r="G141" i="165"/>
  <c r="H141" i="165"/>
  <c r="I141" i="165"/>
  <c r="K141" i="165"/>
  <c r="L141" i="165"/>
  <c r="M141" i="165"/>
  <c r="N141" i="165"/>
  <c r="E142" i="165"/>
  <c r="O142" i="165"/>
  <c r="O141" i="165" s="1"/>
  <c r="F143" i="165"/>
  <c r="F140" i="165" s="1"/>
  <c r="G143" i="165"/>
  <c r="H143" i="165"/>
  <c r="H140" i="165" s="1"/>
  <c r="I143" i="165"/>
  <c r="I140" i="165" s="1"/>
  <c r="L143" i="165"/>
  <c r="L140" i="165" s="1"/>
  <c r="M143" i="165"/>
  <c r="N143" i="165"/>
  <c r="N140" i="165" s="1"/>
  <c r="K143" i="165"/>
  <c r="K140" i="165" s="1"/>
  <c r="E145" i="165"/>
  <c r="O145" i="165"/>
  <c r="J145" i="165" s="1"/>
  <c r="F147" i="165"/>
  <c r="F146" i="165" s="1"/>
  <c r="G147" i="165"/>
  <c r="H147" i="165"/>
  <c r="H146" i="165" s="1"/>
  <c r="I147" i="165"/>
  <c r="K147" i="165"/>
  <c r="K146" i="165" s="1"/>
  <c r="L147" i="165"/>
  <c r="L146" i="165" s="1"/>
  <c r="M147" i="165"/>
  <c r="M146" i="165" s="1"/>
  <c r="N147" i="165"/>
  <c r="E147" i="165"/>
  <c r="E146" i="165" s="1"/>
  <c r="O148" i="165"/>
  <c r="O147" i="165" s="1"/>
  <c r="O146" i="165" s="1"/>
  <c r="H151" i="165"/>
  <c r="I151" i="165"/>
  <c r="L151" i="165"/>
  <c r="M151" i="165"/>
  <c r="N151" i="165"/>
  <c r="G151" i="165"/>
  <c r="E153" i="165"/>
  <c r="E151" i="165" s="1"/>
  <c r="O153" i="165"/>
  <c r="J154" i="165"/>
  <c r="G156" i="165"/>
  <c r="H156" i="165"/>
  <c r="I156" i="165"/>
  <c r="K156" i="165"/>
  <c r="L156" i="165"/>
  <c r="M156" i="165"/>
  <c r="N156" i="165"/>
  <c r="O157" i="165"/>
  <c r="O158" i="165"/>
  <c r="J158" i="165" s="1"/>
  <c r="O159" i="165"/>
  <c r="J159" i="165" s="1"/>
  <c r="O160" i="165"/>
  <c r="J160" i="165" s="1"/>
  <c r="O161" i="165"/>
  <c r="J161" i="165" s="1"/>
  <c r="O162" i="165"/>
  <c r="J162" i="165" s="1"/>
  <c r="P162" i="165" s="1"/>
  <c r="O163" i="165"/>
  <c r="J163" i="165" s="1"/>
  <c r="P163" i="165" s="1"/>
  <c r="O164" i="165"/>
  <c r="I165" i="165"/>
  <c r="K165" i="165"/>
  <c r="L165" i="165"/>
  <c r="M165" i="165"/>
  <c r="O166" i="165"/>
  <c r="O167" i="165"/>
  <c r="F168" i="165"/>
  <c r="G168" i="165"/>
  <c r="H168" i="165"/>
  <c r="I168" i="165"/>
  <c r="K168" i="165"/>
  <c r="L168" i="165"/>
  <c r="M168" i="165"/>
  <c r="N168" i="165"/>
  <c r="O169" i="165"/>
  <c r="I170" i="165"/>
  <c r="L170" i="165"/>
  <c r="M170" i="165"/>
  <c r="N170" i="165"/>
  <c r="K170" i="165"/>
  <c r="O172" i="165"/>
  <c r="J172" i="165" s="1"/>
  <c r="O173" i="165"/>
  <c r="F174" i="165"/>
  <c r="E174" i="165" s="1"/>
  <c r="G174" i="165"/>
  <c r="H174" i="165"/>
  <c r="I174" i="165"/>
  <c r="K174" i="165"/>
  <c r="O174" i="165" s="1"/>
  <c r="L174" i="165"/>
  <c r="M174" i="165"/>
  <c r="N174" i="165"/>
  <c r="O175" i="165"/>
  <c r="J175" i="165" s="1"/>
  <c r="O176" i="165"/>
  <c r="G177" i="165"/>
  <c r="H177" i="165"/>
  <c r="I177" i="165"/>
  <c r="K177" i="165"/>
  <c r="L177" i="165"/>
  <c r="M177" i="165"/>
  <c r="N177" i="165"/>
  <c r="F177" i="165"/>
  <c r="O178" i="165"/>
  <c r="O179" i="165"/>
  <c r="F180" i="165"/>
  <c r="G180" i="165"/>
  <c r="H180" i="165"/>
  <c r="I180" i="165"/>
  <c r="K180" i="165"/>
  <c r="L180" i="165"/>
  <c r="M180" i="165"/>
  <c r="N180" i="165"/>
  <c r="E181" i="165"/>
  <c r="O181" i="165"/>
  <c r="E185" i="165"/>
  <c r="O185" i="165"/>
  <c r="E187" i="165"/>
  <c r="O187" i="165"/>
  <c r="J187" i="165" s="1"/>
  <c r="E190" i="165"/>
  <c r="O190" i="165"/>
  <c r="O193" i="165"/>
  <c r="I196" i="165"/>
  <c r="L196" i="165"/>
  <c r="O198" i="165"/>
  <c r="F202" i="165"/>
  <c r="G202" i="165"/>
  <c r="H202" i="165"/>
  <c r="I202" i="165"/>
  <c r="L202" i="165"/>
  <c r="M202" i="165"/>
  <c r="N202" i="165"/>
  <c r="I213" i="165"/>
  <c r="L213" i="165"/>
  <c r="M213" i="165"/>
  <c r="N213" i="165"/>
  <c r="K213" i="165"/>
  <c r="J217" i="165"/>
  <c r="E219" i="165"/>
  <c r="O219" i="165"/>
  <c r="I220" i="165"/>
  <c r="L220" i="165"/>
  <c r="M220" i="165"/>
  <c r="N220" i="165"/>
  <c r="J221" i="165"/>
  <c r="G225" i="165"/>
  <c r="H225" i="165"/>
  <c r="I225" i="165"/>
  <c r="K225" i="165"/>
  <c r="L225" i="165"/>
  <c r="M225" i="165"/>
  <c r="N225" i="165"/>
  <c r="O226" i="165"/>
  <c r="I235" i="165"/>
  <c r="K235" i="165"/>
  <c r="L235" i="165"/>
  <c r="M235" i="165"/>
  <c r="N235" i="165"/>
  <c r="F236" i="165"/>
  <c r="E236" i="165" s="1"/>
  <c r="G236" i="165"/>
  <c r="H236" i="165"/>
  <c r="O236" i="165"/>
  <c r="J236" i="165" s="1"/>
  <c r="I237" i="165"/>
  <c r="M237" i="165"/>
  <c r="N237" i="165"/>
  <c r="O239" i="165"/>
  <c r="G241" i="165"/>
  <c r="H241" i="165"/>
  <c r="I241" i="165"/>
  <c r="K241" i="165"/>
  <c r="L241" i="165"/>
  <c r="M241" i="165"/>
  <c r="N241" i="165"/>
  <c r="O242" i="165"/>
  <c r="O243" i="165"/>
  <c r="F244" i="165"/>
  <c r="G244" i="165"/>
  <c r="H244" i="165"/>
  <c r="I244" i="165"/>
  <c r="K244" i="165"/>
  <c r="L244" i="165"/>
  <c r="M244" i="165"/>
  <c r="N244" i="165"/>
  <c r="O245" i="165"/>
  <c r="I246" i="165"/>
  <c r="M246" i="165"/>
  <c r="N246" i="165"/>
  <c r="O248" i="165"/>
  <c r="H249" i="165"/>
  <c r="I249" i="165"/>
  <c r="K249" i="165"/>
  <c r="L249" i="165"/>
  <c r="M249" i="165"/>
  <c r="N249" i="165"/>
  <c r="O250" i="165"/>
  <c r="H251" i="165"/>
  <c r="I251" i="165"/>
  <c r="L251" i="165"/>
  <c r="M251" i="165"/>
  <c r="N251" i="165"/>
  <c r="O252" i="165"/>
  <c r="O253" i="165"/>
  <c r="O255" i="165"/>
  <c r="F257" i="165"/>
  <c r="G257" i="165"/>
  <c r="H257" i="165"/>
  <c r="I257" i="165"/>
  <c r="K257" i="165"/>
  <c r="L257" i="165"/>
  <c r="M257" i="165"/>
  <c r="N257" i="165"/>
  <c r="O258" i="165"/>
  <c r="F261" i="165"/>
  <c r="G261" i="165"/>
  <c r="H261" i="165"/>
  <c r="I261" i="165"/>
  <c r="L261" i="165"/>
  <c r="M261" i="165"/>
  <c r="N261" i="165"/>
  <c r="E262" i="165"/>
  <c r="K262" i="165"/>
  <c r="F263" i="165"/>
  <c r="G263" i="165"/>
  <c r="H263" i="165"/>
  <c r="I263" i="165"/>
  <c r="K263" i="165"/>
  <c r="L263" i="165"/>
  <c r="M263" i="165"/>
  <c r="N263" i="165"/>
  <c r="E264" i="165"/>
  <c r="O264" i="165"/>
  <c r="O265" i="165"/>
  <c r="H271" i="165"/>
  <c r="I271" i="165"/>
  <c r="K271" i="165"/>
  <c r="L271" i="165"/>
  <c r="M271" i="165"/>
  <c r="N271" i="165"/>
  <c r="E273" i="165"/>
  <c r="O273" i="165"/>
  <c r="E274" i="165"/>
  <c r="J274" i="165"/>
  <c r="G279" i="165"/>
  <c r="H279" i="165"/>
  <c r="I279" i="165"/>
  <c r="L279" i="165"/>
  <c r="M279" i="165"/>
  <c r="N279" i="165"/>
  <c r="E281" i="165"/>
  <c r="O281" i="165"/>
  <c r="O282" i="165"/>
  <c r="O283" i="165"/>
  <c r="O284" i="165"/>
  <c r="J284" i="165" s="1"/>
  <c r="O287" i="165"/>
  <c r="F289" i="165"/>
  <c r="G289" i="165"/>
  <c r="H289" i="165"/>
  <c r="I289" i="165"/>
  <c r="K289" i="165"/>
  <c r="L289" i="165"/>
  <c r="M289" i="165"/>
  <c r="N289" i="165"/>
  <c r="O290" i="165"/>
  <c r="O292" i="165"/>
  <c r="J292" i="165" s="1"/>
  <c r="E293" i="165"/>
  <c r="K293" i="165"/>
  <c r="F294" i="165"/>
  <c r="G294" i="165"/>
  <c r="H294" i="165"/>
  <c r="I294" i="165"/>
  <c r="K294" i="165"/>
  <c r="L294" i="165"/>
  <c r="M294" i="165"/>
  <c r="N294" i="165"/>
  <c r="E295" i="165"/>
  <c r="O295" i="165"/>
  <c r="O299" i="165"/>
  <c r="I304" i="165"/>
  <c r="L304" i="165"/>
  <c r="M304" i="165"/>
  <c r="N304" i="165"/>
  <c r="O305" i="165"/>
  <c r="E306" i="165"/>
  <c r="O306" i="165"/>
  <c r="O307" i="165"/>
  <c r="G309" i="165"/>
  <c r="H309" i="165"/>
  <c r="I309" i="165"/>
  <c r="L309" i="165"/>
  <c r="M309" i="165"/>
  <c r="N309" i="165"/>
  <c r="O310" i="165"/>
  <c r="E312" i="165"/>
  <c r="O312" i="165"/>
  <c r="J312" i="165" s="1"/>
  <c r="O313" i="165"/>
  <c r="O314" i="165"/>
  <c r="O315" i="165"/>
  <c r="G319" i="165"/>
  <c r="G318" i="165" s="1"/>
  <c r="H319" i="165"/>
  <c r="H318" i="165" s="1"/>
  <c r="I319" i="165"/>
  <c r="I318" i="165" s="1"/>
  <c r="L319" i="165"/>
  <c r="L318" i="165" s="1"/>
  <c r="M319" i="165"/>
  <c r="M318" i="165" s="1"/>
  <c r="N319" i="165"/>
  <c r="N318" i="165" s="1"/>
  <c r="F320" i="165"/>
  <c r="E323" i="165"/>
  <c r="O323" i="165"/>
  <c r="O324" i="165"/>
  <c r="F325" i="165"/>
  <c r="G325" i="165"/>
  <c r="H325" i="165"/>
  <c r="I325" i="165"/>
  <c r="K325" i="165"/>
  <c r="M325" i="165"/>
  <c r="N325" i="165"/>
  <c r="E328" i="165"/>
  <c r="E325" i="165" s="1"/>
  <c r="O328" i="165"/>
  <c r="J328" i="165" s="1"/>
  <c r="I330" i="165"/>
  <c r="K330" i="165"/>
  <c r="L330" i="165"/>
  <c r="M330" i="165"/>
  <c r="N330" i="165"/>
  <c r="O331" i="165"/>
  <c r="O332" i="165"/>
  <c r="J332" i="165" s="1"/>
  <c r="F333" i="165"/>
  <c r="G333" i="165"/>
  <c r="H333" i="165"/>
  <c r="O333" i="165"/>
  <c r="G335" i="165"/>
  <c r="H335" i="165"/>
  <c r="I335" i="165"/>
  <c r="K335" i="165"/>
  <c r="L335" i="165"/>
  <c r="M335" i="165"/>
  <c r="N335" i="165"/>
  <c r="O336" i="165"/>
  <c r="I339" i="165"/>
  <c r="K339" i="165"/>
  <c r="L339" i="165"/>
  <c r="M339" i="165"/>
  <c r="N339" i="165"/>
  <c r="O340" i="165"/>
  <c r="E341" i="165"/>
  <c r="O341" i="165"/>
  <c r="E342" i="165"/>
  <c r="O342" i="165"/>
  <c r="F343" i="165"/>
  <c r="G343" i="165"/>
  <c r="H343" i="165"/>
  <c r="I343" i="165"/>
  <c r="L343" i="165"/>
  <c r="M343" i="165"/>
  <c r="N343" i="165"/>
  <c r="E348" i="165"/>
  <c r="K348" i="165"/>
  <c r="F363" i="165"/>
  <c r="G363" i="165"/>
  <c r="H363" i="165"/>
  <c r="I363" i="165"/>
  <c r="L363" i="165"/>
  <c r="M363" i="165"/>
  <c r="N363" i="165"/>
  <c r="I373" i="165"/>
  <c r="L373" i="165"/>
  <c r="M373" i="165"/>
  <c r="N373" i="165"/>
  <c r="K373" i="165"/>
  <c r="E375" i="165"/>
  <c r="O375" i="165"/>
  <c r="E376" i="165"/>
  <c r="O376" i="165"/>
  <c r="K380" i="165"/>
  <c r="K378" i="165" s="1"/>
  <c r="H384" i="165"/>
  <c r="I384" i="165"/>
  <c r="K384" i="165"/>
  <c r="L384" i="165"/>
  <c r="M384" i="165"/>
  <c r="N384" i="165"/>
  <c r="O385" i="165"/>
  <c r="J385" i="165" s="1"/>
  <c r="E386" i="165"/>
  <c r="O386" i="165"/>
  <c r="J386" i="165" s="1"/>
  <c r="G391" i="165"/>
  <c r="H391" i="165"/>
  <c r="I391" i="165"/>
  <c r="K391" i="165"/>
  <c r="L391" i="165"/>
  <c r="M391" i="165"/>
  <c r="N391" i="165"/>
  <c r="O392" i="165"/>
  <c r="G393" i="165"/>
  <c r="H393" i="165"/>
  <c r="I393" i="165"/>
  <c r="K393" i="165"/>
  <c r="L393" i="165"/>
  <c r="M393" i="165"/>
  <c r="N393" i="165"/>
  <c r="O394" i="165"/>
  <c r="E395" i="165"/>
  <c r="O395" i="165"/>
  <c r="F396" i="165"/>
  <c r="G396" i="165"/>
  <c r="H396" i="165"/>
  <c r="I396" i="165"/>
  <c r="L396" i="165"/>
  <c r="M396" i="165"/>
  <c r="N396" i="165"/>
  <c r="O397" i="165"/>
  <c r="G399" i="165"/>
  <c r="H399" i="165"/>
  <c r="I399" i="165"/>
  <c r="K399" i="165"/>
  <c r="L399" i="165"/>
  <c r="M399" i="165"/>
  <c r="N399" i="165"/>
  <c r="O400" i="165"/>
  <c r="O399" i="165" s="1"/>
  <c r="G405" i="165"/>
  <c r="H405" i="165"/>
  <c r="I405" i="165"/>
  <c r="L405" i="165"/>
  <c r="M405" i="165"/>
  <c r="N405" i="165"/>
  <c r="F406" i="165"/>
  <c r="K406" i="165"/>
  <c r="O407" i="165"/>
  <c r="G409" i="165"/>
  <c r="H409" i="165"/>
  <c r="I409" i="165"/>
  <c r="L409" i="165"/>
  <c r="M409" i="165"/>
  <c r="N409" i="165"/>
  <c r="K410" i="165"/>
  <c r="O412" i="165"/>
  <c r="O413" i="165"/>
  <c r="F414" i="165"/>
  <c r="E414" i="165" s="1"/>
  <c r="K414" i="165"/>
  <c r="F415" i="165"/>
  <c r="G415" i="165"/>
  <c r="H415" i="165"/>
  <c r="I415" i="165"/>
  <c r="K415" i="165"/>
  <c r="L415" i="165"/>
  <c r="M415" i="165"/>
  <c r="N415" i="165"/>
  <c r="O416" i="165"/>
  <c r="J416" i="165" s="1"/>
  <c r="I425" i="165"/>
  <c r="L425" i="165"/>
  <c r="M425" i="165"/>
  <c r="N425" i="165"/>
  <c r="E427" i="165"/>
  <c r="E425" i="165" s="1"/>
  <c r="O427" i="165"/>
  <c r="E429" i="165"/>
  <c r="F429" i="165"/>
  <c r="G429" i="165"/>
  <c r="H429" i="165"/>
  <c r="I429" i="165"/>
  <c r="K429" i="165"/>
  <c r="M429" i="165"/>
  <c r="N429" i="165"/>
  <c r="I435" i="165"/>
  <c r="L435" i="165"/>
  <c r="M435" i="165"/>
  <c r="N435" i="165"/>
  <c r="G438" i="165"/>
  <c r="H438" i="165"/>
  <c r="I438" i="165"/>
  <c r="K438" i="165"/>
  <c r="L438" i="165"/>
  <c r="M438" i="165"/>
  <c r="N438" i="165"/>
  <c r="O439" i="165"/>
  <c r="F440" i="165"/>
  <c r="G440" i="165"/>
  <c r="H440" i="165"/>
  <c r="I440" i="165"/>
  <c r="K440" i="165"/>
  <c r="L440" i="165"/>
  <c r="M440" i="165"/>
  <c r="N440" i="165"/>
  <c r="E440" i="165"/>
  <c r="O441" i="165"/>
  <c r="H444" i="165"/>
  <c r="I444" i="165"/>
  <c r="K444" i="165"/>
  <c r="L444" i="165"/>
  <c r="M444" i="165"/>
  <c r="N444" i="165"/>
  <c r="O445" i="165"/>
  <c r="E446" i="165"/>
  <c r="O446" i="165"/>
  <c r="F448" i="165"/>
  <c r="G448" i="165"/>
  <c r="H448" i="165"/>
  <c r="I448" i="165"/>
  <c r="K448" i="165"/>
  <c r="L448" i="165"/>
  <c r="M448" i="165"/>
  <c r="N448" i="165"/>
  <c r="E449" i="165"/>
  <c r="O449" i="165"/>
  <c r="J449" i="165" s="1"/>
  <c r="O451" i="165"/>
  <c r="J451" i="165" s="1"/>
  <c r="G452" i="165"/>
  <c r="H452" i="165"/>
  <c r="I452" i="165"/>
  <c r="K452" i="165"/>
  <c r="L452" i="165"/>
  <c r="M452" i="165"/>
  <c r="N452" i="165"/>
  <c r="F452" i="165"/>
  <c r="O453" i="165"/>
  <c r="O452" i="165" s="1"/>
  <c r="G455" i="165"/>
  <c r="H455" i="165"/>
  <c r="I455" i="165"/>
  <c r="K455" i="165"/>
  <c r="L455" i="165"/>
  <c r="M455" i="165"/>
  <c r="N455" i="165"/>
  <c r="F456" i="165"/>
  <c r="E456" i="165" s="1"/>
  <c r="O456" i="165"/>
  <c r="F458" i="165"/>
  <c r="G458" i="165"/>
  <c r="H458" i="165"/>
  <c r="I458" i="165"/>
  <c r="K458" i="165"/>
  <c r="L458" i="165"/>
  <c r="M458" i="165"/>
  <c r="N458" i="165"/>
  <c r="O459" i="165"/>
  <c r="J100" i="165" l="1"/>
  <c r="J98" i="165" s="1"/>
  <c r="O98" i="165"/>
  <c r="E346" i="165"/>
  <c r="E345" i="165" s="1"/>
  <c r="K346" i="165"/>
  <c r="K345" i="165" s="1"/>
  <c r="J80" i="165"/>
  <c r="O171" i="165"/>
  <c r="J171" i="165" s="1"/>
  <c r="P65" i="165"/>
  <c r="N102" i="165"/>
  <c r="O43" i="165"/>
  <c r="O42" i="165" s="1"/>
  <c r="J174" i="165"/>
  <c r="P174" i="165" s="1"/>
  <c r="P274" i="165"/>
  <c r="K39" i="165"/>
  <c r="K38" i="165" s="1"/>
  <c r="O92" i="165"/>
  <c r="J92" i="165" s="1"/>
  <c r="O47" i="165"/>
  <c r="J47" i="165" s="1"/>
  <c r="J45" i="165" s="1"/>
  <c r="P161" i="165"/>
  <c r="E83" i="165"/>
  <c r="G69" i="165"/>
  <c r="H22" i="165"/>
  <c r="P70" i="165"/>
  <c r="P30" i="165"/>
  <c r="P99" i="165"/>
  <c r="J148" i="165"/>
  <c r="J147" i="165" s="1"/>
  <c r="F102" i="165"/>
  <c r="J453" i="165"/>
  <c r="E136" i="165"/>
  <c r="I120" i="165"/>
  <c r="O104" i="165"/>
  <c r="J104" i="165" s="1"/>
  <c r="P104" i="165" s="1"/>
  <c r="J96" i="165"/>
  <c r="J95" i="165" s="1"/>
  <c r="G53" i="165"/>
  <c r="E28" i="165"/>
  <c r="N454" i="165"/>
  <c r="P451" i="165"/>
  <c r="P449" i="165"/>
  <c r="O444" i="165"/>
  <c r="J445" i="165"/>
  <c r="P445" i="165" s="1"/>
  <c r="N437" i="165"/>
  <c r="H435" i="165"/>
  <c r="L429" i="165"/>
  <c r="I428" i="165"/>
  <c r="E428" i="165"/>
  <c r="H425" i="165"/>
  <c r="I411" i="165"/>
  <c r="K398" i="165"/>
  <c r="O393" i="165"/>
  <c r="G308" i="165"/>
  <c r="I240" i="165"/>
  <c r="J235" i="165"/>
  <c r="N457" i="165"/>
  <c r="I457" i="165"/>
  <c r="M454" i="165"/>
  <c r="M450" i="165" s="1"/>
  <c r="H454" i="165"/>
  <c r="N447" i="165"/>
  <c r="I447" i="165"/>
  <c r="G444" i="165"/>
  <c r="M437" i="165"/>
  <c r="H437" i="165"/>
  <c r="G435" i="165"/>
  <c r="N428" i="165"/>
  <c r="H428" i="165"/>
  <c r="J427" i="165"/>
  <c r="N398" i="165"/>
  <c r="I398" i="165"/>
  <c r="K396" i="165"/>
  <c r="F393" i="165"/>
  <c r="N377" i="165"/>
  <c r="H377" i="165"/>
  <c r="H373" i="165"/>
  <c r="I349" i="165"/>
  <c r="J341" i="165"/>
  <c r="G339" i="165"/>
  <c r="K334" i="165"/>
  <c r="J333" i="165"/>
  <c r="M322" i="165"/>
  <c r="G322" i="165"/>
  <c r="G317" i="165" s="1"/>
  <c r="L308" i="165"/>
  <c r="E294" i="165"/>
  <c r="K291" i="165"/>
  <c r="J287" i="165"/>
  <c r="P284" i="165"/>
  <c r="J282" i="165"/>
  <c r="J281" i="165"/>
  <c r="N278" i="165"/>
  <c r="H278" i="165"/>
  <c r="E257" i="165"/>
  <c r="K256" i="165"/>
  <c r="F256" i="165"/>
  <c r="G251" i="165"/>
  <c r="O247" i="165"/>
  <c r="J247" i="165" s="1"/>
  <c r="P247" i="165" s="1"/>
  <c r="K246" i="165"/>
  <c r="J245" i="165"/>
  <c r="P245" i="165" s="1"/>
  <c r="J242" i="165"/>
  <c r="E458" i="165"/>
  <c r="K457" i="165"/>
  <c r="I454" i="165"/>
  <c r="K447" i="165"/>
  <c r="I437" i="165"/>
  <c r="K411" i="165"/>
  <c r="O398" i="165"/>
  <c r="L390" i="165"/>
  <c r="L387" i="165" s="1"/>
  <c r="F384" i="165"/>
  <c r="P385" i="165"/>
  <c r="O352" i="165"/>
  <c r="O350" i="165" s="1"/>
  <c r="F349" i="165"/>
  <c r="H339" i="165"/>
  <c r="O335" i="165"/>
  <c r="L334" i="165"/>
  <c r="E333" i="165"/>
  <c r="E330" i="165" s="1"/>
  <c r="M308" i="165"/>
  <c r="G304" i="165"/>
  <c r="I278" i="165"/>
  <c r="K251" i="165"/>
  <c r="O455" i="165"/>
  <c r="M457" i="165"/>
  <c r="H457" i="165"/>
  <c r="F455" i="165"/>
  <c r="L454" i="165"/>
  <c r="L450" i="165" s="1"/>
  <c r="G454" i="165"/>
  <c r="O448" i="165"/>
  <c r="M447" i="165"/>
  <c r="H447" i="165"/>
  <c r="J446" i="165"/>
  <c r="F444" i="165"/>
  <c r="J441" i="165"/>
  <c r="P441" i="165" s="1"/>
  <c r="O440" i="165"/>
  <c r="O406" i="165"/>
  <c r="J400" i="165"/>
  <c r="M377" i="165"/>
  <c r="G377" i="165"/>
  <c r="J375" i="165"/>
  <c r="K329" i="165"/>
  <c r="O325" i="165"/>
  <c r="O322" i="165" s="1"/>
  <c r="F322" i="165"/>
  <c r="J315" i="165"/>
  <c r="J313" i="165"/>
  <c r="P312" i="165"/>
  <c r="F309" i="165"/>
  <c r="J299" i="165"/>
  <c r="N291" i="165"/>
  <c r="N288" i="165" s="1"/>
  <c r="I291" i="165"/>
  <c r="I288" i="165" s="1"/>
  <c r="O293" i="165"/>
  <c r="J293" i="165" s="1"/>
  <c r="P293" i="165" s="1"/>
  <c r="F291" i="165"/>
  <c r="F288" i="165" s="1"/>
  <c r="K261" i="165"/>
  <c r="O262" i="165"/>
  <c r="M260" i="165"/>
  <c r="G260" i="165"/>
  <c r="N256" i="165"/>
  <c r="I256" i="165"/>
  <c r="J255" i="165"/>
  <c r="F251" i="165"/>
  <c r="G249" i="165"/>
  <c r="J248" i="165"/>
  <c r="P248" i="165" s="1"/>
  <c r="H246" i="165"/>
  <c r="H240" i="165" s="1"/>
  <c r="P217" i="165"/>
  <c r="K196" i="165"/>
  <c r="K155" i="165" s="1"/>
  <c r="O117" i="165"/>
  <c r="E105" i="165"/>
  <c r="I102" i="165"/>
  <c r="F457" i="165"/>
  <c r="F447" i="165"/>
  <c r="N411" i="165"/>
  <c r="J397" i="165"/>
  <c r="P397" i="165" s="1"/>
  <c r="G390" i="165"/>
  <c r="G387" i="165" s="1"/>
  <c r="O374" i="165"/>
  <c r="E373" i="165"/>
  <c r="L349" i="165"/>
  <c r="G334" i="165"/>
  <c r="K319" i="165"/>
  <c r="K318" i="165" s="1"/>
  <c r="J264" i="165"/>
  <c r="G259" i="165"/>
  <c r="N240" i="165"/>
  <c r="H237" i="165"/>
  <c r="L237" i="165"/>
  <c r="E235" i="165"/>
  <c r="E213" i="165"/>
  <c r="N201" i="165"/>
  <c r="H201" i="165"/>
  <c r="J190" i="165"/>
  <c r="P190" i="165" s="1"/>
  <c r="P187" i="165"/>
  <c r="E180" i="165"/>
  <c r="J459" i="165"/>
  <c r="P459" i="165" s="1"/>
  <c r="L457" i="165"/>
  <c r="G457" i="165"/>
  <c r="E455" i="165"/>
  <c r="K454" i="165"/>
  <c r="J448" i="165"/>
  <c r="L447" i="165"/>
  <c r="G447" i="165"/>
  <c r="E444" i="165"/>
  <c r="O426" i="165"/>
  <c r="O425" i="165" s="1"/>
  <c r="K425" i="165"/>
  <c r="E415" i="165"/>
  <c r="J413" i="165"/>
  <c r="O410" i="165"/>
  <c r="J410" i="165" s="1"/>
  <c r="J407" i="165"/>
  <c r="F405" i="165"/>
  <c r="E406" i="165"/>
  <c r="M390" i="165"/>
  <c r="M387" i="165" s="1"/>
  <c r="H390" i="165"/>
  <c r="H387" i="165" s="1"/>
  <c r="N390" i="165"/>
  <c r="N387" i="165" s="1"/>
  <c r="P386" i="165"/>
  <c r="G384" i="165"/>
  <c r="G330" i="165"/>
  <c r="H330" i="165"/>
  <c r="N329" i="165"/>
  <c r="I329" i="165"/>
  <c r="J324" i="165"/>
  <c r="J320" i="165"/>
  <c r="H308" i="165"/>
  <c r="J306" i="165"/>
  <c r="H304" i="165"/>
  <c r="O276" i="165"/>
  <c r="O275" i="165" s="1"/>
  <c r="J273" i="165"/>
  <c r="L260" i="165"/>
  <c r="F260" i="165"/>
  <c r="F249" i="165"/>
  <c r="F225" i="165"/>
  <c r="K224" i="165"/>
  <c r="K220" i="165"/>
  <c r="H220" i="165"/>
  <c r="N215" i="165"/>
  <c r="J219" i="165"/>
  <c r="O200" i="165"/>
  <c r="P175" i="165"/>
  <c r="J167" i="165"/>
  <c r="E165" i="165"/>
  <c r="G165" i="165"/>
  <c r="O152" i="165"/>
  <c r="M140" i="165"/>
  <c r="G140" i="165"/>
  <c r="J139" i="165"/>
  <c r="P139" i="165" s="1"/>
  <c r="O136" i="165"/>
  <c r="K136" i="165"/>
  <c r="F136" i="165"/>
  <c r="J132" i="165"/>
  <c r="O128" i="165"/>
  <c r="J129" i="165"/>
  <c r="P129" i="165" s="1"/>
  <c r="J122" i="165"/>
  <c r="J239" i="165"/>
  <c r="O237" i="165"/>
  <c r="F237" i="165"/>
  <c r="F235" i="165"/>
  <c r="M234" i="165"/>
  <c r="O225" i="165"/>
  <c r="L224" i="165"/>
  <c r="G224" i="165"/>
  <c r="P221" i="165"/>
  <c r="I215" i="165"/>
  <c r="F213" i="165"/>
  <c r="I201" i="165"/>
  <c r="O199" i="165"/>
  <c r="O196" i="165" s="1"/>
  <c r="J197" i="165"/>
  <c r="P197" i="165" s="1"/>
  <c r="J181" i="165"/>
  <c r="J173" i="165"/>
  <c r="N146" i="165"/>
  <c r="I146" i="165"/>
  <c r="P145" i="165"/>
  <c r="K133" i="165"/>
  <c r="O134" i="165"/>
  <c r="O133" i="165" s="1"/>
  <c r="E130" i="165"/>
  <c r="F126" i="165"/>
  <c r="E125" i="165"/>
  <c r="J69" i="165"/>
  <c r="E69" i="165"/>
  <c r="F66" i="165"/>
  <c r="O60" i="165"/>
  <c r="J61" i="165"/>
  <c r="J60" i="165" s="1"/>
  <c r="I51" i="165"/>
  <c r="N44" i="165"/>
  <c r="H44" i="165"/>
  <c r="L38" i="165"/>
  <c r="F39" i="165"/>
  <c r="F38" i="165" s="1"/>
  <c r="I31" i="165"/>
  <c r="K28" i="165"/>
  <c r="O29" i="165"/>
  <c r="J20" i="165"/>
  <c r="F91" i="165"/>
  <c r="K66" i="165"/>
  <c r="E60" i="165"/>
  <c r="N53" i="165"/>
  <c r="F45" i="165"/>
  <c r="E47" i="165"/>
  <c r="E45" i="165" s="1"/>
  <c r="O26" i="165"/>
  <c r="M22" i="165"/>
  <c r="P24" i="165"/>
  <c r="H17" i="165"/>
  <c r="O438" i="165"/>
  <c r="L437" i="165"/>
  <c r="G437" i="165"/>
  <c r="E435" i="165"/>
  <c r="M428" i="165"/>
  <c r="G428" i="165"/>
  <c r="G425" i="165"/>
  <c r="O415" i="165"/>
  <c r="M411" i="165"/>
  <c r="H411" i="165"/>
  <c r="M398" i="165"/>
  <c r="H398" i="165"/>
  <c r="E396" i="165"/>
  <c r="J395" i="165"/>
  <c r="K390" i="165"/>
  <c r="O391" i="165"/>
  <c r="L377" i="165"/>
  <c r="F377" i="165"/>
  <c r="G373" i="165"/>
  <c r="K363" i="165"/>
  <c r="N349" i="165"/>
  <c r="H349" i="165"/>
  <c r="K343" i="165"/>
  <c r="N334" i="165"/>
  <c r="I334" i="165"/>
  <c r="F330" i="165"/>
  <c r="M329" i="165"/>
  <c r="L325" i="165"/>
  <c r="I322" i="165"/>
  <c r="E322" i="165"/>
  <c r="O316" i="165"/>
  <c r="J314" i="165"/>
  <c r="O311" i="165"/>
  <c r="O309" i="165" s="1"/>
  <c r="K309" i="165"/>
  <c r="J307" i="165"/>
  <c r="J305" i="165"/>
  <c r="F304" i="165"/>
  <c r="M291" i="165"/>
  <c r="M288" i="165" s="1"/>
  <c r="H291" i="165"/>
  <c r="H288" i="165" s="1"/>
  <c r="J290" i="165"/>
  <c r="P290" i="165" s="1"/>
  <c r="J283" i="165"/>
  <c r="M278" i="165"/>
  <c r="G278" i="165"/>
  <c r="O271" i="165"/>
  <c r="E261" i="165"/>
  <c r="I260" i="165"/>
  <c r="O257" i="165"/>
  <c r="M256" i="165"/>
  <c r="H256" i="165"/>
  <c r="E246" i="165"/>
  <c r="G246" i="165"/>
  <c r="E244" i="165"/>
  <c r="M240" i="165"/>
  <c r="G237" i="165"/>
  <c r="K237" i="165"/>
  <c r="H235" i="165"/>
  <c r="O235" i="165"/>
  <c r="N224" i="165"/>
  <c r="I224" i="165"/>
  <c r="G220" i="165"/>
  <c r="G215" i="165" s="1"/>
  <c r="M215" i="165"/>
  <c r="J216" i="165"/>
  <c r="H213" i="165"/>
  <c r="M201" i="165"/>
  <c r="G201" i="165"/>
  <c r="J198" i="165"/>
  <c r="P198" i="165" s="1"/>
  <c r="N196" i="165"/>
  <c r="H196" i="165"/>
  <c r="J185" i="165"/>
  <c r="J176" i="165"/>
  <c r="G146" i="165"/>
  <c r="E128" i="165"/>
  <c r="M120" i="165"/>
  <c r="G120" i="165"/>
  <c r="O108" i="165"/>
  <c r="J109" i="165"/>
  <c r="P78" i="165"/>
  <c r="P76" i="165"/>
  <c r="E73" i="165"/>
  <c r="H66" i="165"/>
  <c r="G63" i="165"/>
  <c r="L44" i="165"/>
  <c r="N38" i="165"/>
  <c r="H38" i="165"/>
  <c r="L35" i="165"/>
  <c r="M31" i="165"/>
  <c r="G31" i="165"/>
  <c r="G27" i="165" s="1"/>
  <c r="F25" i="165"/>
  <c r="F22" i="165" s="1"/>
  <c r="J19" i="165"/>
  <c r="K437" i="165"/>
  <c r="K435" i="165"/>
  <c r="J430" i="165"/>
  <c r="J429" i="165" s="1"/>
  <c r="K428" i="165"/>
  <c r="F428" i="165"/>
  <c r="F425" i="165"/>
  <c r="J415" i="165"/>
  <c r="L411" i="165"/>
  <c r="G411" i="165"/>
  <c r="F399" i="165"/>
  <c r="L398" i="165"/>
  <c r="G398" i="165"/>
  <c r="I390" i="165"/>
  <c r="I387" i="165" s="1"/>
  <c r="J384" i="165"/>
  <c r="O384" i="165"/>
  <c r="I377" i="165"/>
  <c r="J376" i="165"/>
  <c r="F373" i="165"/>
  <c r="E363" i="165"/>
  <c r="M349" i="165"/>
  <c r="G349" i="165"/>
  <c r="E343" i="165"/>
  <c r="J342" i="165"/>
  <c r="J340" i="165"/>
  <c r="M334" i="165"/>
  <c r="H334" i="165"/>
  <c r="J331" i="165"/>
  <c r="P331" i="165" s="1"/>
  <c r="L329" i="165"/>
  <c r="P328" i="165"/>
  <c r="N322" i="165"/>
  <c r="K322" i="165"/>
  <c r="H322" i="165"/>
  <c r="N308" i="165"/>
  <c r="I308" i="165"/>
  <c r="K304" i="165"/>
  <c r="J295" i="165"/>
  <c r="L291" i="165"/>
  <c r="L288" i="165" s="1"/>
  <c r="G291" i="165"/>
  <c r="O286" i="165"/>
  <c r="K279" i="165"/>
  <c r="L278" i="165"/>
  <c r="G271" i="165"/>
  <c r="O263" i="165"/>
  <c r="N260" i="165"/>
  <c r="H260" i="165"/>
  <c r="J258" i="165"/>
  <c r="J257" i="165" s="1"/>
  <c r="L256" i="165"/>
  <c r="G256" i="165"/>
  <c r="J252" i="165"/>
  <c r="O249" i="165"/>
  <c r="F246" i="165"/>
  <c r="O241" i="165"/>
  <c r="F241" i="165"/>
  <c r="G235" i="165"/>
  <c r="N234" i="165"/>
  <c r="I234" i="165"/>
  <c r="M224" i="165"/>
  <c r="H224" i="165"/>
  <c r="F220" i="165"/>
  <c r="L215" i="165"/>
  <c r="J218" i="165"/>
  <c r="G213" i="165"/>
  <c r="K202" i="165"/>
  <c r="L201" i="165"/>
  <c r="F201" i="165"/>
  <c r="M196" i="165"/>
  <c r="G196" i="165"/>
  <c r="O195" i="165"/>
  <c r="J193" i="165"/>
  <c r="J179" i="165"/>
  <c r="P172" i="165"/>
  <c r="H170" i="165"/>
  <c r="O168" i="165"/>
  <c r="N165" i="165"/>
  <c r="J164" i="165"/>
  <c r="J153" i="165"/>
  <c r="F151" i="165"/>
  <c r="J137" i="165"/>
  <c r="H136" i="165"/>
  <c r="O130" i="165"/>
  <c r="J131" i="165"/>
  <c r="F117" i="165"/>
  <c r="E108" i="165"/>
  <c r="M102" i="165"/>
  <c r="G102" i="165"/>
  <c r="E103" i="165"/>
  <c r="P100" i="165"/>
  <c r="P94" i="165"/>
  <c r="O69" i="165"/>
  <c r="F57" i="165"/>
  <c r="O53" i="165"/>
  <c r="M51" i="165"/>
  <c r="J32" i="165"/>
  <c r="K25" i="165"/>
  <c r="P21" i="165"/>
  <c r="O177" i="165"/>
  <c r="O165" i="165"/>
  <c r="I155" i="165"/>
  <c r="P154" i="165"/>
  <c r="N120" i="165"/>
  <c r="H120" i="165"/>
  <c r="P119" i="165"/>
  <c r="L102" i="165"/>
  <c r="P93" i="165"/>
  <c r="P90" i="165"/>
  <c r="P88" i="165"/>
  <c r="P85" i="165"/>
  <c r="P82" i="165"/>
  <c r="O73" i="165"/>
  <c r="F69" i="165"/>
  <c r="G57" i="165"/>
  <c r="H53" i="165"/>
  <c r="L53" i="165"/>
  <c r="K44" i="165"/>
  <c r="M38" i="165"/>
  <c r="G38" i="165"/>
  <c r="O31" i="165"/>
  <c r="L22" i="165"/>
  <c r="G22" i="165"/>
  <c r="G170" i="165"/>
  <c r="E168" i="165"/>
  <c r="H165" i="165"/>
  <c r="O156" i="165"/>
  <c r="L155" i="165"/>
  <c r="P135" i="165"/>
  <c r="L120" i="165"/>
  <c r="H102" i="165"/>
  <c r="E86" i="165"/>
  <c r="P72" i="165"/>
  <c r="P71" i="165"/>
  <c r="F63" i="165"/>
  <c r="P62" i="165"/>
  <c r="J54" i="165"/>
  <c r="I38" i="165"/>
  <c r="H27" i="165"/>
  <c r="N22" i="165"/>
  <c r="I22" i="165"/>
  <c r="N27" i="165"/>
  <c r="P41" i="165"/>
  <c r="E17" i="165"/>
  <c r="P46" i="165"/>
  <c r="O40" i="165"/>
  <c r="J36" i="165"/>
  <c r="J34" i="165"/>
  <c r="O18" i="165"/>
  <c r="F31" i="165"/>
  <c r="E23" i="165"/>
  <c r="F17" i="165"/>
  <c r="O105" i="165"/>
  <c r="J106" i="165"/>
  <c r="P89" i="165"/>
  <c r="E53" i="165"/>
  <c r="P79" i="165"/>
  <c r="P77" i="165"/>
  <c r="P75" i="165"/>
  <c r="P68" i="165"/>
  <c r="P55" i="165"/>
  <c r="J86" i="165"/>
  <c r="P87" i="165"/>
  <c r="J81" i="165"/>
  <c r="F80" i="165"/>
  <c r="J74" i="165"/>
  <c r="J58" i="165"/>
  <c r="K53" i="165"/>
  <c r="K105" i="165"/>
  <c r="E57" i="165"/>
  <c r="O86" i="165"/>
  <c r="O84" i="165"/>
  <c r="F53" i="165"/>
  <c r="J142" i="165"/>
  <c r="J141" i="165" s="1"/>
  <c r="O127" i="165"/>
  <c r="J118" i="165"/>
  <c r="P118" i="165" s="1"/>
  <c r="E141" i="165"/>
  <c r="O144" i="165"/>
  <c r="P138" i="165"/>
  <c r="O123" i="165"/>
  <c r="J121" i="165"/>
  <c r="P160" i="165"/>
  <c r="P158" i="165"/>
  <c r="P159" i="165"/>
  <c r="F156" i="165"/>
  <c r="O203" i="165"/>
  <c r="F170" i="165"/>
  <c r="J169" i="165"/>
  <c r="F165" i="165"/>
  <c r="K151" i="165"/>
  <c r="F196" i="165"/>
  <c r="O180" i="165"/>
  <c r="J166" i="165"/>
  <c r="J178" i="165"/>
  <c r="J157" i="165"/>
  <c r="J226" i="165"/>
  <c r="O222" i="165"/>
  <c r="J265" i="165"/>
  <c r="O254" i="165"/>
  <c r="J253" i="165"/>
  <c r="L246" i="165"/>
  <c r="E263" i="165"/>
  <c r="O244" i="165"/>
  <c r="J238" i="165"/>
  <c r="P236" i="165"/>
  <c r="J250" i="165"/>
  <c r="J243" i="165"/>
  <c r="O294" i="165"/>
  <c r="E289" i="165"/>
  <c r="F279" i="165"/>
  <c r="J272" i="165"/>
  <c r="O280" i="165"/>
  <c r="O289" i="165"/>
  <c r="F271" i="165"/>
  <c r="F335" i="165"/>
  <c r="O330" i="165"/>
  <c r="F319" i="165"/>
  <c r="F318" i="165" s="1"/>
  <c r="J310" i="165"/>
  <c r="O304" i="165"/>
  <c r="J326" i="165"/>
  <c r="J323" i="165"/>
  <c r="J336" i="165"/>
  <c r="E339" i="165"/>
  <c r="O348" i="165"/>
  <c r="O364" i="165"/>
  <c r="O344" i="165"/>
  <c r="O339" i="165"/>
  <c r="O356" i="165"/>
  <c r="O355" i="165" s="1"/>
  <c r="O354" i="165" s="1"/>
  <c r="F339" i="165"/>
  <c r="O380" i="165"/>
  <c r="E391" i="165"/>
  <c r="O396" i="165"/>
  <c r="J394" i="165"/>
  <c r="F391" i="165"/>
  <c r="J392" i="165"/>
  <c r="E409" i="165"/>
  <c r="O409" i="165"/>
  <c r="K409" i="165"/>
  <c r="P416" i="165"/>
  <c r="F409" i="165"/>
  <c r="F411" i="165"/>
  <c r="K405" i="165"/>
  <c r="O414" i="165"/>
  <c r="J412" i="165"/>
  <c r="O429" i="165"/>
  <c r="J439" i="165"/>
  <c r="O436" i="165"/>
  <c r="F438" i="165"/>
  <c r="F435" i="165"/>
  <c r="O458" i="165"/>
  <c r="E448" i="165"/>
  <c r="J456" i="165"/>
  <c r="P98" i="165" l="1"/>
  <c r="K240" i="165"/>
  <c r="J43" i="165"/>
  <c r="K387" i="165"/>
  <c r="J352" i="165"/>
  <c r="J350" i="165" s="1"/>
  <c r="O170" i="165"/>
  <c r="O155" i="165" s="1"/>
  <c r="P148" i="165"/>
  <c r="P147" i="165" s="1"/>
  <c r="O346" i="165"/>
  <c r="O345" i="165" s="1"/>
  <c r="O91" i="165"/>
  <c r="J458" i="165"/>
  <c r="J457" i="165" s="1"/>
  <c r="H155" i="165"/>
  <c r="J339" i="165"/>
  <c r="O45" i="165"/>
  <c r="J180" i="165"/>
  <c r="P430" i="165"/>
  <c r="P429" i="165" s="1"/>
  <c r="J246" i="165"/>
  <c r="J136" i="165"/>
  <c r="M317" i="165"/>
  <c r="J294" i="165"/>
  <c r="E241" i="165"/>
  <c r="P167" i="165"/>
  <c r="G51" i="165"/>
  <c r="J53" i="165"/>
  <c r="P53" i="165" s="1"/>
  <c r="I27" i="165"/>
  <c r="F215" i="165"/>
  <c r="I317" i="165"/>
  <c r="P295" i="165"/>
  <c r="P294" i="165" s="1"/>
  <c r="P264" i="165"/>
  <c r="P171" i="165"/>
  <c r="P170" i="165" s="1"/>
  <c r="N450" i="165"/>
  <c r="E438" i="165"/>
  <c r="E437" i="165" s="1"/>
  <c r="J406" i="165"/>
  <c r="P406" i="165" s="1"/>
  <c r="I450" i="165"/>
  <c r="E251" i="165"/>
  <c r="J73" i="165"/>
  <c r="P73" i="165" s="1"/>
  <c r="K27" i="165"/>
  <c r="M259" i="165"/>
  <c r="J330" i="165"/>
  <c r="J329" i="165" s="1"/>
  <c r="P153" i="165"/>
  <c r="J103" i="165"/>
  <c r="H450" i="165"/>
  <c r="J396" i="165"/>
  <c r="P299" i="165"/>
  <c r="H234" i="165"/>
  <c r="L234" i="165"/>
  <c r="P181" i="165"/>
  <c r="J170" i="165"/>
  <c r="P164" i="165"/>
  <c r="K120" i="165"/>
  <c r="O103" i="165"/>
  <c r="O102" i="165" s="1"/>
  <c r="P96" i="165"/>
  <c r="P95" i="165" s="1"/>
  <c r="E411" i="165"/>
  <c r="E408" i="165" s="1"/>
  <c r="K450" i="165"/>
  <c r="O405" i="165"/>
  <c r="E220" i="165"/>
  <c r="E215" i="165" s="1"/>
  <c r="P185" i="165"/>
  <c r="E91" i="165"/>
  <c r="P56" i="165"/>
  <c r="E102" i="165"/>
  <c r="M155" i="165"/>
  <c r="J452" i="165"/>
  <c r="P384" i="165"/>
  <c r="P415" i="165"/>
  <c r="P20" i="165"/>
  <c r="J42" i="165"/>
  <c r="E249" i="165"/>
  <c r="E271" i="165"/>
  <c r="P306" i="165"/>
  <c r="O261" i="165"/>
  <c r="J262" i="165"/>
  <c r="F454" i="165"/>
  <c r="J214" i="165"/>
  <c r="P287" i="165"/>
  <c r="E44" i="165"/>
  <c r="K22" i="165"/>
  <c r="J130" i="165"/>
  <c r="H259" i="165"/>
  <c r="I259" i="165"/>
  <c r="G288" i="165"/>
  <c r="E304" i="165"/>
  <c r="G408" i="165"/>
  <c r="P48" i="165"/>
  <c r="P218" i="165"/>
  <c r="N223" i="165"/>
  <c r="J311" i="165"/>
  <c r="J309" i="165" s="1"/>
  <c r="J316" i="165"/>
  <c r="L322" i="165"/>
  <c r="F329" i="165"/>
  <c r="H408" i="165"/>
  <c r="J26" i="165"/>
  <c r="O25" i="165"/>
  <c r="F44" i="165"/>
  <c r="P61" i="165"/>
  <c r="P131" i="165"/>
  <c r="J134" i="165"/>
  <c r="G223" i="165"/>
  <c r="L259" i="165"/>
  <c r="J276" i="165"/>
  <c r="J275" i="165" s="1"/>
  <c r="P413" i="165"/>
  <c r="J426" i="165"/>
  <c r="F308" i="165"/>
  <c r="P313" i="165"/>
  <c r="H317" i="165"/>
  <c r="P341" i="165"/>
  <c r="P376" i="165"/>
  <c r="P427" i="165"/>
  <c r="E447" i="165"/>
  <c r="F390" i="165"/>
  <c r="F387" i="165" s="1"/>
  <c r="F334" i="165"/>
  <c r="E329" i="165"/>
  <c r="J241" i="165"/>
  <c r="P117" i="165"/>
  <c r="K102" i="165"/>
  <c r="M223" i="165"/>
  <c r="P252" i="165"/>
  <c r="E260" i="165"/>
  <c r="P173" i="165"/>
  <c r="J128" i="165"/>
  <c r="J200" i="165"/>
  <c r="L187" i="167" s="1"/>
  <c r="K223" i="165"/>
  <c r="E454" i="165"/>
  <c r="J374" i="165"/>
  <c r="P375" i="165"/>
  <c r="O447" i="165"/>
  <c r="K408" i="165"/>
  <c r="O349" i="165"/>
  <c r="P336" i="165"/>
  <c r="N317" i="165"/>
  <c r="J249" i="165"/>
  <c r="J256" i="165"/>
  <c r="P244" i="165"/>
  <c r="P246" i="165"/>
  <c r="J165" i="165"/>
  <c r="P157" i="165"/>
  <c r="P60" i="165"/>
  <c r="P86" i="165"/>
  <c r="O457" i="165"/>
  <c r="P458" i="165"/>
  <c r="J428" i="165"/>
  <c r="F408" i="165"/>
  <c r="P305" i="165"/>
  <c r="F278" i="165"/>
  <c r="P19" i="165"/>
  <c r="E25" i="165"/>
  <c r="L31" i="165"/>
  <c r="J146" i="165"/>
  <c r="P395" i="165"/>
  <c r="O437" i="165"/>
  <c r="P273" i="165"/>
  <c r="O319" i="165"/>
  <c r="O318" i="165" s="1"/>
  <c r="H329" i="165"/>
  <c r="J447" i="165"/>
  <c r="N408" i="165"/>
  <c r="P255" i="165"/>
  <c r="K260" i="165"/>
  <c r="J440" i="165"/>
  <c r="P446" i="165"/>
  <c r="P242" i="165"/>
  <c r="P282" i="165"/>
  <c r="K288" i="165"/>
  <c r="J444" i="165"/>
  <c r="P448" i="165"/>
  <c r="J414" i="165"/>
  <c r="J411" i="165" s="1"/>
  <c r="O411" i="165"/>
  <c r="J335" i="165"/>
  <c r="J254" i="165"/>
  <c r="P254" i="165" s="1"/>
  <c r="J225" i="165"/>
  <c r="J177" i="165"/>
  <c r="P81" i="165"/>
  <c r="J108" i="165"/>
  <c r="P128" i="165"/>
  <c r="O256" i="165"/>
  <c r="N51" i="165"/>
  <c r="O66" i="165"/>
  <c r="J67" i="165"/>
  <c r="O28" i="165"/>
  <c r="P324" i="165"/>
  <c r="E405" i="165"/>
  <c r="P440" i="165"/>
  <c r="O334" i="165"/>
  <c r="E384" i="165"/>
  <c r="P281" i="165"/>
  <c r="I408" i="165"/>
  <c r="L428" i="165"/>
  <c r="F437" i="165"/>
  <c r="J409" i="165"/>
  <c r="O390" i="165"/>
  <c r="O387" i="165" s="1"/>
  <c r="K349" i="165"/>
  <c r="O308" i="165"/>
  <c r="O291" i="165"/>
  <c r="O288" i="165" s="1"/>
  <c r="J263" i="165"/>
  <c r="O213" i="165"/>
  <c r="J123" i="165"/>
  <c r="P103" i="165"/>
  <c r="J29" i="165"/>
  <c r="P29" i="165" s="1"/>
  <c r="E335" i="165"/>
  <c r="P235" i="165"/>
  <c r="L240" i="165"/>
  <c r="G240" i="165"/>
  <c r="K234" i="165"/>
  <c r="F234" i="165"/>
  <c r="P265" i="165"/>
  <c r="O151" i="165"/>
  <c r="P137" i="165"/>
  <c r="J117" i="165"/>
  <c r="F51" i="165"/>
  <c r="J91" i="165"/>
  <c r="K51" i="165"/>
  <c r="P74" i="165"/>
  <c r="J44" i="165"/>
  <c r="P97" i="165"/>
  <c r="E117" i="165"/>
  <c r="H223" i="165"/>
  <c r="G234" i="165"/>
  <c r="P239" i="165"/>
  <c r="K278" i="165"/>
  <c r="J286" i="165"/>
  <c r="P289" i="165"/>
  <c r="P124" i="165"/>
  <c r="P176" i="165"/>
  <c r="J289" i="165"/>
  <c r="P307" i="165"/>
  <c r="P23" i="165"/>
  <c r="P32" i="165"/>
  <c r="P59" i="165"/>
  <c r="E66" i="165"/>
  <c r="P193" i="165"/>
  <c r="J199" i="165"/>
  <c r="J196" i="165" s="1"/>
  <c r="K215" i="165"/>
  <c r="F224" i="165"/>
  <c r="G450" i="165"/>
  <c r="J438" i="165"/>
  <c r="O428" i="165"/>
  <c r="P407" i="165"/>
  <c r="J391" i="165"/>
  <c r="P396" i="165"/>
  <c r="O373" i="165"/>
  <c r="P340" i="165"/>
  <c r="P332" i="165"/>
  <c r="O329" i="165"/>
  <c r="J304" i="165"/>
  <c r="J237" i="165"/>
  <c r="P253" i="165"/>
  <c r="F240" i="165"/>
  <c r="O234" i="165"/>
  <c r="P216" i="165"/>
  <c r="J156" i="165"/>
  <c r="J152" i="165"/>
  <c r="G155" i="165"/>
  <c r="F120" i="165"/>
  <c r="P109" i="165"/>
  <c r="J57" i="165"/>
  <c r="E80" i="165"/>
  <c r="P69" i="165"/>
  <c r="H51" i="165"/>
  <c r="P54" i="165"/>
  <c r="O44" i="165"/>
  <c r="P43" i="165"/>
  <c r="M27" i="165"/>
  <c r="L51" i="165"/>
  <c r="N155" i="165"/>
  <c r="J195" i="165"/>
  <c r="K201" i="165"/>
  <c r="P258" i="165"/>
  <c r="N259" i="165"/>
  <c r="P342" i="165"/>
  <c r="F398" i="165"/>
  <c r="L408" i="165"/>
  <c r="P122" i="165"/>
  <c r="P132" i="165"/>
  <c r="P219" i="165"/>
  <c r="I223" i="165"/>
  <c r="P283" i="165"/>
  <c r="K308" i="165"/>
  <c r="P314" i="165"/>
  <c r="E319" i="165"/>
  <c r="E318" i="165" s="1"/>
  <c r="M408" i="165"/>
  <c r="P47" i="165"/>
  <c r="P125" i="165"/>
  <c r="P179" i="165"/>
  <c r="H215" i="165"/>
  <c r="L223" i="165"/>
  <c r="F259" i="165"/>
  <c r="G329" i="165"/>
  <c r="E279" i="165"/>
  <c r="J285" i="165"/>
  <c r="E309" i="165"/>
  <c r="P315" i="165"/>
  <c r="J399" i="165"/>
  <c r="O454" i="165"/>
  <c r="P333" i="165"/>
  <c r="E457" i="165"/>
  <c r="J244" i="165"/>
  <c r="O246" i="165"/>
  <c r="E256" i="165"/>
  <c r="E349" i="165"/>
  <c r="P37" i="165"/>
  <c r="F27" i="165"/>
  <c r="P36" i="165"/>
  <c r="J35" i="165"/>
  <c r="J18" i="165"/>
  <c r="O17" i="165"/>
  <c r="E39" i="165"/>
  <c r="P34" i="165"/>
  <c r="O39" i="165"/>
  <c r="J40" i="165"/>
  <c r="E35" i="165"/>
  <c r="O63" i="165"/>
  <c r="J64" i="165"/>
  <c r="P64" i="165" s="1"/>
  <c r="J52" i="165"/>
  <c r="P106" i="165"/>
  <c r="J105" i="165"/>
  <c r="P92" i="165"/>
  <c r="O83" i="165"/>
  <c r="J84" i="165"/>
  <c r="E63" i="165"/>
  <c r="P58" i="165"/>
  <c r="O126" i="165"/>
  <c r="J127" i="165"/>
  <c r="P142" i="165"/>
  <c r="P141" i="165" s="1"/>
  <c r="O143" i="165"/>
  <c r="J144" i="165"/>
  <c r="P121" i="165"/>
  <c r="E126" i="165"/>
  <c r="P169" i="165"/>
  <c r="J168" i="165"/>
  <c r="J203" i="165"/>
  <c r="P166" i="165"/>
  <c r="E177" i="165"/>
  <c r="E155" i="165" s="1"/>
  <c r="P178" i="165"/>
  <c r="F155" i="165"/>
  <c r="E225" i="165"/>
  <c r="P226" i="165"/>
  <c r="O220" i="165"/>
  <c r="J222" i="165"/>
  <c r="P243" i="165"/>
  <c r="P238" i="165"/>
  <c r="E237" i="165"/>
  <c r="P250" i="165"/>
  <c r="O251" i="165"/>
  <c r="O279" i="165"/>
  <c r="J280" i="165"/>
  <c r="J271" i="165"/>
  <c r="P272" i="165"/>
  <c r="E291" i="165"/>
  <c r="P292" i="165"/>
  <c r="P310" i="165"/>
  <c r="P326" i="165"/>
  <c r="J325" i="165"/>
  <c r="J319" i="165"/>
  <c r="J318" i="165" s="1"/>
  <c r="P320" i="165"/>
  <c r="P323" i="165"/>
  <c r="J364" i="165"/>
  <c r="O363" i="165"/>
  <c r="J356" i="165"/>
  <c r="J355" i="165" s="1"/>
  <c r="J354" i="165" s="1"/>
  <c r="J348" i="165"/>
  <c r="J344" i="165"/>
  <c r="O343" i="165"/>
  <c r="P352" i="165"/>
  <c r="P350" i="165" s="1"/>
  <c r="J380" i="165"/>
  <c r="P392" i="165"/>
  <c r="J393" i="165"/>
  <c r="P394" i="165"/>
  <c r="E399" i="165"/>
  <c r="P400" i="165"/>
  <c r="P412" i="165"/>
  <c r="P410" i="165"/>
  <c r="J436" i="165"/>
  <c r="O435" i="165"/>
  <c r="P439" i="165"/>
  <c r="J455" i="165"/>
  <c r="P456" i="165"/>
  <c r="E452" i="165"/>
  <c r="P453" i="165"/>
  <c r="J28" i="165" l="1"/>
  <c r="J346" i="165"/>
  <c r="J345" i="165" s="1"/>
  <c r="P263" i="165"/>
  <c r="J405" i="165"/>
  <c r="J291" i="165"/>
  <c r="E240" i="165"/>
  <c r="P330" i="165"/>
  <c r="P329" i="165" s="1"/>
  <c r="P447" i="165"/>
  <c r="P156" i="165"/>
  <c r="J425" i="165"/>
  <c r="P426" i="165"/>
  <c r="E398" i="165"/>
  <c r="P195" i="165"/>
  <c r="E334" i="165"/>
  <c r="J251" i="165"/>
  <c r="O408" i="165"/>
  <c r="P304" i="165"/>
  <c r="J373" i="165"/>
  <c r="P374" i="165"/>
  <c r="O22" i="165"/>
  <c r="E390" i="165"/>
  <c r="E387" i="165" s="1"/>
  <c r="F450" i="165"/>
  <c r="P438" i="165"/>
  <c r="P399" i="165"/>
  <c r="J390" i="165"/>
  <c r="J387" i="165" s="1"/>
  <c r="J349" i="165"/>
  <c r="P319" i="165"/>
  <c r="P318" i="165" s="1"/>
  <c r="J308" i="165"/>
  <c r="P271" i="165"/>
  <c r="O240" i="165"/>
  <c r="P241" i="165"/>
  <c r="E120" i="165"/>
  <c r="O140" i="165"/>
  <c r="J126" i="165"/>
  <c r="J39" i="165"/>
  <c r="E38" i="165"/>
  <c r="J151" i="165"/>
  <c r="P152" i="165"/>
  <c r="P339" i="165"/>
  <c r="O27" i="165"/>
  <c r="P45" i="165"/>
  <c r="K317" i="165"/>
  <c r="O260" i="165"/>
  <c r="P391" i="165"/>
  <c r="P249" i="165"/>
  <c r="P251" i="165"/>
  <c r="P165" i="165"/>
  <c r="P127" i="165"/>
  <c r="J102" i="165"/>
  <c r="O38" i="165"/>
  <c r="P28" i="165"/>
  <c r="P42" i="165"/>
  <c r="P455" i="165"/>
  <c r="J322" i="165"/>
  <c r="P291" i="165"/>
  <c r="P288" i="165" s="1"/>
  <c r="E234" i="165"/>
  <c r="O215" i="165"/>
  <c r="J155" i="165"/>
  <c r="P57" i="165"/>
  <c r="P105" i="165"/>
  <c r="J31" i="165"/>
  <c r="J27" i="165" s="1"/>
  <c r="E308" i="165"/>
  <c r="P285" i="165"/>
  <c r="P80" i="165"/>
  <c r="P108" i="165"/>
  <c r="P146" i="165"/>
  <c r="J66" i="165"/>
  <c r="P67" i="165"/>
  <c r="J334" i="165"/>
  <c r="K259" i="165"/>
  <c r="L27" i="165"/>
  <c r="P457" i="165"/>
  <c r="P444" i="165"/>
  <c r="P428" i="165"/>
  <c r="P276" i="165"/>
  <c r="P275" i="165" s="1"/>
  <c r="J133" i="165"/>
  <c r="P134" i="165"/>
  <c r="J25" i="165"/>
  <c r="P26" i="165"/>
  <c r="P316" i="165"/>
  <c r="P262" i="165"/>
  <c r="J261" i="165"/>
  <c r="O450" i="165"/>
  <c r="E278" i="165"/>
  <c r="J437" i="165"/>
  <c r="P199" i="165"/>
  <c r="P123" i="165"/>
  <c r="E22" i="165"/>
  <c r="P200" i="165"/>
  <c r="P311" i="165"/>
  <c r="P409" i="165"/>
  <c r="P168" i="165"/>
  <c r="J63" i="165"/>
  <c r="P63" i="165" s="1"/>
  <c r="J398" i="165"/>
  <c r="P257" i="165"/>
  <c r="J234" i="165"/>
  <c r="J454" i="165"/>
  <c r="P405" i="165"/>
  <c r="J408" i="165"/>
  <c r="P393" i="165"/>
  <c r="P325" i="165"/>
  <c r="O278" i="165"/>
  <c r="P237" i="165"/>
  <c r="P225" i="165"/>
  <c r="P177" i="165"/>
  <c r="P180" i="165"/>
  <c r="O120" i="165"/>
  <c r="P91" i="165"/>
  <c r="O51" i="165"/>
  <c r="E259" i="165"/>
  <c r="F223" i="165"/>
  <c r="P286" i="165"/>
  <c r="P136" i="165"/>
  <c r="F317" i="165"/>
  <c r="P414" i="165"/>
  <c r="P335" i="165"/>
  <c r="P130" i="165"/>
  <c r="L317" i="165"/>
  <c r="J213" i="165"/>
  <c r="P214" i="165"/>
  <c r="P452" i="165"/>
  <c r="E450" i="165"/>
  <c r="E288" i="165"/>
  <c r="P18" i="165"/>
  <c r="J17" i="165"/>
  <c r="P35" i="165"/>
  <c r="E31" i="165"/>
  <c r="P40" i="165"/>
  <c r="P52" i="165"/>
  <c r="J83" i="165"/>
  <c r="P84" i="165"/>
  <c r="E51" i="165"/>
  <c r="P144" i="165"/>
  <c r="J143" i="165"/>
  <c r="P203" i="165"/>
  <c r="P222" i="165"/>
  <c r="J220" i="165"/>
  <c r="J279" i="165"/>
  <c r="P280" i="165"/>
  <c r="P356" i="165"/>
  <c r="P355" i="165" s="1"/>
  <c r="P354" i="165" s="1"/>
  <c r="J343" i="165"/>
  <c r="P344" i="165"/>
  <c r="P348" i="165"/>
  <c r="J363" i="165"/>
  <c r="P364" i="165"/>
  <c r="P380" i="165"/>
  <c r="J435" i="165"/>
  <c r="P436" i="165"/>
  <c r="P83" i="184" l="1"/>
  <c r="P346" i="165"/>
  <c r="P345" i="165"/>
  <c r="J288" i="165"/>
  <c r="P322" i="165"/>
  <c r="P309" i="165"/>
  <c r="P308" i="165" s="1"/>
  <c r="P435" i="165"/>
  <c r="J278" i="165"/>
  <c r="J120" i="165"/>
  <c r="P25" i="165"/>
  <c r="P363" i="165"/>
  <c r="P240" i="165"/>
  <c r="P390" i="165"/>
  <c r="P387" i="165" s="1"/>
  <c r="P256" i="165"/>
  <c r="P261" i="165"/>
  <c r="O317" i="165"/>
  <c r="P454" i="165"/>
  <c r="O259" i="165"/>
  <c r="E317" i="165"/>
  <c r="P398" i="165"/>
  <c r="P334" i="165"/>
  <c r="P39" i="165"/>
  <c r="P213" i="165"/>
  <c r="J140" i="165"/>
  <c r="P83" i="165"/>
  <c r="P411" i="165"/>
  <c r="J22" i="165"/>
  <c r="P126" i="165"/>
  <c r="J38" i="165"/>
  <c r="P44" i="165"/>
  <c r="P343" i="165"/>
  <c r="J317" i="165"/>
  <c r="J215" i="165"/>
  <c r="J450" i="165"/>
  <c r="P279" i="165"/>
  <c r="P220" i="165"/>
  <c r="P143" i="165"/>
  <c r="J51" i="165"/>
  <c r="P234" i="165"/>
  <c r="P196" i="165"/>
  <c r="J260" i="165"/>
  <c r="P133" i="165"/>
  <c r="P102" i="165"/>
  <c r="P66" i="165"/>
  <c r="P151" i="165"/>
  <c r="P437" i="165"/>
  <c r="P373" i="165"/>
  <c r="P349" i="165"/>
  <c r="P425" i="165"/>
  <c r="J240" i="165"/>
  <c r="P17" i="165"/>
  <c r="E27" i="165"/>
  <c r="P31" i="165"/>
  <c r="P450" i="165"/>
  <c r="P51" i="165" l="1"/>
  <c r="P155" i="165"/>
  <c r="P215" i="165"/>
  <c r="P408" i="165"/>
  <c r="P317" i="165"/>
  <c r="P22" i="165"/>
  <c r="J259" i="165"/>
  <c r="P140" i="165"/>
  <c r="P278" i="165"/>
  <c r="P38" i="165"/>
  <c r="P260" i="165"/>
  <c r="P120" i="165"/>
  <c r="P27" i="165"/>
  <c r="P259" i="165" l="1"/>
  <c r="H53" i="167" l="1"/>
  <c r="H369" i="167" l="1"/>
  <c r="E114" i="170"/>
  <c r="F116" i="165"/>
  <c r="G116" i="165"/>
  <c r="H116" i="165"/>
  <c r="I116" i="165"/>
  <c r="J116" i="165"/>
  <c r="K116" i="165"/>
  <c r="L116" i="165"/>
  <c r="M116" i="165"/>
  <c r="N116" i="165"/>
  <c r="O116" i="165"/>
  <c r="P116" i="165"/>
  <c r="Q116" i="165" s="1"/>
  <c r="E116" i="165"/>
  <c r="J115" i="167"/>
  <c r="H115" i="167"/>
  <c r="D78" i="188"/>
  <c r="H43" i="167"/>
  <c r="K44" i="167" s="1"/>
  <c r="J35" i="167"/>
  <c r="I35" i="167"/>
  <c r="H35" i="167"/>
  <c r="I115" i="167" l="1"/>
  <c r="G115" i="167" s="1"/>
  <c r="G35" i="167"/>
  <c r="J300" i="167" l="1"/>
  <c r="I300" i="167"/>
  <c r="G288" i="167"/>
  <c r="G287" i="167"/>
  <c r="H280" i="167"/>
  <c r="K278" i="167" s="1"/>
  <c r="J25" i="172" l="1"/>
  <c r="J103" i="167" l="1"/>
  <c r="D62" i="170"/>
  <c r="C133" i="188" l="1"/>
  <c r="G32" i="167"/>
  <c r="J31" i="167"/>
  <c r="M282" i="167"/>
  <c r="G284" i="167"/>
  <c r="J229" i="167" l="1"/>
  <c r="D101" i="170"/>
  <c r="K377" i="165" l="1"/>
  <c r="H229" i="167"/>
  <c r="G278" i="167"/>
  <c r="J280" i="167"/>
  <c r="J240" i="167"/>
  <c r="J102" i="167"/>
  <c r="J138" i="167"/>
  <c r="H103" i="167" l="1"/>
  <c r="I103" i="167"/>
  <c r="I138" i="167"/>
  <c r="H240" i="167"/>
  <c r="I229" i="167"/>
  <c r="G229" i="167" s="1"/>
  <c r="H102" i="167"/>
  <c r="H138" i="167"/>
  <c r="G103" i="167" l="1"/>
  <c r="G138" i="167"/>
  <c r="I240" i="167"/>
  <c r="G240" i="167" s="1"/>
  <c r="I102" i="167"/>
  <c r="G102" i="167" s="1"/>
  <c r="G25" i="167" l="1"/>
  <c r="C134" i="188" l="1"/>
  <c r="C158" i="188" l="1"/>
  <c r="C129" i="188"/>
  <c r="G418" i="165" l="1"/>
  <c r="H418" i="165"/>
  <c r="I418" i="165"/>
  <c r="L418" i="165"/>
  <c r="M418" i="165"/>
  <c r="N418" i="165"/>
  <c r="F419" i="165"/>
  <c r="K419" i="165"/>
  <c r="E377" i="165" l="1"/>
  <c r="K40" i="167"/>
  <c r="O419" i="165"/>
  <c r="J419" i="165" s="1"/>
  <c r="E419" i="165"/>
  <c r="E418" i="165" s="1"/>
  <c r="O381" i="165"/>
  <c r="O378" i="165" s="1"/>
  <c r="N417" i="165"/>
  <c r="H417" i="165"/>
  <c r="M417" i="165"/>
  <c r="G417" i="165"/>
  <c r="L417" i="165"/>
  <c r="I417" i="165"/>
  <c r="K418" i="165"/>
  <c r="F418" i="165"/>
  <c r="O377" i="165" l="1"/>
  <c r="O418" i="165"/>
  <c r="O417" i="165" s="1"/>
  <c r="I31" i="167"/>
  <c r="K282" i="167"/>
  <c r="H67" i="167"/>
  <c r="H31" i="167"/>
  <c r="L282" i="167"/>
  <c r="I280" i="167"/>
  <c r="G280" i="167" s="1"/>
  <c r="L295" i="167"/>
  <c r="J381" i="165"/>
  <c r="J378" i="165" s="1"/>
  <c r="F417" i="165"/>
  <c r="J418" i="165"/>
  <c r="E417" i="165"/>
  <c r="K417" i="165"/>
  <c r="P419" i="165"/>
  <c r="J377" i="165" l="1"/>
  <c r="P381" i="165"/>
  <c r="P378" i="165" s="1"/>
  <c r="J417" i="165"/>
  <c r="P418" i="165"/>
  <c r="P377" i="165" l="1"/>
  <c r="P417" i="165"/>
  <c r="J260" i="167" l="1"/>
  <c r="I260" i="167"/>
  <c r="H260" i="167"/>
  <c r="G244" i="167"/>
  <c r="G260" i="167" l="1"/>
  <c r="J165" i="167"/>
  <c r="I165" i="167"/>
  <c r="G165" i="167" l="1"/>
  <c r="J137" i="167"/>
  <c r="I137" i="167"/>
  <c r="H137" i="167"/>
  <c r="J113" i="167"/>
  <c r="H113" i="167" l="1"/>
  <c r="G137" i="167"/>
  <c r="I113" i="167" l="1"/>
  <c r="G113" i="167" s="1"/>
  <c r="F57" i="172" l="1"/>
  <c r="E57" i="172"/>
  <c r="I25" i="172"/>
  <c r="D57" i="172" l="1"/>
  <c r="C57" i="172" s="1"/>
  <c r="H25" i="172" l="1"/>
  <c r="C27" i="172"/>
  <c r="J30" i="167" l="1"/>
  <c r="C157" i="188"/>
  <c r="H30" i="167" l="1"/>
  <c r="I30" i="167"/>
  <c r="G30" i="167" l="1"/>
  <c r="J92" i="167" l="1"/>
  <c r="J93" i="167"/>
  <c r="H93" i="167"/>
  <c r="J109" i="167"/>
  <c r="I109" i="167"/>
  <c r="D17" i="170"/>
  <c r="D29" i="170" s="1"/>
  <c r="C130" i="188"/>
  <c r="C126" i="188"/>
  <c r="I92" i="167" l="1"/>
  <c r="H92" i="167"/>
  <c r="H109" i="167"/>
  <c r="G109" i="167" s="1"/>
  <c r="G175" i="167"/>
  <c r="G92" i="167" l="1"/>
  <c r="I93" i="167"/>
  <c r="G93" i="167" s="1"/>
  <c r="E47" i="172"/>
  <c r="G135" i="167" l="1"/>
  <c r="M134" i="167"/>
  <c r="G107" i="167"/>
  <c r="J348" i="167"/>
  <c r="I348" i="167"/>
  <c r="H348" i="167"/>
  <c r="D96" i="170"/>
  <c r="G17" i="167"/>
  <c r="G348" i="167" l="1"/>
  <c r="G187" i="167" l="1"/>
  <c r="J327" i="167"/>
  <c r="H327" i="167" l="1"/>
  <c r="I327" i="167"/>
  <c r="G327" i="167" l="1"/>
  <c r="G323" i="167"/>
  <c r="M322" i="167"/>
  <c r="G322" i="167"/>
  <c r="G300" i="167"/>
  <c r="K322" i="167" l="1"/>
  <c r="L322" i="167"/>
  <c r="J289" i="167"/>
  <c r="I289" i="167"/>
  <c r="H289" i="167"/>
  <c r="M258" i="167"/>
  <c r="G259" i="167"/>
  <c r="G258" i="167"/>
  <c r="L258" i="167"/>
  <c r="K258" i="167"/>
  <c r="G289" i="167" l="1"/>
  <c r="Q83" i="184" s="1"/>
  <c r="G255" i="167" l="1"/>
  <c r="G355" i="167" l="1"/>
  <c r="J316" i="167" l="1"/>
  <c r="C122" i="188"/>
  <c r="J108" i="167"/>
  <c r="D89" i="170"/>
  <c r="H108" i="167" l="1"/>
  <c r="D107" i="170"/>
  <c r="J246" i="167"/>
  <c r="I246" i="167"/>
  <c r="H246" i="167"/>
  <c r="I108" i="167" l="1"/>
  <c r="G108" i="167" s="1"/>
  <c r="G246" i="167"/>
  <c r="F47" i="172" l="1"/>
  <c r="F42" i="172"/>
  <c r="F41" i="172" s="1"/>
  <c r="E42" i="172"/>
  <c r="H29" i="167" l="1"/>
  <c r="J168" i="167" l="1"/>
  <c r="G162" i="167" l="1"/>
  <c r="J161" i="167" l="1"/>
  <c r="M161" i="167" s="1"/>
  <c r="G291" i="167"/>
  <c r="I168" i="167" l="1"/>
  <c r="J368" i="167" l="1"/>
  <c r="I368" i="167"/>
  <c r="J290" i="167" l="1"/>
  <c r="M290" i="167" s="1"/>
  <c r="G81" i="167"/>
  <c r="G78" i="167"/>
  <c r="J77" i="167" l="1"/>
  <c r="M77" i="167" s="1"/>
  <c r="J80" i="167"/>
  <c r="M80" i="167" s="1"/>
  <c r="C83" i="188" l="1"/>
  <c r="D82" i="188"/>
  <c r="C82" i="188" l="1"/>
  <c r="J57" i="167" l="1"/>
  <c r="I57" i="167"/>
  <c r="G41" i="167"/>
  <c r="G31" i="167" l="1"/>
  <c r="G368" i="167" l="1"/>
  <c r="M367" i="167"/>
  <c r="D71" i="170"/>
  <c r="J366" i="167" l="1"/>
  <c r="M243" i="167" l="1"/>
  <c r="G251" i="167"/>
  <c r="J136" i="167"/>
  <c r="J67" i="167"/>
  <c r="G58" i="167"/>
  <c r="C140" i="188"/>
  <c r="M40" i="167" l="1"/>
  <c r="I366" i="167"/>
  <c r="G366" i="167" s="1"/>
  <c r="H136" i="167"/>
  <c r="I136" i="167" l="1"/>
  <c r="G136" i="167" s="1"/>
  <c r="C18" i="188"/>
  <c r="J27" i="107" l="1"/>
  <c r="I27" i="107"/>
  <c r="H27" i="107"/>
  <c r="G27" i="107"/>
  <c r="F27" i="107"/>
  <c r="F25" i="107"/>
  <c r="N28" i="107"/>
  <c r="N27" i="107" s="1"/>
  <c r="P28" i="107"/>
  <c r="P27" i="107" s="1"/>
  <c r="Q28" i="107"/>
  <c r="Q27" i="107" s="1"/>
  <c r="P26" i="107"/>
  <c r="M49" i="167"/>
  <c r="K27" i="107" l="1"/>
  <c r="L27" i="107"/>
  <c r="M27" i="107"/>
  <c r="F24" i="107"/>
  <c r="O28" i="107"/>
  <c r="O27" i="107" s="1"/>
  <c r="J105" i="167" l="1"/>
  <c r="J104" i="167"/>
  <c r="H105" i="167" l="1"/>
  <c r="H104" i="167"/>
  <c r="I105" i="167" l="1"/>
  <c r="G105" i="167" s="1"/>
  <c r="I104" i="167"/>
  <c r="G104" i="167" s="1"/>
  <c r="M370" i="167" l="1"/>
  <c r="G369" i="167"/>
  <c r="H26" i="167"/>
  <c r="K24" i="167" s="1"/>
  <c r="G29" i="167" l="1"/>
  <c r="D33" i="170" l="1"/>
  <c r="D14" i="170"/>
  <c r="D71" i="188"/>
  <c r="C89" i="188"/>
  <c r="C76" i="188"/>
  <c r="C75" i="188"/>
  <c r="C28" i="188"/>
  <c r="D27" i="188"/>
  <c r="D17" i="188"/>
  <c r="C23" i="188"/>
  <c r="C22" i="188"/>
  <c r="C71" i="188" l="1"/>
  <c r="D118" i="170"/>
  <c r="D21" i="172" l="1"/>
  <c r="J396" i="167"/>
  <c r="I26" i="107"/>
  <c r="I25" i="107" s="1"/>
  <c r="I24" i="107" s="1"/>
  <c r="G150" i="167"/>
  <c r="J314" i="167" l="1"/>
  <c r="J263" i="167" l="1"/>
  <c r="J267" i="167"/>
  <c r="M262" i="167"/>
  <c r="G256" i="167"/>
  <c r="H267" i="167" l="1"/>
  <c r="I267" i="167" l="1"/>
  <c r="G267" i="167" s="1"/>
  <c r="G121" i="167" l="1"/>
  <c r="G261" i="167" l="1"/>
  <c r="F111" i="188" l="1"/>
  <c r="D111" i="188"/>
  <c r="D107" i="188"/>
  <c r="H316" i="167" l="1"/>
  <c r="D106" i="188"/>
  <c r="I316" i="167" l="1"/>
  <c r="G316" i="167" s="1"/>
  <c r="E116" i="170"/>
  <c r="C54" i="172"/>
  <c r="C53" i="172" s="1"/>
  <c r="C52" i="172"/>
  <c r="C51" i="172" s="1"/>
  <c r="F53" i="172"/>
  <c r="E53" i="172"/>
  <c r="F51" i="172"/>
  <c r="E51" i="172"/>
  <c r="D51" i="172"/>
  <c r="D23" i="172"/>
  <c r="F21" i="172"/>
  <c r="E21" i="172"/>
  <c r="F23" i="172"/>
  <c r="E23" i="172"/>
  <c r="F20" i="172" l="1"/>
  <c r="E50" i="172"/>
  <c r="D20" i="172"/>
  <c r="C22" i="172"/>
  <c r="F50" i="172"/>
  <c r="D53" i="172"/>
  <c r="D50" i="172" s="1"/>
  <c r="C50" i="172"/>
  <c r="E20" i="172"/>
  <c r="C24" i="172"/>
  <c r="C23" i="172" s="1"/>
  <c r="G335" i="167"/>
  <c r="J101" i="167"/>
  <c r="C21" i="172" l="1"/>
  <c r="C20" i="172" s="1"/>
  <c r="H101" i="167"/>
  <c r="H100" i="167"/>
  <c r="J100" i="167"/>
  <c r="I101" i="167" l="1"/>
  <c r="G101" i="167" s="1"/>
  <c r="I100" i="167"/>
  <c r="G100" i="167" s="1"/>
  <c r="G245" i="167"/>
  <c r="G297" i="167" l="1"/>
  <c r="G296" i="167"/>
  <c r="G281" i="167" l="1"/>
  <c r="J352" i="167" l="1"/>
  <c r="G319" i="167"/>
  <c r="G61" i="167"/>
  <c r="G40" i="167" l="1"/>
  <c r="J248" i="167" l="1"/>
  <c r="I248" i="167"/>
  <c r="H248" i="167"/>
  <c r="G257" i="167" l="1"/>
  <c r="E56" i="172"/>
  <c r="J166" i="167" l="1"/>
  <c r="G167" i="167"/>
  <c r="H397" i="167"/>
  <c r="J397" i="167"/>
  <c r="J393" i="167" s="1"/>
  <c r="I397" i="167"/>
  <c r="G306" i="167"/>
  <c r="G264" i="167"/>
  <c r="G252" i="167"/>
  <c r="G248" i="167"/>
  <c r="G56" i="167"/>
  <c r="D102" i="170"/>
  <c r="G28" i="167"/>
  <c r="M36" i="167"/>
  <c r="G36" i="167"/>
  <c r="H277" i="167" l="1"/>
  <c r="G277" i="167" s="1"/>
  <c r="K36" i="167"/>
  <c r="G397" i="167"/>
  <c r="L36" i="167" l="1"/>
  <c r="G21" i="167"/>
  <c r="J99" i="167" l="1"/>
  <c r="J98" i="167"/>
  <c r="C156" i="188" l="1"/>
  <c r="C110" i="188"/>
  <c r="F107" i="188"/>
  <c r="E107" i="188"/>
  <c r="G334" i="167" l="1"/>
  <c r="G331" i="167" l="1"/>
  <c r="H99" i="167" l="1"/>
  <c r="H98" i="167"/>
  <c r="I98" i="167" l="1"/>
  <c r="G98" i="167" s="1"/>
  <c r="I99" i="167"/>
  <c r="G99" i="167" s="1"/>
  <c r="J361" i="167"/>
  <c r="J199" i="167"/>
  <c r="G217" i="167"/>
  <c r="G200" i="167"/>
  <c r="G195" i="167"/>
  <c r="J194" i="167"/>
  <c r="G164" i="167"/>
  <c r="G181" i="167"/>
  <c r="J127" i="167"/>
  <c r="G128" i="167"/>
  <c r="G124" i="167"/>
  <c r="J163" i="167" l="1"/>
  <c r="J216" i="167"/>
  <c r="D103" i="170" l="1"/>
  <c r="G69" i="167"/>
  <c r="J123" i="167" l="1"/>
  <c r="J225" i="167"/>
  <c r="H225" i="167" l="1"/>
  <c r="J152" i="197"/>
  <c r="I152" i="197"/>
  <c r="H152" i="197"/>
  <c r="G143" i="108"/>
  <c r="G152" i="197"/>
  <c r="C155" i="188"/>
  <c r="D122" i="108"/>
  <c r="D131" i="197"/>
  <c r="I225" i="167" l="1"/>
  <c r="G225" i="167" s="1"/>
  <c r="O26" i="107" l="1"/>
  <c r="N26" i="107"/>
  <c r="M26" i="107"/>
  <c r="Q26" i="107" s="1"/>
  <c r="L25" i="107"/>
  <c r="K25" i="107"/>
  <c r="J25" i="107"/>
  <c r="I23" i="107"/>
  <c r="I22" i="107" s="1"/>
  <c r="I21" i="107" s="1"/>
  <c r="H25" i="107"/>
  <c r="G25" i="107"/>
  <c r="P25" i="107"/>
  <c r="P24" i="107" s="1"/>
  <c r="F23" i="107"/>
  <c r="F22" i="107" s="1"/>
  <c r="F21" i="107" s="1"/>
  <c r="F20" i="107" s="1"/>
  <c r="L24" i="107" l="1"/>
  <c r="L23" i="107" s="1"/>
  <c r="L22" i="107" s="1"/>
  <c r="L21" i="107" s="1"/>
  <c r="L20" i="107" s="1"/>
  <c r="J24" i="107"/>
  <c r="J23" i="107" s="1"/>
  <c r="J22" i="107" s="1"/>
  <c r="J21" i="107" s="1"/>
  <c r="J20" i="107" s="1"/>
  <c r="G24" i="107"/>
  <c r="G23" i="107" s="1"/>
  <c r="G22" i="107" s="1"/>
  <c r="G21" i="107" s="1"/>
  <c r="G20" i="107" s="1"/>
  <c r="H24" i="107"/>
  <c r="H23" i="107" s="1"/>
  <c r="H22" i="107" s="1"/>
  <c r="H21" i="107" s="1"/>
  <c r="H20" i="107" s="1"/>
  <c r="K24" i="107"/>
  <c r="K23" i="107" s="1"/>
  <c r="K22" i="107" s="1"/>
  <c r="K21" i="107" s="1"/>
  <c r="K20" i="107" s="1"/>
  <c r="M25" i="107"/>
  <c r="Q25" i="107" s="1"/>
  <c r="N25" i="107"/>
  <c r="P23" i="107"/>
  <c r="P22" i="107" s="1"/>
  <c r="P21" i="107" s="1"/>
  <c r="P20" i="107" s="1"/>
  <c r="O25" i="107"/>
  <c r="M295" i="167"/>
  <c r="O24" i="107" l="1"/>
  <c r="O23" i="107" s="1"/>
  <c r="O22" i="107" s="1"/>
  <c r="O21" i="107" s="1"/>
  <c r="O20" i="107" s="1"/>
  <c r="Q24" i="107"/>
  <c r="Q23" i="107" s="1"/>
  <c r="Q22" i="107" s="1"/>
  <c r="Q21" i="107" s="1"/>
  <c r="Q20" i="107" s="1"/>
  <c r="N24" i="107"/>
  <c r="N23" i="107" s="1"/>
  <c r="N22" i="107" s="1"/>
  <c r="N21" i="107" s="1"/>
  <c r="N20" i="107" s="1"/>
  <c r="M24" i="107"/>
  <c r="M23" i="107" s="1"/>
  <c r="M22" i="107" s="1"/>
  <c r="M21" i="107" s="1"/>
  <c r="M20" i="107" s="1"/>
  <c r="I20" i="107"/>
  <c r="G295" i="167"/>
  <c r="J171" i="167" l="1"/>
  <c r="M171" i="167" s="1"/>
  <c r="G173" i="167"/>
  <c r="G185" i="167" l="1"/>
  <c r="D16" i="170" l="1"/>
  <c r="C116" i="188"/>
  <c r="G184" i="167" l="1"/>
  <c r="J232" i="167" l="1"/>
  <c r="G362" i="167"/>
  <c r="O402" i="165"/>
  <c r="E402" i="165"/>
  <c r="N401" i="165"/>
  <c r="M401" i="165"/>
  <c r="L401" i="165"/>
  <c r="K401" i="165"/>
  <c r="I401" i="165"/>
  <c r="H401" i="165"/>
  <c r="G401" i="165"/>
  <c r="F401" i="165"/>
  <c r="H232" i="167" l="1"/>
  <c r="E94" i="170"/>
  <c r="E401" i="165"/>
  <c r="O401" i="165"/>
  <c r="J402" i="165"/>
  <c r="G59" i="167"/>
  <c r="J401" i="165" l="1"/>
  <c r="I232" i="167"/>
  <c r="G232" i="167" s="1"/>
  <c r="P402" i="165"/>
  <c r="P401" i="165" l="1"/>
  <c r="G298" i="167" l="1"/>
  <c r="G308" i="167"/>
  <c r="G307" i="167"/>
  <c r="G305" i="167"/>
  <c r="G304" i="167"/>
  <c r="G303" i="167"/>
  <c r="G276" i="167"/>
  <c r="G302" i="167"/>
  <c r="G301" i="167"/>
  <c r="G299" i="167"/>
  <c r="G57" i="167"/>
  <c r="J190" i="167" l="1"/>
  <c r="M180" i="167" l="1"/>
  <c r="O207" i="165"/>
  <c r="J207" i="165" l="1"/>
  <c r="M359" i="167"/>
  <c r="I190" i="167" l="1"/>
  <c r="G190" i="167" s="1"/>
  <c r="P207" i="165"/>
  <c r="J203" i="167"/>
  <c r="J385" i="167" l="1"/>
  <c r="K180" i="197" l="1"/>
  <c r="O432" i="165" l="1"/>
  <c r="J365" i="167"/>
  <c r="J377" i="167"/>
  <c r="J373" i="167"/>
  <c r="H365" i="167" l="1"/>
  <c r="H373" i="167"/>
  <c r="H377" i="167"/>
  <c r="I377" i="167" l="1"/>
  <c r="G377" i="167" s="1"/>
  <c r="I365" i="167"/>
  <c r="G365" i="167" s="1"/>
  <c r="I373" i="167"/>
  <c r="G373" i="167" s="1"/>
  <c r="D97" i="170" l="1"/>
  <c r="D120" i="170"/>
  <c r="C141" i="188" l="1"/>
  <c r="D148" i="188" l="1"/>
  <c r="G120" i="167" l="1"/>
  <c r="J210" i="167" l="1"/>
  <c r="O227" i="165"/>
  <c r="E227" i="165"/>
  <c r="K243" i="167"/>
  <c r="J345" i="167"/>
  <c r="J227" i="165" l="1"/>
  <c r="H210" i="167"/>
  <c r="H345" i="167"/>
  <c r="G254" i="167" l="1"/>
  <c r="P227" i="165"/>
  <c r="I345" i="167"/>
  <c r="I210" i="167"/>
  <c r="G210" i="167" s="1"/>
  <c r="J122" i="167"/>
  <c r="J141" i="167"/>
  <c r="G345" i="167" l="1"/>
  <c r="H122" i="167"/>
  <c r="H141" i="167"/>
  <c r="I122" i="167" l="1"/>
  <c r="G122" i="167" s="1"/>
  <c r="I141" i="167"/>
  <c r="G141" i="167" s="1"/>
  <c r="G82" i="167"/>
  <c r="G79" i="167"/>
  <c r="G70" i="167"/>
  <c r="G66" i="167"/>
  <c r="G22" i="167" l="1"/>
  <c r="G384" i="167" l="1"/>
  <c r="O431" i="165" l="1"/>
  <c r="N431" i="165"/>
  <c r="M431" i="165"/>
  <c r="L431" i="165"/>
  <c r="K431" i="165"/>
  <c r="I431" i="165"/>
  <c r="H431" i="165"/>
  <c r="G431" i="165"/>
  <c r="F431" i="165"/>
  <c r="E95" i="170" l="1"/>
  <c r="E431" i="165"/>
  <c r="H385" i="167"/>
  <c r="J432" i="165"/>
  <c r="I385" i="167" s="1"/>
  <c r="I380" i="167" l="1"/>
  <c r="E111" i="170"/>
  <c r="J431" i="165"/>
  <c r="D122" i="170" s="1"/>
  <c r="E122" i="170" s="1"/>
  <c r="P432" i="165"/>
  <c r="D21" i="108"/>
  <c r="D24" i="108" s="1"/>
  <c r="G385" i="167" l="1"/>
  <c r="P431" i="165"/>
  <c r="E110" i="170"/>
  <c r="J324" i="167"/>
  <c r="G360" i="167"/>
  <c r="H324" i="167" l="1"/>
  <c r="I324" i="167" l="1"/>
  <c r="G324" i="167" s="1"/>
  <c r="J111" i="167" l="1"/>
  <c r="H111" i="167" l="1"/>
  <c r="I111" i="167" l="1"/>
  <c r="G111" i="167" s="1"/>
  <c r="J268" i="167"/>
  <c r="O301" i="165"/>
  <c r="J301" i="165" s="1"/>
  <c r="J300" i="165" s="1"/>
  <c r="J298" i="165" s="1"/>
  <c r="E301" i="165"/>
  <c r="H268" i="167" s="1"/>
  <c r="N300" i="165"/>
  <c r="N298" i="165" s="1"/>
  <c r="M300" i="165"/>
  <c r="M298" i="165" s="1"/>
  <c r="L300" i="165"/>
  <c r="L298" i="165" s="1"/>
  <c r="K300" i="165"/>
  <c r="K298" i="165" s="1"/>
  <c r="I300" i="165"/>
  <c r="I298" i="165" s="1"/>
  <c r="H300" i="165"/>
  <c r="H298" i="165" s="1"/>
  <c r="G300" i="165"/>
  <c r="G298" i="165" s="1"/>
  <c r="F300" i="165"/>
  <c r="F298" i="165" s="1"/>
  <c r="D33" i="108"/>
  <c r="G297" i="165" l="1"/>
  <c r="J297" i="165"/>
  <c r="H297" i="165"/>
  <c r="M297" i="165"/>
  <c r="F297" i="165"/>
  <c r="K297" i="165"/>
  <c r="L297" i="165"/>
  <c r="I297" i="165"/>
  <c r="N297" i="165"/>
  <c r="I268" i="167"/>
  <c r="G268" i="167" s="1"/>
  <c r="P301" i="165"/>
  <c r="P300" i="165" s="1"/>
  <c r="P298" i="165" s="1"/>
  <c r="E300" i="165"/>
  <c r="E298" i="165" s="1"/>
  <c r="O300" i="165"/>
  <c r="O298" i="165" s="1"/>
  <c r="O297" i="165" l="1"/>
  <c r="P297" i="165"/>
  <c r="E297" i="165"/>
  <c r="I270" i="165"/>
  <c r="H270" i="165"/>
  <c r="K270" i="165"/>
  <c r="L270" i="165"/>
  <c r="F270" i="165"/>
  <c r="G270" i="165"/>
  <c r="N270" i="165"/>
  <c r="M270" i="165"/>
  <c r="G26" i="167"/>
  <c r="O270" i="165" l="1"/>
  <c r="J270" i="165" s="1"/>
  <c r="E270" i="165"/>
  <c r="G44" i="167" l="1"/>
  <c r="J116" i="167" l="1"/>
  <c r="N110" i="165"/>
  <c r="N107" i="165" s="1"/>
  <c r="M110" i="165"/>
  <c r="M107" i="165" s="1"/>
  <c r="L110" i="165"/>
  <c r="L107" i="165" s="1"/>
  <c r="K110" i="165"/>
  <c r="K107" i="165" s="1"/>
  <c r="I110" i="165"/>
  <c r="I107" i="165" s="1"/>
  <c r="H110" i="165"/>
  <c r="H107" i="165" s="1"/>
  <c r="G110" i="165"/>
  <c r="G107" i="165" s="1"/>
  <c r="F110" i="165"/>
  <c r="F107" i="165" s="1"/>
  <c r="O111" i="165"/>
  <c r="E111" i="165"/>
  <c r="E110" i="165" l="1"/>
  <c r="E107" i="165" s="1"/>
  <c r="O110" i="165"/>
  <c r="O107" i="165" s="1"/>
  <c r="H116" i="167"/>
  <c r="J111" i="165"/>
  <c r="J110" i="165" l="1"/>
  <c r="J107" i="165" s="1"/>
  <c r="I116" i="167"/>
  <c r="G116" i="167" s="1"/>
  <c r="P111" i="165"/>
  <c r="P110" i="165" l="1"/>
  <c r="P107" i="165" s="1"/>
  <c r="H361" i="167" l="1"/>
  <c r="D30" i="170"/>
  <c r="C118" i="188"/>
  <c r="C115" i="188" s="1"/>
  <c r="I361" i="167" l="1"/>
  <c r="G361" i="167" s="1"/>
  <c r="G54" i="167" l="1"/>
  <c r="G351" i="167"/>
  <c r="G42" i="167" l="1"/>
  <c r="L40" i="167" l="1"/>
  <c r="I166" i="167"/>
  <c r="G166" i="167" s="1"/>
  <c r="D37" i="188" l="1"/>
  <c r="C39" i="188"/>
  <c r="D56" i="172" l="1"/>
  <c r="G390" i="167" l="1"/>
  <c r="J177" i="167" l="1"/>
  <c r="J139" i="167"/>
  <c r="H139" i="167" l="1"/>
  <c r="I139" i="167" l="1"/>
  <c r="G139" i="167" s="1"/>
  <c r="I177" i="167"/>
  <c r="G177" i="167" s="1"/>
  <c r="H203" i="167" l="1"/>
  <c r="I203" i="167" l="1"/>
  <c r="G203" i="167" s="1"/>
  <c r="G340" i="167"/>
  <c r="G339" i="167"/>
  <c r="N367" i="165" l="1"/>
  <c r="M367" i="165"/>
  <c r="L367" i="165"/>
  <c r="K367" i="165"/>
  <c r="I367" i="165"/>
  <c r="H367" i="165"/>
  <c r="G367" i="165"/>
  <c r="F367" i="165"/>
  <c r="O370" i="165"/>
  <c r="E370" i="165"/>
  <c r="J370" i="165" l="1"/>
  <c r="P370" i="165" s="1"/>
  <c r="G312" i="167"/>
  <c r="G43" i="167" l="1"/>
  <c r="F56" i="172" l="1"/>
  <c r="G243" i="167" l="1"/>
  <c r="C53" i="188" l="1"/>
  <c r="D52" i="188"/>
  <c r="C52" i="188" l="1"/>
  <c r="D41" i="188"/>
  <c r="E111" i="188"/>
  <c r="D103" i="188"/>
  <c r="E61" i="188" l="1"/>
  <c r="G374" i="167" l="1"/>
  <c r="M376" i="167"/>
  <c r="C47" i="172"/>
  <c r="C48" i="172"/>
  <c r="F13" i="107" l="1"/>
  <c r="H13" i="107"/>
  <c r="J13" i="107"/>
  <c r="K13" i="107"/>
  <c r="L13" i="107"/>
  <c r="G20" i="167" l="1"/>
  <c r="O368" i="165" l="1"/>
  <c r="J368" i="165" l="1"/>
  <c r="O367" i="165"/>
  <c r="G285" i="167"/>
  <c r="J367" i="165" l="1"/>
  <c r="J75" i="167" l="1"/>
  <c r="I75" i="167" l="1"/>
  <c r="H75" i="167"/>
  <c r="G75" i="167" l="1"/>
  <c r="J235" i="167" l="1"/>
  <c r="O268" i="165"/>
  <c r="J268" i="165" s="1"/>
  <c r="E115" i="170" s="1"/>
  <c r="E268" i="165"/>
  <c r="N267" i="165"/>
  <c r="N266" i="165" s="1"/>
  <c r="M267" i="165"/>
  <c r="M266" i="165" s="1"/>
  <c r="L267" i="165"/>
  <c r="L266" i="165" s="1"/>
  <c r="K267" i="165"/>
  <c r="K266" i="165" s="1"/>
  <c r="I267" i="165"/>
  <c r="I266" i="165" s="1"/>
  <c r="H267" i="165"/>
  <c r="H266" i="165" s="1"/>
  <c r="G267" i="165"/>
  <c r="G266" i="165" s="1"/>
  <c r="F267" i="165"/>
  <c r="F266" i="165" s="1"/>
  <c r="E89" i="170" l="1"/>
  <c r="E267" i="165"/>
  <c r="E266" i="165" s="1"/>
  <c r="E99" i="170"/>
  <c r="H235" i="167"/>
  <c r="I235" i="167"/>
  <c r="O267" i="165"/>
  <c r="O266" i="165" s="1"/>
  <c r="J267" i="165"/>
  <c r="J266" i="165" s="1"/>
  <c r="P268" i="165"/>
  <c r="P267" i="165" s="1"/>
  <c r="P266" i="165" s="1"/>
  <c r="G235" i="167" l="1"/>
  <c r="D120" i="188"/>
  <c r="D73" i="170" l="1"/>
  <c r="J231" i="167" l="1"/>
  <c r="H231" i="167" l="1"/>
  <c r="H359" i="167" l="1"/>
  <c r="K359" i="167" s="1"/>
  <c r="I231" i="167"/>
  <c r="G231" i="167" s="1"/>
  <c r="L359" i="167" l="1"/>
  <c r="G357" i="167"/>
  <c r="G359" i="167" l="1"/>
  <c r="G18" i="167"/>
  <c r="J114" i="167"/>
  <c r="H114" i="167" l="1"/>
  <c r="I114" i="167"/>
  <c r="F148" i="188"/>
  <c r="C154" i="188"/>
  <c r="C153" i="188"/>
  <c r="D84" i="188"/>
  <c r="F132" i="188" l="1"/>
  <c r="G114" i="167"/>
  <c r="D57" i="188"/>
  <c r="E148" i="188"/>
  <c r="E132" i="188" l="1"/>
  <c r="D65" i="170"/>
  <c r="D76" i="170" s="1"/>
  <c r="O204" i="165" l="1"/>
  <c r="O202" i="165" s="1"/>
  <c r="E204" i="165"/>
  <c r="E202" i="165" s="1"/>
  <c r="E201" i="165" l="1"/>
  <c r="O201" i="165"/>
  <c r="J204" i="165"/>
  <c r="J202" i="165" s="1"/>
  <c r="J201" i="165" l="1"/>
  <c r="G189" i="167"/>
  <c r="P204" i="165"/>
  <c r="P202" i="165" s="1"/>
  <c r="P201" i="165" l="1"/>
  <c r="J140" i="167"/>
  <c r="H140" i="167" l="1"/>
  <c r="I140" i="167" l="1"/>
  <c r="G140" i="167" s="1"/>
  <c r="J97" i="167" l="1"/>
  <c r="C147" i="188"/>
  <c r="C138" i="188"/>
  <c r="C137" i="188"/>
  <c r="C136" i="188"/>
  <c r="C135" i="188"/>
  <c r="C139" i="188"/>
  <c r="F120" i="188"/>
  <c r="E120" i="188"/>
  <c r="C125" i="188"/>
  <c r="C123" i="188"/>
  <c r="E119" i="188" l="1"/>
  <c r="E114" i="188" s="1"/>
  <c r="H97" i="167"/>
  <c r="C149" i="188"/>
  <c r="C93" i="188"/>
  <c r="C20" i="188"/>
  <c r="C19" i="188"/>
  <c r="I97" i="167" l="1"/>
  <c r="G97" i="167" s="1"/>
  <c r="C117" i="188"/>
  <c r="C142" i="188"/>
  <c r="C148" i="188"/>
  <c r="F102" i="188"/>
  <c r="E102" i="188"/>
  <c r="C112" i="188"/>
  <c r="C121" i="188"/>
  <c r="C124" i="188"/>
  <c r="C127" i="188"/>
  <c r="C128" i="188"/>
  <c r="C131" i="188"/>
  <c r="C143" i="188"/>
  <c r="C145" i="188"/>
  <c r="C146" i="188"/>
  <c r="C150" i="188"/>
  <c r="C151" i="188"/>
  <c r="C152" i="188"/>
  <c r="C109" i="188"/>
  <c r="C97" i="188"/>
  <c r="C98" i="188"/>
  <c r="C99" i="188"/>
  <c r="C100" i="188"/>
  <c r="E96" i="188"/>
  <c r="D90" i="188"/>
  <c r="F90" i="188"/>
  <c r="E90" i="188"/>
  <c r="C78" i="188"/>
  <c r="D68" i="188"/>
  <c r="F15" i="188"/>
  <c r="C65" i="188"/>
  <c r="C64" i="188"/>
  <c r="C63" i="188"/>
  <c r="E62" i="188"/>
  <c r="C57" i="188"/>
  <c r="D54" i="188"/>
  <c r="C41" i="188"/>
  <c r="C56" i="188"/>
  <c r="C55" i="188"/>
  <c r="D30" i="188"/>
  <c r="D24" i="188"/>
  <c r="C25" i="188"/>
  <c r="F66" i="188" l="1"/>
  <c r="C24" i="188"/>
  <c r="D16" i="188"/>
  <c r="D40" i="188"/>
  <c r="F119" i="188"/>
  <c r="F114" i="188" s="1"/>
  <c r="C103" i="188"/>
  <c r="C30" i="188"/>
  <c r="E95" i="188"/>
  <c r="C107" i="188"/>
  <c r="D67" i="188"/>
  <c r="D26" i="188"/>
  <c r="D102" i="188"/>
  <c r="C27" i="188"/>
  <c r="C111" i="188"/>
  <c r="C17" i="188"/>
  <c r="C96" i="188"/>
  <c r="C54" i="188"/>
  <c r="E66" i="188" l="1"/>
  <c r="C67" i="188"/>
  <c r="C16" i="188"/>
  <c r="D101" i="188"/>
  <c r="C102" i="188"/>
  <c r="C26" i="188"/>
  <c r="J209" i="167"/>
  <c r="J117" i="167"/>
  <c r="O114" i="165"/>
  <c r="E114" i="165"/>
  <c r="N113" i="165"/>
  <c r="M113" i="165"/>
  <c r="L113" i="165"/>
  <c r="K113" i="165"/>
  <c r="I113" i="165"/>
  <c r="H113" i="165"/>
  <c r="G113" i="165"/>
  <c r="F113" i="165"/>
  <c r="D53" i="170"/>
  <c r="D58" i="170" s="1"/>
  <c r="D144" i="188"/>
  <c r="D132" i="188" l="1"/>
  <c r="M112" i="165"/>
  <c r="N112" i="165"/>
  <c r="F112" i="165"/>
  <c r="H209" i="167"/>
  <c r="H117" i="167"/>
  <c r="I112" i="165"/>
  <c r="L112" i="165"/>
  <c r="E113" i="165"/>
  <c r="C144" i="188"/>
  <c r="H112" i="165"/>
  <c r="G112" i="165"/>
  <c r="K112" i="165"/>
  <c r="J114" i="165"/>
  <c r="O113" i="165"/>
  <c r="C132" i="188" l="1"/>
  <c r="D119" i="188"/>
  <c r="D114" i="188" s="1"/>
  <c r="E112" i="165"/>
  <c r="P114" i="165"/>
  <c r="J113" i="165"/>
  <c r="E113" i="170"/>
  <c r="I117" i="167"/>
  <c r="G117" i="167" s="1"/>
  <c r="O112" i="165"/>
  <c r="I209" i="167"/>
  <c r="G209" i="167" s="1"/>
  <c r="P113" i="165" l="1"/>
  <c r="P112" i="165" s="1"/>
  <c r="J112" i="165"/>
  <c r="C108" i="188" l="1"/>
  <c r="E106" i="188"/>
  <c r="C105" i="188"/>
  <c r="C104" i="188"/>
  <c r="D95" i="188"/>
  <c r="C94" i="188"/>
  <c r="C92" i="188"/>
  <c r="C91" i="188"/>
  <c r="C90" i="188"/>
  <c r="C88" i="188"/>
  <c r="C87" i="188"/>
  <c r="D86" i="188"/>
  <c r="C85" i="188"/>
  <c r="C84" i="188"/>
  <c r="C81" i="188"/>
  <c r="C80" i="188"/>
  <c r="C79" i="188"/>
  <c r="C74" i="188"/>
  <c r="C73" i="188"/>
  <c r="C72" i="188"/>
  <c r="C70" i="188"/>
  <c r="C69" i="188"/>
  <c r="C68" i="188"/>
  <c r="D62" i="188"/>
  <c r="C61" i="188"/>
  <c r="C60" i="188"/>
  <c r="C59" i="188"/>
  <c r="C58" i="188"/>
  <c r="C51" i="188"/>
  <c r="C50" i="188"/>
  <c r="C49" i="188"/>
  <c r="C48" i="188"/>
  <c r="C47" i="188"/>
  <c r="C46" i="188"/>
  <c r="C45" i="188"/>
  <c r="C44" i="188"/>
  <c r="C43" i="188"/>
  <c r="C42" i="188"/>
  <c r="C38" i="188"/>
  <c r="C36" i="188"/>
  <c r="D35" i="188"/>
  <c r="C34" i="188"/>
  <c r="D33" i="188"/>
  <c r="C31" i="188"/>
  <c r="C29" i="188"/>
  <c r="C21" i="188"/>
  <c r="D77" i="188" l="1"/>
  <c r="E101" i="188"/>
  <c r="C101" i="188" s="1"/>
  <c r="C37" i="188"/>
  <c r="D32" i="188"/>
  <c r="C95" i="188"/>
  <c r="C35" i="188"/>
  <c r="E15" i="188"/>
  <c r="C62" i="188"/>
  <c r="F106" i="188"/>
  <c r="C33" i="188"/>
  <c r="C86" i="188"/>
  <c r="C120" i="188"/>
  <c r="C106" i="188"/>
  <c r="F101" i="188" l="1"/>
  <c r="D66" i="188"/>
  <c r="C114" i="188"/>
  <c r="D15" i="188"/>
  <c r="C15" i="188" s="1"/>
  <c r="C32" i="188"/>
  <c r="E113" i="188"/>
  <c r="C77" i="188"/>
  <c r="C119" i="188"/>
  <c r="C40" i="188"/>
  <c r="E159" i="188" l="1"/>
  <c r="F113" i="188"/>
  <c r="D113" i="188"/>
  <c r="D159" i="188" s="1"/>
  <c r="C66" i="188"/>
  <c r="C159" i="188" l="1"/>
  <c r="F159" i="188"/>
  <c r="C113" i="188"/>
  <c r="C45" i="172"/>
  <c r="C44" i="172" s="1"/>
  <c r="F44" i="172"/>
  <c r="E44" i="172"/>
  <c r="D44" i="172"/>
  <c r="D43" i="172" s="1"/>
  <c r="C19" i="172"/>
  <c r="C18" i="172"/>
  <c r="F17" i="172"/>
  <c r="E17" i="172"/>
  <c r="E16" i="172" s="1"/>
  <c r="D17" i="172"/>
  <c r="G55" i="167"/>
  <c r="J354" i="167" l="1"/>
  <c r="M354" i="167" s="1"/>
  <c r="J356" i="167"/>
  <c r="G367" i="167"/>
  <c r="K354" i="167" l="1"/>
  <c r="J350" i="167"/>
  <c r="K367" i="167" l="1"/>
  <c r="G168" i="167"/>
  <c r="I354" i="167"/>
  <c r="L354" i="167" s="1"/>
  <c r="L367" i="167" l="1"/>
  <c r="G354" i="167"/>
  <c r="J73" i="167" l="1"/>
  <c r="J64" i="167" l="1"/>
  <c r="M64" i="167" s="1"/>
  <c r="J96" i="167"/>
  <c r="H73" i="167"/>
  <c r="H96" i="167"/>
  <c r="I73" i="167" l="1"/>
  <c r="G73" i="167" s="1"/>
  <c r="I96" i="167" l="1"/>
  <c r="G96" i="167" s="1"/>
  <c r="J338" i="167"/>
  <c r="E368" i="165"/>
  <c r="E367" i="165" l="1"/>
  <c r="H366" i="165"/>
  <c r="H362" i="165" s="1"/>
  <c r="H338" i="165" s="1"/>
  <c r="N366" i="165"/>
  <c r="N362" i="165" s="1"/>
  <c r="N338" i="165" s="1"/>
  <c r="I366" i="165"/>
  <c r="I362" i="165" s="1"/>
  <c r="I338" i="165" s="1"/>
  <c r="G366" i="165"/>
  <c r="G362" i="165" s="1"/>
  <c r="G338" i="165" s="1"/>
  <c r="M366" i="165"/>
  <c r="M362" i="165" s="1"/>
  <c r="M338" i="165" s="1"/>
  <c r="L366" i="165"/>
  <c r="L362" i="165" s="1"/>
  <c r="L338" i="165" s="1"/>
  <c r="H338" i="167"/>
  <c r="F366" i="165"/>
  <c r="F362" i="165" s="1"/>
  <c r="F338" i="165" s="1"/>
  <c r="K366" i="165"/>
  <c r="K362" i="165" s="1"/>
  <c r="K338" i="165" s="1"/>
  <c r="O366" i="165" l="1"/>
  <c r="O362" i="165" s="1"/>
  <c r="O338" i="165" s="1"/>
  <c r="E366" i="165"/>
  <c r="E362" i="165" s="1"/>
  <c r="E338" i="165" s="1"/>
  <c r="I338" i="167"/>
  <c r="G338" i="167" s="1"/>
  <c r="P368" i="165"/>
  <c r="P367" i="165" l="1"/>
  <c r="J366" i="165"/>
  <c r="J362" i="165" s="1"/>
  <c r="J338" i="165" s="1"/>
  <c r="P366" i="165" l="1"/>
  <c r="P362" i="165" s="1"/>
  <c r="P338" i="165" s="1"/>
  <c r="Q338" i="165" s="1"/>
  <c r="H394" i="167"/>
  <c r="G394" i="167" s="1"/>
  <c r="J91" i="167" l="1"/>
  <c r="J34" i="167"/>
  <c r="M34" i="167" s="1"/>
  <c r="I34" i="167" l="1"/>
  <c r="L34" i="167" s="1"/>
  <c r="H91" i="167"/>
  <c r="H34" i="167"/>
  <c r="I91" i="167" l="1"/>
  <c r="G91" i="167" s="1"/>
  <c r="K34" i="167"/>
  <c r="G34" i="167"/>
  <c r="D58" i="172" l="1"/>
  <c r="E59" i="172"/>
  <c r="E58" i="172" s="1"/>
  <c r="F58" i="172" s="1"/>
  <c r="E29" i="172"/>
  <c r="E28" i="172" s="1"/>
  <c r="D28" i="172"/>
  <c r="C56" i="172"/>
  <c r="C26" i="172"/>
  <c r="F39" i="172"/>
  <c r="E39" i="172"/>
  <c r="D39" i="172"/>
  <c r="D38" i="172" s="1"/>
  <c r="D32" i="172"/>
  <c r="D31" i="172" s="1"/>
  <c r="F16" i="172"/>
  <c r="D37" i="172" l="1"/>
  <c r="F59" i="172"/>
  <c r="C29" i="172"/>
  <c r="F29" i="172"/>
  <c r="F28" i="172" s="1"/>
  <c r="C58" i="172"/>
  <c r="C59" i="172"/>
  <c r="C28" i="172"/>
  <c r="C17" i="172"/>
  <c r="D16" i="172"/>
  <c r="C16" i="172" l="1"/>
  <c r="C40" i="172" l="1"/>
  <c r="C39" i="172" s="1"/>
  <c r="C42" i="172"/>
  <c r="F32" i="172"/>
  <c r="F31" i="172" s="1"/>
  <c r="E32" i="172"/>
  <c r="E31" i="172" s="1"/>
  <c r="F38" i="172" l="1"/>
  <c r="E41" i="172"/>
  <c r="E38" i="172" s="1"/>
  <c r="C46" i="172"/>
  <c r="C43" i="172" s="1"/>
  <c r="C34" i="172"/>
  <c r="C33" i="172"/>
  <c r="C32" i="172" l="1"/>
  <c r="C31" i="172" s="1"/>
  <c r="C41" i="172"/>
  <c r="C38" i="172" s="1"/>
  <c r="G153" i="197" l="1"/>
  <c r="G144" i="108"/>
  <c r="C37" i="172"/>
  <c r="J95" i="167" l="1"/>
  <c r="H95" i="167" l="1"/>
  <c r="I95" i="167"/>
  <c r="G95" i="167" l="1"/>
  <c r="G376" i="167" l="1"/>
  <c r="G60" i="167" l="1"/>
  <c r="G53" i="167" l="1"/>
  <c r="G50" i="167"/>
  <c r="G52" i="167"/>
  <c r="G51" i="167"/>
  <c r="G375" i="167"/>
  <c r="K49" i="167" l="1"/>
  <c r="E93" i="170"/>
  <c r="L49" i="167" l="1"/>
  <c r="E109" i="170"/>
  <c r="H76" i="167" l="1"/>
  <c r="J76" i="167"/>
  <c r="G250" i="167" l="1"/>
  <c r="I76" i="167" l="1"/>
  <c r="G76" i="167" s="1"/>
  <c r="J321" i="167" l="1"/>
  <c r="H321" i="167" l="1"/>
  <c r="G149" i="167"/>
  <c r="I321" i="167" l="1"/>
  <c r="G321" i="167" l="1"/>
  <c r="J159" i="167" l="1"/>
  <c r="J151" i="167"/>
  <c r="J152" i="167"/>
  <c r="I152" i="167" l="1"/>
  <c r="H152" i="167"/>
  <c r="I159" i="167" l="1"/>
  <c r="G159" i="167" s="1"/>
  <c r="G152" i="167"/>
  <c r="H263" i="167" l="1"/>
  <c r="I263" i="167" l="1"/>
  <c r="G263" i="167" s="1"/>
  <c r="J211" i="167" l="1"/>
  <c r="O228" i="165" l="1"/>
  <c r="O224" i="165" s="1"/>
  <c r="E228" i="165"/>
  <c r="E224" i="165" s="1"/>
  <c r="G198" i="167"/>
  <c r="E223" i="165" l="1"/>
  <c r="O223" i="165"/>
  <c r="H211" i="167"/>
  <c r="J228" i="165"/>
  <c r="J224" i="165" s="1"/>
  <c r="J223" i="165" l="1"/>
  <c r="I211" i="167"/>
  <c r="G211" i="167" s="1"/>
  <c r="P228" i="165"/>
  <c r="P224" i="165" s="1"/>
  <c r="P223" i="165" l="1"/>
  <c r="G388" i="167"/>
  <c r="D36" i="108"/>
  <c r="H143" i="108" s="1"/>
  <c r="J39" i="167" l="1"/>
  <c r="I39" i="167" l="1"/>
  <c r="H39" i="167"/>
  <c r="J347" i="167"/>
  <c r="J342" i="167" s="1"/>
  <c r="G39" i="167" l="1"/>
  <c r="H347" i="167" l="1"/>
  <c r="I347" i="167" l="1"/>
  <c r="I342" i="167" s="1"/>
  <c r="G347" i="167" l="1"/>
  <c r="J378" i="167" l="1"/>
  <c r="J364" i="167" s="1"/>
  <c r="O422" i="165" l="1"/>
  <c r="E422" i="165"/>
  <c r="D121" i="170" s="1"/>
  <c r="N421" i="165"/>
  <c r="M421" i="165"/>
  <c r="L421" i="165"/>
  <c r="K421" i="165"/>
  <c r="I421" i="165"/>
  <c r="H421" i="165"/>
  <c r="G421" i="165"/>
  <c r="F421" i="165"/>
  <c r="E100" i="170" l="1"/>
  <c r="M420" i="165"/>
  <c r="N420" i="165"/>
  <c r="H420" i="165"/>
  <c r="I420" i="165"/>
  <c r="F420" i="165"/>
  <c r="K420" i="165"/>
  <c r="H378" i="167"/>
  <c r="H364" i="167" s="1"/>
  <c r="G420" i="165"/>
  <c r="L420" i="165"/>
  <c r="J422" i="165"/>
  <c r="O421" i="165"/>
  <c r="E421" i="165"/>
  <c r="E117" i="170" l="1"/>
  <c r="E420" i="165"/>
  <c r="J421" i="165"/>
  <c r="I378" i="167"/>
  <c r="I364" i="167" s="1"/>
  <c r="P422" i="165"/>
  <c r="O420" i="165"/>
  <c r="G378" i="167" l="1"/>
  <c r="P421" i="165"/>
  <c r="J420" i="165"/>
  <c r="P420" i="165" l="1"/>
  <c r="J170" i="167" l="1"/>
  <c r="J160" i="167"/>
  <c r="J158" i="167"/>
  <c r="G283" i="167" l="1"/>
  <c r="P16" i="107" l="1"/>
  <c r="P15" i="107" s="1"/>
  <c r="P14" i="107" s="1"/>
  <c r="L16" i="107"/>
  <c r="L15" i="107" s="1"/>
  <c r="L14" i="107" s="1"/>
  <c r="K16" i="107"/>
  <c r="K15" i="107" s="1"/>
  <c r="K14" i="107" s="1"/>
  <c r="J16" i="107"/>
  <c r="J15" i="107" s="1"/>
  <c r="J14" i="107" s="1"/>
  <c r="H16" i="107"/>
  <c r="H15" i="107" s="1"/>
  <c r="H14" i="107" s="1"/>
  <c r="F16" i="107"/>
  <c r="F15" i="107" s="1"/>
  <c r="F14" i="107" s="1"/>
  <c r="M372" i="165" l="1"/>
  <c r="G372" i="165"/>
  <c r="I372" i="165"/>
  <c r="N372" i="165"/>
  <c r="K372" i="165"/>
  <c r="L372" i="165"/>
  <c r="N230" i="165"/>
  <c r="M230" i="165"/>
  <c r="L230" i="165"/>
  <c r="K230" i="165"/>
  <c r="I230" i="165"/>
  <c r="H230" i="165"/>
  <c r="G230" i="165"/>
  <c r="F230" i="165"/>
  <c r="N208" i="165"/>
  <c r="N206" i="165" s="1"/>
  <c r="N205" i="165" s="1"/>
  <c r="N150" i="165" s="1"/>
  <c r="N149" i="165" s="1"/>
  <c r="M208" i="165"/>
  <c r="M206" i="165" s="1"/>
  <c r="M205" i="165" s="1"/>
  <c r="M150" i="165" s="1"/>
  <c r="M149" i="165" s="1"/>
  <c r="L208" i="165"/>
  <c r="L206" i="165" s="1"/>
  <c r="L205" i="165" s="1"/>
  <c r="L150" i="165" s="1"/>
  <c r="K208" i="165"/>
  <c r="K206" i="165" s="1"/>
  <c r="K205" i="165" s="1"/>
  <c r="K150" i="165" s="1"/>
  <c r="K149" i="165" s="1"/>
  <c r="I208" i="165"/>
  <c r="I206" i="165" s="1"/>
  <c r="I205" i="165" s="1"/>
  <c r="I150" i="165" s="1"/>
  <c r="I149" i="165" s="1"/>
  <c r="H208" i="165"/>
  <c r="H206" i="165" s="1"/>
  <c r="H205" i="165" s="1"/>
  <c r="H150" i="165" s="1"/>
  <c r="H149" i="165" s="1"/>
  <c r="G208" i="165"/>
  <c r="G206" i="165" s="1"/>
  <c r="G205" i="165" s="1"/>
  <c r="G150" i="165" s="1"/>
  <c r="G149" i="165" s="1"/>
  <c r="F208" i="165"/>
  <c r="F206" i="165" s="1"/>
  <c r="F205" i="165" s="1"/>
  <c r="F150" i="165" s="1"/>
  <c r="F149" i="165" s="1"/>
  <c r="L149" i="165" l="1"/>
  <c r="I396" i="167"/>
  <c r="I393" i="167" s="1"/>
  <c r="L443" i="165"/>
  <c r="M443" i="165"/>
  <c r="K443" i="165"/>
  <c r="N443" i="165"/>
  <c r="G443" i="165"/>
  <c r="I443" i="165"/>
  <c r="F229" i="165"/>
  <c r="K229" i="165"/>
  <c r="F434" i="165"/>
  <c r="L434" i="165"/>
  <c r="G229" i="165"/>
  <c r="L229" i="165"/>
  <c r="M434" i="165"/>
  <c r="G434" i="165"/>
  <c r="H229" i="165"/>
  <c r="M229" i="165"/>
  <c r="I434" i="165"/>
  <c r="I229" i="165"/>
  <c r="N229" i="165"/>
  <c r="N434" i="165"/>
  <c r="K434" i="165"/>
  <c r="K50" i="165"/>
  <c r="I50" i="165"/>
  <c r="J88" i="167"/>
  <c r="J87" i="167"/>
  <c r="J85" i="167"/>
  <c r="M85" i="167" s="1"/>
  <c r="J84" i="167"/>
  <c r="L383" i="165" l="1"/>
  <c r="G404" i="165"/>
  <c r="I404" i="165"/>
  <c r="M383" i="165"/>
  <c r="G383" i="165"/>
  <c r="G424" i="165"/>
  <c r="K424" i="165"/>
  <c r="L424" i="165"/>
  <c r="N404" i="165"/>
  <c r="I383" i="165"/>
  <c r="N383" i="165"/>
  <c r="H404" i="165"/>
  <c r="L404" i="165"/>
  <c r="M404" i="165"/>
  <c r="I424" i="165"/>
  <c r="N424" i="165"/>
  <c r="M424" i="165"/>
  <c r="K383" i="165"/>
  <c r="M233" i="165"/>
  <c r="G233" i="165"/>
  <c r="I233" i="165"/>
  <c r="I212" i="165"/>
  <c r="M212" i="165"/>
  <c r="G86" i="167"/>
  <c r="J83" i="167"/>
  <c r="I16" i="165" l="1"/>
  <c r="N16" i="165"/>
  <c r="M16" i="165"/>
  <c r="F16" i="165"/>
  <c r="M303" i="165"/>
  <c r="L303" i="165"/>
  <c r="N303" i="165"/>
  <c r="I303" i="165"/>
  <c r="K303" i="165"/>
  <c r="J74" i="167"/>
  <c r="L16" i="165" l="1"/>
  <c r="J90" i="167"/>
  <c r="H83" i="167" l="1"/>
  <c r="I83" i="167"/>
  <c r="H74" i="167"/>
  <c r="J71" i="167"/>
  <c r="J89" i="167"/>
  <c r="M71" i="167" l="1"/>
  <c r="G83" i="167"/>
  <c r="I88" i="167"/>
  <c r="H88" i="167"/>
  <c r="M67" i="167"/>
  <c r="J94" i="167"/>
  <c r="G88" i="167" l="1"/>
  <c r="H89" i="167"/>
  <c r="I90" i="167"/>
  <c r="H90" i="167"/>
  <c r="I74" i="167"/>
  <c r="G74" i="167" s="1"/>
  <c r="I392" i="167"/>
  <c r="F303" i="165" l="1"/>
  <c r="H424" i="165"/>
  <c r="F383" i="165"/>
  <c r="M50" i="165"/>
  <c r="F50" i="165"/>
  <c r="H352" i="167"/>
  <c r="H320" i="167"/>
  <c r="H272" i="167"/>
  <c r="F372" i="165"/>
  <c r="H382" i="167"/>
  <c r="I94" i="167"/>
  <c r="G90" i="167"/>
  <c r="H344" i="167"/>
  <c r="H342" i="167" s="1"/>
  <c r="H395" i="167"/>
  <c r="H94" i="167"/>
  <c r="I89" i="167"/>
  <c r="G89" i="167" s="1"/>
  <c r="H151" i="167"/>
  <c r="J392" i="167"/>
  <c r="G272" i="167" l="1"/>
  <c r="I352" i="167"/>
  <c r="G352" i="167" s="1"/>
  <c r="F424" i="165"/>
  <c r="G382" i="167"/>
  <c r="G50" i="165"/>
  <c r="F443" i="165"/>
  <c r="G344" i="167"/>
  <c r="G94" i="167"/>
  <c r="G320" i="167"/>
  <c r="G395" i="167"/>
  <c r="I151" i="167"/>
  <c r="G151" i="167" s="1"/>
  <c r="H239" i="167" l="1"/>
  <c r="G239" i="167" l="1"/>
  <c r="H23" i="167" l="1"/>
  <c r="G23" i="167" l="1"/>
  <c r="F46" i="172" l="1"/>
  <c r="F43" i="172" s="1"/>
  <c r="E46" i="172"/>
  <c r="E43" i="172" l="1"/>
  <c r="F37" i="172"/>
  <c r="E37" i="172" l="1"/>
  <c r="J233" i="167" l="1"/>
  <c r="K16" i="165" l="1"/>
  <c r="H233" i="167" l="1"/>
  <c r="I233" i="167" l="1"/>
  <c r="G233" i="167" s="1"/>
  <c r="I17" i="107" l="1"/>
  <c r="I13" i="107" s="1"/>
  <c r="I12" i="107" l="1"/>
  <c r="I29" i="107" s="1"/>
  <c r="I16" i="107"/>
  <c r="I15" i="107" s="1"/>
  <c r="I14" i="107" s="1"/>
  <c r="D104" i="170"/>
  <c r="D87" i="170"/>
  <c r="D84" i="170"/>
  <c r="J391" i="167" l="1"/>
  <c r="J389" i="167"/>
  <c r="J387" i="167" l="1"/>
  <c r="H443" i="165"/>
  <c r="J383" i="167"/>
  <c r="H383" i="167"/>
  <c r="G381" i="167"/>
  <c r="F404" i="165" l="1"/>
  <c r="K383" i="167"/>
  <c r="H380" i="167"/>
  <c r="J380" i="167"/>
  <c r="M383" i="167"/>
  <c r="H434" i="165"/>
  <c r="J315" i="167"/>
  <c r="J313" i="167"/>
  <c r="H310" i="167"/>
  <c r="J279" i="167"/>
  <c r="M278" i="167" s="1"/>
  <c r="M276" i="167"/>
  <c r="J274" i="167"/>
  <c r="J273" i="167"/>
  <c r="J265" i="167"/>
  <c r="J253" i="167"/>
  <c r="J247" i="167"/>
  <c r="J270" i="167" l="1"/>
  <c r="J269" i="167" s="1"/>
  <c r="M269" i="167" s="1"/>
  <c r="H383" i="165"/>
  <c r="K404" i="165"/>
  <c r="J237" i="167"/>
  <c r="I315" i="167"/>
  <c r="J218" i="167"/>
  <c r="I313" i="167" l="1"/>
  <c r="H372" i="165"/>
  <c r="P13" i="107" l="1"/>
  <c r="P12" i="107" s="1"/>
  <c r="P29" i="107" s="1"/>
  <c r="K462" i="165" s="1"/>
  <c r="I211" i="165"/>
  <c r="J212" i="167"/>
  <c r="L233" i="165" l="1"/>
  <c r="N233" i="165"/>
  <c r="E104" i="170"/>
  <c r="O231" i="165"/>
  <c r="E231" i="165"/>
  <c r="E97" i="170" s="1"/>
  <c r="K233" i="165" l="1"/>
  <c r="N212" i="165"/>
  <c r="E230" i="165"/>
  <c r="J231" i="165"/>
  <c r="O230" i="165"/>
  <c r="H212" i="167"/>
  <c r="J196" i="167"/>
  <c r="H233" i="165" l="1"/>
  <c r="F233" i="165"/>
  <c r="L212" i="165"/>
  <c r="E229" i="165"/>
  <c r="P231" i="165"/>
  <c r="O229" i="165"/>
  <c r="I212" i="167"/>
  <c r="G212" i="167" s="1"/>
  <c r="J230" i="165"/>
  <c r="G311" i="167"/>
  <c r="G309" i="167"/>
  <c r="G292" i="167"/>
  <c r="G282" i="167"/>
  <c r="G271" i="167"/>
  <c r="G238" i="167"/>
  <c r="J236" i="167"/>
  <c r="K212" i="165" l="1"/>
  <c r="J229" i="165"/>
  <c r="P230" i="165"/>
  <c r="G212" i="165" l="1"/>
  <c r="F212" i="165"/>
  <c r="P229" i="165"/>
  <c r="H212" i="165"/>
  <c r="J176" i="167"/>
  <c r="J174" i="167" l="1"/>
  <c r="M174" i="167" s="1"/>
  <c r="J169" i="167"/>
  <c r="J157" i="167"/>
  <c r="J156" i="167"/>
  <c r="J155" i="167"/>
  <c r="J154" i="167"/>
  <c r="J153" i="167"/>
  <c r="J126" i="167" l="1"/>
  <c r="J178" i="167" l="1"/>
  <c r="J147" i="167" s="1"/>
  <c r="G65" i="167" l="1"/>
  <c r="N50" i="165" l="1"/>
  <c r="L50" i="165"/>
  <c r="L460" i="165" s="1"/>
  <c r="J48" i="167" l="1"/>
  <c r="M48" i="167" s="1"/>
  <c r="J37" i="167"/>
  <c r="M37" i="167" s="1"/>
  <c r="E87" i="170" l="1"/>
  <c r="H48" i="167"/>
  <c r="H50" i="165" l="1"/>
  <c r="I48" i="167"/>
  <c r="L48" i="167" s="1"/>
  <c r="K48" i="167"/>
  <c r="G48" i="167" l="1"/>
  <c r="G19" i="167"/>
  <c r="G16" i="165" l="1"/>
  <c r="H16" i="165" l="1"/>
  <c r="O209" i="165"/>
  <c r="E209" i="165"/>
  <c r="H161" i="167" l="1"/>
  <c r="K161" i="167" s="1"/>
  <c r="H303" i="165"/>
  <c r="G303" i="165"/>
  <c r="G460" i="165" s="1"/>
  <c r="G474" i="165" s="1"/>
  <c r="H163" i="167"/>
  <c r="H169" i="167"/>
  <c r="E208" i="165"/>
  <c r="E206" i="165" s="1"/>
  <c r="E205" i="165" s="1"/>
  <c r="E150" i="165" s="1"/>
  <c r="J209" i="165"/>
  <c r="O208" i="165"/>
  <c r="O206" i="165" s="1"/>
  <c r="O205" i="165" s="1"/>
  <c r="O150" i="165" s="1"/>
  <c r="O149" i="165" l="1"/>
  <c r="J150" i="165"/>
  <c r="J149" i="165" s="1"/>
  <c r="E149" i="165"/>
  <c r="I161" i="167"/>
  <c r="L161" i="167" s="1"/>
  <c r="G180" i="167"/>
  <c r="I163" i="167"/>
  <c r="I171" i="167"/>
  <c r="L171" i="167" s="1"/>
  <c r="I155" i="167"/>
  <c r="I156" i="167"/>
  <c r="I154" i="167"/>
  <c r="P209" i="165"/>
  <c r="H153" i="167"/>
  <c r="I160" i="167"/>
  <c r="I158" i="167"/>
  <c r="I170" i="167"/>
  <c r="I157" i="167"/>
  <c r="I169" i="167"/>
  <c r="G191" i="167"/>
  <c r="J208" i="165"/>
  <c r="J206" i="165" s="1"/>
  <c r="J205" i="165" s="1"/>
  <c r="I178" i="167"/>
  <c r="I176" i="167"/>
  <c r="I174" i="167"/>
  <c r="L174" i="167" s="1"/>
  <c r="I153" i="167"/>
  <c r="K295" i="167"/>
  <c r="M302" i="165"/>
  <c r="L302" i="165"/>
  <c r="K302" i="165"/>
  <c r="I302" i="165"/>
  <c r="H302" i="165"/>
  <c r="G302" i="165"/>
  <c r="F302" i="165"/>
  <c r="N302" i="165"/>
  <c r="M269" i="165"/>
  <c r="L269" i="165"/>
  <c r="K269" i="165"/>
  <c r="M236" i="167" s="1"/>
  <c r="H269" i="165"/>
  <c r="F269" i="165"/>
  <c r="N269" i="165"/>
  <c r="I269" i="165"/>
  <c r="G269" i="165"/>
  <c r="P150" i="165" l="1"/>
  <c r="Q150" i="165" s="1"/>
  <c r="H290" i="167"/>
  <c r="K290" i="167" s="1"/>
  <c r="I314" i="167"/>
  <c r="K262" i="167"/>
  <c r="K276" i="167"/>
  <c r="I389" i="167"/>
  <c r="L180" i="167"/>
  <c r="E372" i="165"/>
  <c r="I147" i="167"/>
  <c r="H356" i="167"/>
  <c r="H350" i="167" s="1"/>
  <c r="P208" i="165"/>
  <c r="P206" i="165" s="1"/>
  <c r="P205" i="165" s="1"/>
  <c r="H253" i="167"/>
  <c r="H391" i="167"/>
  <c r="H387" i="167" s="1"/>
  <c r="H314" i="167"/>
  <c r="H265" i="167"/>
  <c r="L243" i="167"/>
  <c r="H315" i="167"/>
  <c r="G315" i="167" s="1"/>
  <c r="H313" i="167"/>
  <c r="G313" i="167" s="1"/>
  <c r="P149" i="165" l="1"/>
  <c r="I290" i="167"/>
  <c r="L290" i="167" s="1"/>
  <c r="H237" i="167"/>
  <c r="H236" i="167" s="1"/>
  <c r="L262" i="167"/>
  <c r="Q430" i="165"/>
  <c r="H270" i="167"/>
  <c r="H269" i="167" s="1"/>
  <c r="G249" i="167"/>
  <c r="F36" i="108"/>
  <c r="F460" i="165"/>
  <c r="F478" i="165" s="1"/>
  <c r="L383" i="167"/>
  <c r="G242" i="167"/>
  <c r="I356" i="167"/>
  <c r="I350" i="167" s="1"/>
  <c r="G314" i="167"/>
  <c r="G383" i="167"/>
  <c r="O372" i="165"/>
  <c r="I273" i="167"/>
  <c r="I247" i="167"/>
  <c r="G247" i="167" s="1"/>
  <c r="I279" i="167"/>
  <c r="L278" i="167" s="1"/>
  <c r="I253" i="167"/>
  <c r="G253" i="167" s="1"/>
  <c r="G310" i="167"/>
  <c r="I265" i="167"/>
  <c r="G265" i="167" s="1"/>
  <c r="G389" i="167"/>
  <c r="I391" i="167"/>
  <c r="G391" i="167" s="1"/>
  <c r="I274" i="167"/>
  <c r="G274" i="167" s="1"/>
  <c r="G262" i="167"/>
  <c r="G380" i="167" l="1"/>
  <c r="H38" i="197"/>
  <c r="G290" i="167"/>
  <c r="G38" i="197"/>
  <c r="G387" i="167"/>
  <c r="G237" i="167"/>
  <c r="G273" i="167"/>
  <c r="I270" i="167"/>
  <c r="I269" i="167" s="1"/>
  <c r="G269" i="167" s="1"/>
  <c r="G279" i="167"/>
  <c r="O424" i="165"/>
  <c r="G275" i="167"/>
  <c r="L276" i="167"/>
  <c r="G294" i="167"/>
  <c r="I387" i="167"/>
  <c r="I237" i="167"/>
  <c r="I236" i="167" s="1"/>
  <c r="G356" i="167"/>
  <c r="G350" i="167" s="1"/>
  <c r="H147" i="167"/>
  <c r="O434" i="165"/>
  <c r="E434" i="165"/>
  <c r="O365" i="165"/>
  <c r="E365" i="165"/>
  <c r="N337" i="165"/>
  <c r="M337" i="165"/>
  <c r="I337" i="165"/>
  <c r="H337" i="165"/>
  <c r="G337" i="165"/>
  <c r="F337" i="165"/>
  <c r="E383" i="165" l="1"/>
  <c r="K350" i="167" s="1"/>
  <c r="E303" i="165"/>
  <c r="K269" i="167" s="1"/>
  <c r="G270" i="167"/>
  <c r="O303" i="165"/>
  <c r="E424" i="165"/>
  <c r="J424" i="165"/>
  <c r="O383" i="165"/>
  <c r="E269" i="165"/>
  <c r="K236" i="167" s="1"/>
  <c r="G236" i="167"/>
  <c r="J365" i="165"/>
  <c r="L337" i="165"/>
  <c r="K337" i="165"/>
  <c r="G333" i="167" l="1"/>
  <c r="P424" i="165"/>
  <c r="Q424" i="165" s="1"/>
  <c r="J383" i="165"/>
  <c r="J303" i="165"/>
  <c r="P303" i="165" s="1"/>
  <c r="Q303" i="165" s="1"/>
  <c r="O302" i="165"/>
  <c r="E302" i="165"/>
  <c r="O269" i="165"/>
  <c r="P365" i="165"/>
  <c r="P383" i="165" l="1"/>
  <c r="Q383" i="165" s="1"/>
  <c r="L350" i="167"/>
  <c r="L269" i="167"/>
  <c r="J302" i="165"/>
  <c r="P302" i="165"/>
  <c r="J269" i="165"/>
  <c r="L236" i="167" s="1"/>
  <c r="P270" i="165"/>
  <c r="Q270" i="165" s="1"/>
  <c r="E337" i="165" l="1"/>
  <c r="P269" i="165"/>
  <c r="J234" i="167" l="1"/>
  <c r="H234" i="167"/>
  <c r="O337" i="165" l="1"/>
  <c r="J337" i="165" l="1"/>
  <c r="M372" i="167"/>
  <c r="G371" i="167"/>
  <c r="G370" i="167"/>
  <c r="J341" i="167"/>
  <c r="M341" i="167" s="1"/>
  <c r="J230" i="167"/>
  <c r="J228" i="167"/>
  <c r="J227" i="167"/>
  <c r="J226" i="167"/>
  <c r="J224" i="167"/>
  <c r="J221" i="167"/>
  <c r="J220" i="167"/>
  <c r="J219" i="167"/>
  <c r="J215" i="167"/>
  <c r="G208" i="167"/>
  <c r="G207" i="167"/>
  <c r="J206" i="167"/>
  <c r="G205" i="167"/>
  <c r="J204" i="167"/>
  <c r="J201" i="167"/>
  <c r="G202" i="167"/>
  <c r="G183" i="167"/>
  <c r="G182" i="167"/>
  <c r="G179" i="167"/>
  <c r="G172" i="167"/>
  <c r="J145" i="167"/>
  <c r="H145" i="167"/>
  <c r="G144" i="167"/>
  <c r="J133" i="167"/>
  <c r="J132" i="167"/>
  <c r="J131" i="167"/>
  <c r="J125" i="167"/>
  <c r="J110" i="167"/>
  <c r="J63" i="167" s="1"/>
  <c r="G72" i="167"/>
  <c r="G68" i="167"/>
  <c r="G49" i="167"/>
  <c r="J47" i="167"/>
  <c r="M47" i="167" s="1"/>
  <c r="J46" i="167"/>
  <c r="J38" i="167"/>
  <c r="M38" i="167" s="1"/>
  <c r="G24" i="167"/>
  <c r="G442" i="165"/>
  <c r="N442" i="165"/>
  <c r="M442" i="165"/>
  <c r="L442" i="165"/>
  <c r="K442" i="165"/>
  <c r="I442" i="165"/>
  <c r="H442" i="165"/>
  <c r="G433" i="165"/>
  <c r="N433" i="165"/>
  <c r="M433" i="165"/>
  <c r="L433" i="165"/>
  <c r="K433" i="165"/>
  <c r="I433" i="165"/>
  <c r="F433" i="165"/>
  <c r="N423" i="165"/>
  <c r="M423" i="165"/>
  <c r="I423" i="165"/>
  <c r="H423" i="165"/>
  <c r="G423" i="165"/>
  <c r="N403" i="165"/>
  <c r="M403" i="165"/>
  <c r="I403" i="165"/>
  <c r="H403" i="165"/>
  <c r="G403" i="165"/>
  <c r="L403" i="165"/>
  <c r="G382" i="165"/>
  <c r="N382" i="165"/>
  <c r="M382" i="165"/>
  <c r="I382" i="165"/>
  <c r="H382" i="165"/>
  <c r="N371" i="165"/>
  <c r="M371" i="165"/>
  <c r="L371" i="165"/>
  <c r="K371" i="165"/>
  <c r="I371" i="165"/>
  <c r="F371" i="165"/>
  <c r="N232" i="165"/>
  <c r="M232" i="165"/>
  <c r="L232" i="165"/>
  <c r="I232" i="165"/>
  <c r="H211" i="165"/>
  <c r="N211" i="165"/>
  <c r="M211" i="165"/>
  <c r="L211" i="165"/>
  <c r="G211" i="165"/>
  <c r="I145" i="167"/>
  <c r="N115" i="165"/>
  <c r="M115" i="165"/>
  <c r="L115" i="165"/>
  <c r="I115" i="165"/>
  <c r="M49" i="165"/>
  <c r="I49" i="165"/>
  <c r="G15" i="165"/>
  <c r="H77" i="167" l="1"/>
  <c r="K77" i="167" s="1"/>
  <c r="H80" i="167"/>
  <c r="K80" i="167" s="1"/>
  <c r="K370" i="167"/>
  <c r="H64" i="167"/>
  <c r="K64" i="167" s="1"/>
  <c r="H199" i="167"/>
  <c r="H194" i="167"/>
  <c r="H204" i="167"/>
  <c r="H216" i="167"/>
  <c r="H206" i="167"/>
  <c r="H127" i="167"/>
  <c r="J193" i="167"/>
  <c r="M46" i="167"/>
  <c r="H196" i="167"/>
  <c r="H84" i="167"/>
  <c r="P337" i="165"/>
  <c r="H218" i="167"/>
  <c r="H71" i="167"/>
  <c r="K71" i="167" s="1"/>
  <c r="H38" i="167"/>
  <c r="K38" i="167" s="1"/>
  <c r="H37" i="167"/>
  <c r="K37" i="167" s="1"/>
  <c r="N15" i="165"/>
  <c r="I15" i="165"/>
  <c r="I460" i="165"/>
  <c r="I472" i="165" s="1"/>
  <c r="M15" i="165"/>
  <c r="M460" i="165"/>
  <c r="K423" i="165"/>
  <c r="K382" i="165"/>
  <c r="F403" i="165"/>
  <c r="G372" i="167"/>
  <c r="G364" i="167" s="1"/>
  <c r="H363" i="167"/>
  <c r="K134" i="167"/>
  <c r="I363" i="167"/>
  <c r="K211" i="165"/>
  <c r="L49" i="165"/>
  <c r="J379" i="167"/>
  <c r="M379" i="167" s="1"/>
  <c r="O423" i="165"/>
  <c r="H433" i="165"/>
  <c r="G115" i="165"/>
  <c r="I125" i="167"/>
  <c r="H201" i="167"/>
  <c r="H227" i="167"/>
  <c r="E371" i="165"/>
  <c r="H341" i="167"/>
  <c r="K341" i="167" s="1"/>
  <c r="H328" i="167"/>
  <c r="N49" i="165"/>
  <c r="H133" i="167"/>
  <c r="L134" i="167"/>
  <c r="G371" i="165"/>
  <c r="L423" i="165"/>
  <c r="H228" i="167"/>
  <c r="H337" i="167"/>
  <c r="J33" i="167"/>
  <c r="F115" i="165"/>
  <c r="H115" i="165"/>
  <c r="H110" i="167"/>
  <c r="G232" i="165"/>
  <c r="H232" i="165"/>
  <c r="H221" i="167"/>
  <c r="I222" i="167"/>
  <c r="H371" i="165"/>
  <c r="E433" i="165"/>
  <c r="G145" i="167"/>
  <c r="G197" i="167"/>
  <c r="G223" i="167"/>
  <c r="J386" i="167"/>
  <c r="M386" i="167" s="1"/>
  <c r="H125" i="167"/>
  <c r="F382" i="165"/>
  <c r="L382" i="165"/>
  <c r="H219" i="167"/>
  <c r="H15" i="165"/>
  <c r="F232" i="165"/>
  <c r="K403" i="165"/>
  <c r="H222" i="167"/>
  <c r="J337" i="167"/>
  <c r="F423" i="165"/>
  <c r="J222" i="167"/>
  <c r="J214" i="167" s="1"/>
  <c r="J142" i="167"/>
  <c r="J119" i="167" s="1"/>
  <c r="J328" i="167"/>
  <c r="O382" i="165"/>
  <c r="G27" i="167"/>
  <c r="G148" i="167"/>
  <c r="J363" i="167"/>
  <c r="I80" i="167" l="1"/>
  <c r="L80" i="167" s="1"/>
  <c r="L370" i="167"/>
  <c r="K67" i="167"/>
  <c r="H318" i="167"/>
  <c r="K318" i="167" s="1"/>
  <c r="J16" i="167"/>
  <c r="M15" i="167" s="1"/>
  <c r="I64" i="167"/>
  <c r="L64" i="167" s="1"/>
  <c r="K376" i="167"/>
  <c r="I199" i="167"/>
  <c r="G199" i="167" s="1"/>
  <c r="I127" i="167"/>
  <c r="G127" i="167" s="1"/>
  <c r="I216" i="167"/>
  <c r="G216" i="167" s="1"/>
  <c r="L376" i="167"/>
  <c r="I196" i="167"/>
  <c r="G196" i="167" s="1"/>
  <c r="I85" i="167"/>
  <c r="L85" i="167" s="1"/>
  <c r="I84" i="167"/>
  <c r="G84" i="167" s="1"/>
  <c r="I71" i="167"/>
  <c r="L71" i="167" s="1"/>
  <c r="I126" i="167"/>
  <c r="M33" i="167"/>
  <c r="H85" i="167"/>
  <c r="H87" i="167"/>
  <c r="I87" i="167"/>
  <c r="H126" i="167"/>
  <c r="I38" i="167"/>
  <c r="L38" i="167" s="1"/>
  <c r="I37" i="167"/>
  <c r="L37" i="167" s="1"/>
  <c r="E84" i="170"/>
  <c r="K15" i="165"/>
  <c r="K460" i="165"/>
  <c r="F49" i="165"/>
  <c r="H49" i="165"/>
  <c r="H460" i="165"/>
  <c r="H474" i="165" s="1"/>
  <c r="G49" i="165"/>
  <c r="N460" i="165"/>
  <c r="N472" i="165" s="1"/>
  <c r="M363" i="167"/>
  <c r="J349" i="167"/>
  <c r="M350" i="167"/>
  <c r="I215" i="167"/>
  <c r="I201" i="167"/>
  <c r="G201" i="167" s="1"/>
  <c r="I132" i="167"/>
  <c r="G158" i="167"/>
  <c r="I46" i="167"/>
  <c r="F211" i="165"/>
  <c r="I221" i="167"/>
  <c r="G221" i="167" s="1"/>
  <c r="L372" i="167"/>
  <c r="G156" i="167"/>
  <c r="H46" i="167"/>
  <c r="G363" i="167"/>
  <c r="H215" i="167"/>
  <c r="G125" i="167"/>
  <c r="H386" i="167"/>
  <c r="K386" i="167" s="1"/>
  <c r="G222" i="167"/>
  <c r="H132" i="167"/>
  <c r="K372" i="167"/>
  <c r="H47" i="167"/>
  <c r="K47" i="167" s="1"/>
  <c r="H226" i="167"/>
  <c r="I227" i="167"/>
  <c r="G227" i="167" s="1"/>
  <c r="H220" i="167"/>
  <c r="H193" i="167"/>
  <c r="I204" i="167"/>
  <c r="G204" i="167" s="1"/>
  <c r="I110" i="167"/>
  <c r="G110" i="167" s="1"/>
  <c r="J192" i="167"/>
  <c r="M192" i="167" s="1"/>
  <c r="I133" i="167"/>
  <c r="G133" i="167" s="1"/>
  <c r="M472" i="165"/>
  <c r="G174" i="167"/>
  <c r="I224" i="167"/>
  <c r="J423" i="165"/>
  <c r="G176" i="167"/>
  <c r="G163" i="167"/>
  <c r="H33" i="167"/>
  <c r="G157" i="167"/>
  <c r="I226" i="167"/>
  <c r="G155" i="167"/>
  <c r="I131" i="167"/>
  <c r="G160" i="167"/>
  <c r="H131" i="167"/>
  <c r="H230" i="167"/>
  <c r="J62" i="167"/>
  <c r="I219" i="167"/>
  <c r="G219" i="167" s="1"/>
  <c r="I206" i="167"/>
  <c r="G206" i="167" s="1"/>
  <c r="I220" i="167"/>
  <c r="I142" i="167"/>
  <c r="I230" i="167"/>
  <c r="I228" i="167"/>
  <c r="G228" i="167" s="1"/>
  <c r="G171" i="167"/>
  <c r="G161" i="167"/>
  <c r="I47" i="167"/>
  <c r="L47" i="167" s="1"/>
  <c r="G154" i="167"/>
  <c r="H379" i="167"/>
  <c r="K379" i="167" s="1"/>
  <c r="J146" i="167"/>
  <c r="M146" i="167" s="1"/>
  <c r="K232" i="165"/>
  <c r="O371" i="165"/>
  <c r="J372" i="165"/>
  <c r="K49" i="165"/>
  <c r="J213" i="167"/>
  <c r="L15" i="165"/>
  <c r="O433" i="165"/>
  <c r="J434" i="165"/>
  <c r="H224" i="167"/>
  <c r="F15" i="165"/>
  <c r="K115" i="165"/>
  <c r="H119" i="167" l="1"/>
  <c r="I77" i="167"/>
  <c r="L77" i="167" s="1"/>
  <c r="G134" i="167"/>
  <c r="H16" i="167"/>
  <c r="H63" i="167"/>
  <c r="I123" i="167"/>
  <c r="I119" i="167" s="1"/>
  <c r="I194" i="167"/>
  <c r="I193" i="167" s="1"/>
  <c r="G80" i="167"/>
  <c r="G64" i="167"/>
  <c r="I67" i="167"/>
  <c r="L67" i="167" s="1"/>
  <c r="G142" i="167"/>
  <c r="H214" i="167"/>
  <c r="H213" i="167" s="1"/>
  <c r="O50" i="165"/>
  <c r="E212" i="165"/>
  <c r="L46" i="167"/>
  <c r="O443" i="165"/>
  <c r="J382" i="165"/>
  <c r="H472" i="165"/>
  <c r="P372" i="165"/>
  <c r="G71" i="167"/>
  <c r="I218" i="167"/>
  <c r="G218" i="167" s="1"/>
  <c r="O212" i="165"/>
  <c r="K46" i="167"/>
  <c r="G46" i="167"/>
  <c r="G87" i="167"/>
  <c r="K85" i="167"/>
  <c r="G85" i="167"/>
  <c r="K33" i="167"/>
  <c r="G37" i="167"/>
  <c r="J118" i="167"/>
  <c r="M118" i="167" s="1"/>
  <c r="H317" i="167"/>
  <c r="H192" i="167"/>
  <c r="G215" i="167"/>
  <c r="J15" i="167"/>
  <c r="G132" i="167"/>
  <c r="I328" i="167"/>
  <c r="G126" i="167"/>
  <c r="G349" i="167"/>
  <c r="G38" i="167"/>
  <c r="G169" i="167"/>
  <c r="G47" i="167"/>
  <c r="F120" i="170" s="1"/>
  <c r="G131" i="167"/>
  <c r="G170" i="167"/>
  <c r="G226" i="167"/>
  <c r="G220" i="167"/>
  <c r="M62" i="167"/>
  <c r="G178" i="167"/>
  <c r="G224" i="167"/>
  <c r="G230" i="167"/>
  <c r="I386" i="167"/>
  <c r="L386" i="167" s="1"/>
  <c r="I341" i="167"/>
  <c r="L341" i="167" s="1"/>
  <c r="G343" i="167"/>
  <c r="G342" i="167" s="1"/>
  <c r="L472" i="165"/>
  <c r="I379" i="167"/>
  <c r="L379" i="167" s="1"/>
  <c r="G386" i="167"/>
  <c r="G332" i="167"/>
  <c r="G188" i="167"/>
  <c r="I33" i="167"/>
  <c r="I16" i="167" s="1"/>
  <c r="I337" i="167"/>
  <c r="G337" i="167" s="1"/>
  <c r="G472" i="165"/>
  <c r="G379" i="167"/>
  <c r="J371" i="165"/>
  <c r="H349" i="167"/>
  <c r="E382" i="165"/>
  <c r="E423" i="165"/>
  <c r="J433" i="165"/>
  <c r="P434" i="165"/>
  <c r="Q434" i="165" s="1"/>
  <c r="H146" i="167"/>
  <c r="K146" i="167" s="1"/>
  <c r="O16" i="165" l="1"/>
  <c r="E16" i="165"/>
  <c r="K15" i="167" s="1"/>
  <c r="I318" i="167"/>
  <c r="L318" i="167" s="1"/>
  <c r="G77" i="167"/>
  <c r="O404" i="165"/>
  <c r="O403" i="165" s="1"/>
  <c r="E50" i="165"/>
  <c r="O211" i="165"/>
  <c r="E211" i="165"/>
  <c r="J50" i="165"/>
  <c r="J49" i="165" s="1"/>
  <c r="J443" i="165"/>
  <c r="J442" i="165" s="1"/>
  <c r="G123" i="167"/>
  <c r="G119" i="167" s="1"/>
  <c r="O233" i="165"/>
  <c r="O232" i="165" s="1"/>
  <c r="E233" i="165"/>
  <c r="E232" i="165" s="1"/>
  <c r="I63" i="167"/>
  <c r="I62" i="167" s="1"/>
  <c r="O49" i="165"/>
  <c r="G36" i="108"/>
  <c r="G67" i="167"/>
  <c r="K192" i="167"/>
  <c r="J212" i="165"/>
  <c r="O442" i="165"/>
  <c r="H62" i="167"/>
  <c r="G194" i="167"/>
  <c r="G193" i="167" s="1"/>
  <c r="H118" i="167"/>
  <c r="K118" i="167" s="1"/>
  <c r="G341" i="167"/>
  <c r="G328" i="167"/>
  <c r="G318" i="167" s="1"/>
  <c r="H15" i="167"/>
  <c r="I349" i="167"/>
  <c r="L33" i="167"/>
  <c r="I192" i="167"/>
  <c r="G33" i="167"/>
  <c r="G16" i="167" s="1"/>
  <c r="I146" i="167"/>
  <c r="L146" i="167" s="1"/>
  <c r="G153" i="167"/>
  <c r="G147" i="167" s="1"/>
  <c r="J332" i="167"/>
  <c r="P423" i="165"/>
  <c r="P433" i="165"/>
  <c r="P371" i="165"/>
  <c r="P382" i="165"/>
  <c r="J16" i="165" l="1"/>
  <c r="L15" i="167" s="1"/>
  <c r="O460" i="165"/>
  <c r="E120" i="170"/>
  <c r="G63" i="167"/>
  <c r="G62" i="167" s="1"/>
  <c r="P16" i="165"/>
  <c r="Q16" i="165" s="1"/>
  <c r="J318" i="167"/>
  <c r="M318" i="167" s="1"/>
  <c r="L62" i="167"/>
  <c r="J404" i="165"/>
  <c r="J403" i="165" s="1"/>
  <c r="L363" i="167" s="1"/>
  <c r="E404" i="165"/>
  <c r="E115" i="165"/>
  <c r="P50" i="165"/>
  <c r="Q50" i="165" s="1"/>
  <c r="P212" i="165"/>
  <c r="O15" i="165"/>
  <c r="K62" i="167"/>
  <c r="J211" i="165"/>
  <c r="L192" i="167"/>
  <c r="E49" i="165"/>
  <c r="J233" i="165"/>
  <c r="P233" i="165" s="1"/>
  <c r="E15" i="165"/>
  <c r="O115" i="165"/>
  <c r="G192" i="167"/>
  <c r="I118" i="167"/>
  <c r="G118" i="167"/>
  <c r="G15" i="167"/>
  <c r="I317" i="167"/>
  <c r="G146" i="167"/>
  <c r="I15" i="167"/>
  <c r="E403" i="165" l="1"/>
  <c r="K363" i="167"/>
  <c r="L118" i="167"/>
  <c r="J398" i="167"/>
  <c r="N389" i="167" s="1"/>
  <c r="J15" i="165"/>
  <c r="P211" i="165"/>
  <c r="P404" i="165"/>
  <c r="Q404" i="165" s="1"/>
  <c r="P49" i="165"/>
  <c r="J232" i="165"/>
  <c r="P232" i="165"/>
  <c r="J115" i="165"/>
  <c r="J460" i="165"/>
  <c r="G317" i="167"/>
  <c r="J317" i="167"/>
  <c r="L398" i="167" l="1"/>
  <c r="P15" i="165"/>
  <c r="P403" i="165"/>
  <c r="P115" i="165"/>
  <c r="I234" i="167" l="1"/>
  <c r="I214" i="167" s="1"/>
  <c r="I398" i="167" s="1"/>
  <c r="M389" i="167" s="1"/>
  <c r="G234" i="167" l="1"/>
  <c r="G214" i="167" s="1"/>
  <c r="I213" i="167" l="1"/>
  <c r="G213" i="167" l="1"/>
  <c r="M19" i="107"/>
  <c r="O19" i="107"/>
  <c r="Q19" i="107" l="1"/>
  <c r="G151" i="107" l="1"/>
  <c r="F141" i="108"/>
  <c r="G150" i="107"/>
  <c r="F140" i="108"/>
  <c r="G148" i="107"/>
  <c r="F138" i="108"/>
  <c r="F139" i="108"/>
  <c r="G149" i="107"/>
  <c r="G146" i="107"/>
  <c r="F136" i="108"/>
  <c r="G147" i="107"/>
  <c r="F137" i="108"/>
  <c r="G144" i="107"/>
  <c r="F134" i="108"/>
  <c r="G143" i="107"/>
  <c r="F133" i="108"/>
  <c r="G142" i="107"/>
  <c r="F132" i="108"/>
  <c r="G141" i="107"/>
  <c r="F131" i="108"/>
  <c r="G140" i="107"/>
  <c r="F130" i="108"/>
  <c r="G139" i="107"/>
  <c r="F129" i="108"/>
  <c r="G138" i="107"/>
  <c r="F128" i="108"/>
  <c r="G137" i="107"/>
  <c r="F127" i="108"/>
  <c r="G136" i="107"/>
  <c r="F126" i="108"/>
  <c r="G135" i="107"/>
  <c r="F125" i="108"/>
  <c r="G134" i="107"/>
  <c r="F124" i="108"/>
  <c r="G132" i="107"/>
  <c r="F122" i="108"/>
  <c r="G92" i="107"/>
  <c r="G90" i="107"/>
  <c r="G89" i="107"/>
  <c r="G88" i="107"/>
  <c r="G87" i="107"/>
  <c r="G85" i="107"/>
  <c r="G84" i="107"/>
  <c r="G83" i="107"/>
  <c r="G82" i="107"/>
  <c r="G81" i="107"/>
  <c r="G80" i="107"/>
  <c r="G79" i="107"/>
  <c r="G78" i="107"/>
  <c r="G77" i="107"/>
  <c r="G76" i="107"/>
  <c r="G75" i="107"/>
  <c r="G74" i="107"/>
  <c r="G73" i="107"/>
  <c r="G72" i="107"/>
  <c r="G71" i="107"/>
  <c r="G70" i="107"/>
  <c r="G69" i="107"/>
  <c r="G68" i="107"/>
  <c r="G67" i="107"/>
  <c r="G65" i="107"/>
  <c r="G159" i="107"/>
  <c r="F150" i="108"/>
  <c r="K178" i="107"/>
  <c r="J169" i="108"/>
  <c r="J143" i="108" l="1"/>
  <c r="G16" i="107"/>
  <c r="G15" i="107" s="1"/>
  <c r="G14" i="107" s="1"/>
  <c r="G13" i="107"/>
  <c r="G12" i="107" s="1"/>
  <c r="G29" i="107" s="1"/>
  <c r="O18" i="107"/>
  <c r="K12" i="107"/>
  <c r="K29" i="107" s="1"/>
  <c r="L12" i="107"/>
  <c r="L29" i="107" s="1"/>
  <c r="J12" i="107"/>
  <c r="J29" i="107" s="1"/>
  <c r="H12" i="107"/>
  <c r="H29" i="107" s="1"/>
  <c r="O17" i="107"/>
  <c r="N17" i="107"/>
  <c r="K475" i="165" l="1"/>
  <c r="O16" i="107"/>
  <c r="O15" i="107" s="1"/>
  <c r="O14" i="107" s="1"/>
  <c r="L213" i="167"/>
  <c r="M213" i="167"/>
  <c r="O13" i="107"/>
  <c r="O12" i="107" s="1"/>
  <c r="O29" i="107" s="1"/>
  <c r="Q17" i="107"/>
  <c r="O462" i="165" l="1"/>
  <c r="J462" i="165"/>
  <c r="K472" i="165"/>
  <c r="N18" i="107"/>
  <c r="J473" i="165" l="1"/>
  <c r="O475" i="165"/>
  <c r="J472" i="165"/>
  <c r="O472" i="165"/>
  <c r="J475" i="165"/>
  <c r="N16" i="107"/>
  <c r="N15" i="107" s="1"/>
  <c r="N14" i="107" s="1"/>
  <c r="N13" i="107"/>
  <c r="N12" i="107" s="1"/>
  <c r="N29" i="107" s="1"/>
  <c r="F12" i="107"/>
  <c r="K213" i="167" l="1"/>
  <c r="F29" i="107"/>
  <c r="E36" i="108" l="1"/>
  <c r="I143" i="108" s="1"/>
  <c r="E24" i="108"/>
  <c r="M18" i="107"/>
  <c r="Q18" i="107" s="1"/>
  <c r="M13" i="107" l="1"/>
  <c r="M12" i="107" s="1"/>
  <c r="M29" i="107" s="1"/>
  <c r="M16" i="107"/>
  <c r="M15" i="107" s="1"/>
  <c r="M14" i="107" s="1"/>
  <c r="Q16" i="107"/>
  <c r="Q15" i="107" s="1"/>
  <c r="Q14" i="107" s="1"/>
  <c r="Q13" i="107" l="1"/>
  <c r="Q12" i="107" s="1"/>
  <c r="Q29" i="107" s="1"/>
  <c r="Q462" i="165" l="1"/>
  <c r="R29" i="107"/>
  <c r="H396" i="167" l="1"/>
  <c r="G396" i="167" s="1"/>
  <c r="G393" i="167" s="1"/>
  <c r="G398" i="167" s="1"/>
  <c r="K389" i="167" s="1"/>
  <c r="F442" i="165"/>
  <c r="H393" i="167" l="1"/>
  <c r="H392" i="167" s="1"/>
  <c r="G392" i="167"/>
  <c r="E443" i="165"/>
  <c r="H398" i="167" l="1"/>
  <c r="L389" i="167" s="1"/>
  <c r="E460" i="165"/>
  <c r="P443" i="165"/>
  <c r="Q443" i="165" s="1"/>
  <c r="E442" i="165"/>
  <c r="F472" i="165"/>
  <c r="D30" i="172" l="1"/>
  <c r="D25" i="172" s="1"/>
  <c r="E477" i="165"/>
  <c r="F473" i="165"/>
  <c r="F475" i="165"/>
  <c r="E475" i="165"/>
  <c r="K398" i="167"/>
  <c r="P442" i="165"/>
  <c r="P460" i="165"/>
  <c r="E472" i="165"/>
  <c r="P475" i="165" l="1"/>
  <c r="Q460" i="165"/>
  <c r="E30" i="172"/>
  <c r="P472" i="165"/>
  <c r="D15" i="172"/>
  <c r="D35" i="172" s="1"/>
  <c r="P473" i="165"/>
  <c r="D60" i="172"/>
  <c r="D55" i="172" s="1"/>
  <c r="D66" i="170"/>
  <c r="E66" i="170" s="1"/>
  <c r="E25" i="172" l="1"/>
  <c r="G30" i="172"/>
  <c r="C30" i="172"/>
  <c r="C25" i="172" s="1"/>
  <c r="F30" i="172"/>
  <c r="F25" i="172" s="1"/>
  <c r="E60" i="172"/>
  <c r="E55" i="172" s="1"/>
  <c r="G25" i="172" l="1"/>
  <c r="D49" i="172"/>
  <c r="D61" i="172" s="1"/>
  <c r="C15" i="172"/>
  <c r="C35" i="172" s="1"/>
  <c r="F15" i="172"/>
  <c r="F35" i="172" s="1"/>
  <c r="E15" i="172"/>
  <c r="F60" i="172"/>
  <c r="F55" i="172" s="1"/>
  <c r="C60" i="172"/>
  <c r="C55" i="172" s="1"/>
  <c r="E76" i="170"/>
  <c r="D60" i="170"/>
  <c r="G15" i="172" l="1"/>
  <c r="D75" i="170"/>
  <c r="D74" i="170" s="1"/>
  <c r="D34" i="170"/>
  <c r="E34" i="170" s="1"/>
  <c r="E35" i="172"/>
  <c r="G35" i="172" s="1"/>
  <c r="E49" i="172"/>
  <c r="E61" i="172" s="1"/>
  <c r="F49" i="172"/>
  <c r="F61" i="172" s="1"/>
  <c r="C49" i="172"/>
  <c r="C61" i="172" s="1"/>
  <c r="F34" i="170" l="1"/>
  <c r="E74" i="170"/>
  <c r="E75" i="170"/>
  <c r="D91" i="170" l="1"/>
  <c r="E121" i="170" s="1"/>
  <c r="E91" i="170" l="1"/>
</calcChain>
</file>

<file path=xl/sharedStrings.xml><?xml version="1.0" encoding="utf-8"?>
<sst xmlns="http://schemas.openxmlformats.org/spreadsheetml/2006/main" count="5006" uniqueCount="1748">
  <si>
    <t>Департамент освіти та науки Хмельницької міської ради (головний розпорядник)</t>
  </si>
  <si>
    <t>Департамент освіти та науки Хмельницької міської ради (відповідальний виконавець)</t>
  </si>
  <si>
    <t>1</t>
  </si>
  <si>
    <t>2</t>
  </si>
  <si>
    <t>Проведення навчально-тренувальних зборів і змагань з неолімпійських видів спорту</t>
  </si>
  <si>
    <t>4</t>
  </si>
  <si>
    <t>Надання пільг окремим категоріям громадян з оплати послуг зв'язку</t>
  </si>
  <si>
    <t>Компенсаційні виплати на пільговий проїзд автомобільним транспортом окремим категоріям громадян</t>
  </si>
  <si>
    <t>Компенсаційні виплати за пільговий проїзд окремих категорій громадян на залізничному транспорті</t>
  </si>
  <si>
    <t>Компенсаційні виплати на пільговий проїзд електротранспортом окремим категоріям громадян</t>
  </si>
  <si>
    <t>Утримання клубів для підлітків за місцем проживання</t>
  </si>
  <si>
    <t>Разом</t>
  </si>
  <si>
    <t>Загальний фонд</t>
  </si>
  <si>
    <t>з них</t>
  </si>
  <si>
    <t>3</t>
  </si>
  <si>
    <t>комунальні послуги та енергоносії</t>
  </si>
  <si>
    <t>Код ФКВКБ</t>
  </si>
  <si>
    <t>Забезпечення соціальними послугами за місцем проживання громадян, які не здатні до самообслуговування у зв'язку з похилим віком, хворобою, інвалідністю</t>
  </si>
  <si>
    <t>Управління охорони здоров'я Хмельницької міської ради (головний розпорядник)</t>
  </si>
  <si>
    <t>Багатопрофільна стаціонарна медична допомога населенню</t>
  </si>
  <si>
    <t>Код ТПКВКМБ /
ТКВКБМС</t>
  </si>
  <si>
    <t>1110000</t>
  </si>
  <si>
    <t>1100000</t>
  </si>
  <si>
    <t>Управління молоді та спорту Хмельницької міської ради (головний розпорядник)</t>
  </si>
  <si>
    <t>Управління культури і туризму Хмельницької міської ради (головний розпорядник)</t>
  </si>
  <si>
    <t>1500000</t>
  </si>
  <si>
    <t>1510000</t>
  </si>
  <si>
    <t>Фінансове управління Хмельницької міської ради (головний розпорядник)</t>
  </si>
  <si>
    <t>1115031</t>
  </si>
  <si>
    <t>1115032</t>
  </si>
  <si>
    <t>1115061</t>
  </si>
  <si>
    <t>Забезпечення діяльності місцевих центрів фізичного здоров'я населення "Спорт для всіх" та проведення фізкультурно-масових заходів серед населення регіону</t>
  </si>
  <si>
    <t>1115063</t>
  </si>
  <si>
    <t>Забезпечення діяльності централізованої бухгалтерії</t>
  </si>
  <si>
    <t>Внески до статутного капіталу суб’єктів господарювання</t>
  </si>
  <si>
    <t>Управління молоді та спорту Хмельницької міської ради (відповідальний виконавець)</t>
  </si>
  <si>
    <t>Управління охорони здоров'я Хмельницької міської ради (відповідальний виконавець)</t>
  </si>
  <si>
    <t>Управління праці та соціального захисту населення Хмельницької міської ради (головний розпорядник)</t>
  </si>
  <si>
    <t>Управління праці та соціального захисту населення Хмельницької міської ради (відповідальний виконавець)</t>
  </si>
  <si>
    <t>Управління культури і туризму Хмельницької міської ради (відповідальний виконавець)</t>
  </si>
  <si>
    <t>Фінансове управління Хмельницької міської ради (відповідальний виконавець)</t>
  </si>
  <si>
    <t>Заходи з енергозбереження</t>
  </si>
  <si>
    <t>0133</t>
  </si>
  <si>
    <t>0180</t>
  </si>
  <si>
    <t>1115011</t>
  </si>
  <si>
    <t>Проведення навчально-тренувальних зборів і змагань з олімпійських видів спорту</t>
  </si>
  <si>
    <t>1115012</t>
  </si>
  <si>
    <t>1115022</t>
  </si>
  <si>
    <t>Утримання та навчально-тренувальна робота комунальних дитячо-юнацьких спортивних шкіл</t>
  </si>
  <si>
    <t>Фінансова підтримка дитячо-юнацьких спортивних шкіл фізкультурно-спортивних товариств</t>
  </si>
  <si>
    <t>1060</t>
  </si>
  <si>
    <t>0540</t>
  </si>
  <si>
    <t>Спеціальний фонд</t>
  </si>
  <si>
    <t>видатки споживання</t>
  </si>
  <si>
    <t>оплата праці</t>
  </si>
  <si>
    <t>видатки розвитку</t>
  </si>
  <si>
    <t>Додаток 1</t>
  </si>
  <si>
    <t>Код</t>
  </si>
  <si>
    <t>Податкові надходження</t>
  </si>
  <si>
    <t>Податки на доходи, податки на прибуток, податки на збільшення ринкової вартості</t>
  </si>
  <si>
    <t xml:space="preserve">Податок на доходи фізичних осіб </t>
  </si>
  <si>
    <t xml:space="preserve">Податок на  доходи фізичних осіб, що сплачуються податковими агентами, із доходів платника податку у вигляді заробітної плати </t>
  </si>
  <si>
    <t xml:space="preserve">Податок на  доходи  фізичних осіб з грошового забезпечення, грошових винагород та інших виплат, одержаних військовослужбовцями та особами рядового і начальницького складу, що сплачується податковими агентами </t>
  </si>
  <si>
    <t xml:space="preserve">Податок на доходи фізичних осіб, що сплачується податковими агентами, із доходів платника податку інших ніж заробітна плата </t>
  </si>
  <si>
    <t xml:space="preserve">Податок на доходи доходів фізичних осіб, що сплачуються фізичними особами за результатами річного декларування </t>
  </si>
  <si>
    <t>Податок на прибуток підприємств</t>
  </si>
  <si>
    <t xml:space="preserve"> Податок на прибуток підприємств та фінансових установ комунальної власності </t>
  </si>
  <si>
    <t>Місцеві  податки і збори</t>
  </si>
  <si>
    <t>Податок на майно</t>
  </si>
  <si>
    <t xml:space="preserve">Податок на нерухоме майно, відмінне від земельної ділянки, сплачений юридичними особами, які є власниками об"єктів житлової нерухомості   </t>
  </si>
  <si>
    <t xml:space="preserve">Податок на нерухоме майно, відмінне від земельної ділянки, сплачений фізичними  особами, які є власниками об"єктів житлової нерухомості   </t>
  </si>
  <si>
    <t xml:space="preserve">Податок на нерухоме майно, відмінне від земельної ділянки, сплачений фізичними  особами, які є власниками об"єктів нежитлової нерухомості   </t>
  </si>
  <si>
    <t xml:space="preserve">Податок на нерухоме майно, відмінне від земельної ділянки, сплачений юридичними особами, які є власниками об"єктів нежитлової нерухомості   </t>
  </si>
  <si>
    <t>Земельний податок з юридичних осіб</t>
  </si>
  <si>
    <t>Орендна плата з юридичних осіб</t>
  </si>
  <si>
    <t>Земельний податок з фізичних осіб</t>
  </si>
  <si>
    <t>Орендна плата з фізичних осіб</t>
  </si>
  <si>
    <t>Транспортний податок з фізичних  осіб</t>
  </si>
  <si>
    <t>Транспортний податок з юридичних осіб</t>
  </si>
  <si>
    <t xml:space="preserve">Туристичний збір </t>
  </si>
  <si>
    <t xml:space="preserve">Туристичний збір, сплачений юридичними особами  </t>
  </si>
  <si>
    <t xml:space="preserve">Туристичний збір, сплачений фізичними особами  </t>
  </si>
  <si>
    <t xml:space="preserve">Єдиний податок  </t>
  </si>
  <si>
    <t>Єдиний податок  з фізичних осіб</t>
  </si>
  <si>
    <t xml:space="preserve">Екологічний податок </t>
  </si>
  <si>
    <t>Неподаткові надходження</t>
  </si>
  <si>
    <t xml:space="preserve">Плата за розміщення тимчасово вільних коштів </t>
  </si>
  <si>
    <t>Адміністративні штрафи та інші санкції</t>
  </si>
  <si>
    <t>Адміністративні збори та платежі, доходи від некомерційної господарської діяльності</t>
  </si>
  <si>
    <t xml:space="preserve">Адміністративний збір за державну реєстрацію речових прав на нерухоме майно та їх обтяжень </t>
  </si>
  <si>
    <t xml:space="preserve">Плата за надання інших адміністративних послуг </t>
  </si>
  <si>
    <t xml:space="preserve">Надходження від орендної плати за користування цілісним майновим комплексом та іншим майном, що перебуває в комунальній власності </t>
  </si>
  <si>
    <t xml:space="preserve">Державне мито </t>
  </si>
  <si>
    <t>Державне мито, що сплачується за місцем розгляду та оформлення документів, у тому числі за оформлення документів на спадщину і дарування</t>
  </si>
  <si>
    <t>Державне мито, пов`язане з видачею та оформленням закордонних паспортів (посвідок) та паспортів громадян України</t>
  </si>
  <si>
    <t>Інші неподаткові надходження</t>
  </si>
  <si>
    <t xml:space="preserve">Інші надходження </t>
  </si>
  <si>
    <t xml:space="preserve">Надходження коштів пайової участі у розвитку інфраструктури населеного пункту </t>
  </si>
  <si>
    <t>Власні надходження бюджетних установ</t>
  </si>
  <si>
    <t>Надходження від плати за послуги, що надаються бюджетними установами згідно із законодавством</t>
  </si>
  <si>
    <t>Плата за послуги, що надаються бюджетними установами згідно з їх основною діяльністю</t>
  </si>
  <si>
    <t>Надходження бюджетних установ від додаткової (господарської)  діяльності</t>
  </si>
  <si>
    <t>Плата за оренду майна бюджетних установ</t>
  </si>
  <si>
    <t>Надходження  бюджетних установ від реалізації в установленому порядку майна (крім нерухомого майна)</t>
  </si>
  <si>
    <t>Доходи від операцій з капіталом</t>
  </si>
  <si>
    <t>Надходження від продажу основного капіталу</t>
  </si>
  <si>
    <t xml:space="preserve">Кошти від реалізації безхазяйного майна,знахідок, спадкового майна, майна, одержаного територіальною громадою в порядку спадкування чи дарування, а також валютні цінності і грошові кошти, власники яких невідомі </t>
  </si>
  <si>
    <t xml:space="preserve">Кошти  від відчуження майна, яке належить  Автономній Республіці Крим та майна, що знаходиться у комунальній власності </t>
  </si>
  <si>
    <t>Надходження від продажу землі і нематеріальних активів</t>
  </si>
  <si>
    <t xml:space="preserve">Кошти від продажу землі </t>
  </si>
  <si>
    <t>Кошти від продажу прав на земельні ділянки несільськогосподарського призначення, що перебувають у державній або комунальній власності</t>
  </si>
  <si>
    <t xml:space="preserve">Цільові фонди, утворені Верховною радою Автономної Республіки Крим, органами місцевого самоврядування та місцевими органами виконавчої влади </t>
  </si>
  <si>
    <t xml:space="preserve">Субвенції  </t>
  </si>
  <si>
    <t xml:space="preserve">Освітня субвенція з державного бюджету місцевим бюджетам </t>
  </si>
  <si>
    <t>Додаток 2</t>
  </si>
  <si>
    <t>200000</t>
  </si>
  <si>
    <t>Внутрішнє фінансування</t>
  </si>
  <si>
    <t>208100</t>
  </si>
  <si>
    <t>На початок періоду</t>
  </si>
  <si>
    <t>Передача коштів із загального до бюджету розвитку (спеціального фонду)</t>
  </si>
  <si>
    <t xml:space="preserve">Фінансування за борговими операціями </t>
  </si>
  <si>
    <t xml:space="preserve">Запозичення </t>
  </si>
  <si>
    <t>600000</t>
  </si>
  <si>
    <t>Фінансування за активними операціями</t>
  </si>
  <si>
    <t>Надання кредитів</t>
  </si>
  <si>
    <t>Повернення кредитів</t>
  </si>
  <si>
    <t>Хмельницької міської ради</t>
  </si>
  <si>
    <t xml:space="preserve">Пункти Положення </t>
  </si>
  <si>
    <t>Джерела доходів</t>
  </si>
  <si>
    <t>2.1.1.</t>
  </si>
  <si>
    <t>2.1.2.</t>
  </si>
  <si>
    <t>2.1.3.</t>
  </si>
  <si>
    <t>2.1.5.</t>
  </si>
  <si>
    <t xml:space="preserve">Надходження плати за виготовлення бланків і видачу свідоцтв про право власності на житлове (житлові) приміщення у гуртожитку </t>
  </si>
  <si>
    <t xml:space="preserve">Всього по джерелах доходів : </t>
  </si>
  <si>
    <t>Видатки</t>
  </si>
  <si>
    <t>3.2.1.</t>
  </si>
  <si>
    <t>Фінансове забезпечення проведення міських заходів виконавчим комітетом Хмельницької міської ради та управліннями і відділами міської ради</t>
  </si>
  <si>
    <t>3.2.3.</t>
  </si>
  <si>
    <t>Матеріальне забезпечення проведення сесій міської ради, депутатських днів та інших організаційних заходів з діяльності депутатів міської ради</t>
  </si>
  <si>
    <t>3.2.5.</t>
  </si>
  <si>
    <t>3.2.6.</t>
  </si>
  <si>
    <t>Виплата винагороди головам квартальних комітетів</t>
  </si>
  <si>
    <t>3.2.7.</t>
  </si>
  <si>
    <t>Здійснення заходів з приватизації, відчуження та передачі в оренду майна комунальної власності</t>
  </si>
  <si>
    <t>0200000</t>
  </si>
  <si>
    <t>0210000</t>
  </si>
  <si>
    <t>Виконавчий комітет Хмельницької міської ради (головний розпорядник)</t>
  </si>
  <si>
    <t>Виконавчий комітет Хмельницької міської ради  (відповідальний виконавець)</t>
  </si>
  <si>
    <t>0600000</t>
  </si>
  <si>
    <t>0610000</t>
  </si>
  <si>
    <t>0700000</t>
  </si>
  <si>
    <t>0710000</t>
  </si>
  <si>
    <t>0800000</t>
  </si>
  <si>
    <t>0810000</t>
  </si>
  <si>
    <t>1200000</t>
  </si>
  <si>
    <t>1210000</t>
  </si>
  <si>
    <t>1600000</t>
  </si>
  <si>
    <t>1610000</t>
  </si>
  <si>
    <t>3600000</t>
  </si>
  <si>
    <t>3610000</t>
  </si>
  <si>
    <t>2800000</t>
  </si>
  <si>
    <t>2810000</t>
  </si>
  <si>
    <t>2700000</t>
  </si>
  <si>
    <t>2710000</t>
  </si>
  <si>
    <t>3700000</t>
  </si>
  <si>
    <t>3710000</t>
  </si>
  <si>
    <t>0490</t>
  </si>
  <si>
    <t>4060</t>
  </si>
  <si>
    <t>1014030</t>
  </si>
  <si>
    <t>4030</t>
  </si>
  <si>
    <t>0824</t>
  </si>
  <si>
    <t>Забезпечення діяльності бібліотек</t>
  </si>
  <si>
    <t>1014040</t>
  </si>
  <si>
    <t>4040</t>
  </si>
  <si>
    <t>1014060</t>
  </si>
  <si>
    <t>0828</t>
  </si>
  <si>
    <t>Забезпечення діяльності палаців i будинків культури, клубів, центрів дозвілля та iнших клубних закладів</t>
  </si>
  <si>
    <t>0960</t>
  </si>
  <si>
    <t>0829</t>
  </si>
  <si>
    <t>1113121</t>
  </si>
  <si>
    <t>3121</t>
  </si>
  <si>
    <t>1040</t>
  </si>
  <si>
    <t>5011</t>
  </si>
  <si>
    <t>5012</t>
  </si>
  <si>
    <t>5022</t>
  </si>
  <si>
    <t>1113132</t>
  </si>
  <si>
    <t>3132</t>
  </si>
  <si>
    <t>1090</t>
  </si>
  <si>
    <t>5031</t>
  </si>
  <si>
    <t>5032</t>
  </si>
  <si>
    <t>5061</t>
  </si>
  <si>
    <t>0810</t>
  </si>
  <si>
    <t>5063</t>
  </si>
  <si>
    <t>7670</t>
  </si>
  <si>
    <t>0611010</t>
  </si>
  <si>
    <t>1010</t>
  </si>
  <si>
    <t>1020</t>
  </si>
  <si>
    <t>0910</t>
  </si>
  <si>
    <t>Надання дошкільної освіти</t>
  </si>
  <si>
    <t>0611020</t>
  </si>
  <si>
    <t>0921</t>
  </si>
  <si>
    <t>1030</t>
  </si>
  <si>
    <t>1070</t>
  </si>
  <si>
    <t>0922</t>
  </si>
  <si>
    <t>0611090</t>
  </si>
  <si>
    <t>0930</t>
  </si>
  <si>
    <t>0990</t>
  </si>
  <si>
    <t>2010</t>
  </si>
  <si>
    <t>7640</t>
  </si>
  <si>
    <t>0470</t>
  </si>
  <si>
    <t>0712010</t>
  </si>
  <si>
    <t>0731</t>
  </si>
  <si>
    <t>0712030</t>
  </si>
  <si>
    <t>2030</t>
  </si>
  <si>
    <t>0733</t>
  </si>
  <si>
    <t>Лікарсько-акушерська допомога вагітним, породіллям та новонародженим</t>
  </si>
  <si>
    <t>0712080</t>
  </si>
  <si>
    <t>2080</t>
  </si>
  <si>
    <t>0721</t>
  </si>
  <si>
    <t>0712100</t>
  </si>
  <si>
    <t>2100</t>
  </si>
  <si>
    <t>0722</t>
  </si>
  <si>
    <t>Стоматологічна допомога населенню</t>
  </si>
  <si>
    <t>0712111</t>
  </si>
  <si>
    <t>2111</t>
  </si>
  <si>
    <t>Первинна медична допомога населенню, що надається центрами первинної медичної (медико-санітарної) допомоги</t>
  </si>
  <si>
    <t>0763</t>
  </si>
  <si>
    <t>Організаційне, інформаційно-аналітичне та матеріально-технічне забезпечення діяльності обласної ради, районної ради, районної у місті ради (у разі її створення), міської, селищної, сільської рад</t>
  </si>
  <si>
    <t>0210150</t>
  </si>
  <si>
    <t>0150</t>
  </si>
  <si>
    <t>0111</t>
  </si>
  <si>
    <t>Керівництво і управління у відповідній сфері у містах (місті Києві), селищах, селах, об’єднаних територіальних громадах</t>
  </si>
  <si>
    <t>0160</t>
  </si>
  <si>
    <t>Реалізація Національної програми інформатизації</t>
  </si>
  <si>
    <t>0217520</t>
  </si>
  <si>
    <t>7520</t>
  </si>
  <si>
    <t>0460</t>
  </si>
  <si>
    <t>0218410</t>
  </si>
  <si>
    <t>8410</t>
  </si>
  <si>
    <t>0830</t>
  </si>
  <si>
    <t>0219710</t>
  </si>
  <si>
    <t>9710</t>
  </si>
  <si>
    <t>0210180</t>
  </si>
  <si>
    <t>Інша діяльність у сфері державного управління</t>
  </si>
  <si>
    <t>Заходи з організації рятування на водах</t>
  </si>
  <si>
    <t>8120</t>
  </si>
  <si>
    <t>0320</t>
  </si>
  <si>
    <t>2717630</t>
  </si>
  <si>
    <t>Реалізація програм і заходів в галузі зовнішньоекономічної діяльності</t>
  </si>
  <si>
    <t>7630</t>
  </si>
  <si>
    <t>Інші заходи, пов'язані з економічною діяльністю</t>
  </si>
  <si>
    <t>2717693</t>
  </si>
  <si>
    <t>7693</t>
  </si>
  <si>
    <t>Сприяння розвитку малого та середнього підприємництва</t>
  </si>
  <si>
    <t>0411</t>
  </si>
  <si>
    <t>2717610</t>
  </si>
  <si>
    <t>7610</t>
  </si>
  <si>
    <t>Реалізація інших заходів щодо соціально-економічного розвитку територій</t>
  </si>
  <si>
    <t>0813160</t>
  </si>
  <si>
    <t>3160</t>
  </si>
  <si>
    <t>3104</t>
  </si>
  <si>
    <t>3105</t>
  </si>
  <si>
    <t>0813104</t>
  </si>
  <si>
    <t>0813105</t>
  </si>
  <si>
    <t>0813031</t>
  </si>
  <si>
    <t>3031</t>
  </si>
  <si>
    <t>Надання інших пільг окремим категоріям громадян відповідно до законодавства</t>
  </si>
  <si>
    <t>0813032</t>
  </si>
  <si>
    <t>3032</t>
  </si>
  <si>
    <t>3035</t>
  </si>
  <si>
    <t>0813033</t>
  </si>
  <si>
    <t>3033</t>
  </si>
  <si>
    <t>0813035</t>
  </si>
  <si>
    <t>0813036</t>
  </si>
  <si>
    <t>3036</t>
  </si>
  <si>
    <t>1216011</t>
  </si>
  <si>
    <t>6011</t>
  </si>
  <si>
    <t>Експлуатація та технічне обслуговування житлового фонду</t>
  </si>
  <si>
    <t>0620</t>
  </si>
  <si>
    <t>1216017</t>
  </si>
  <si>
    <t>6017</t>
  </si>
  <si>
    <t>6013</t>
  </si>
  <si>
    <t>Забезпечення діяльності водопровідно-каналізаційного господарства</t>
  </si>
  <si>
    <t>1216030</t>
  </si>
  <si>
    <t>6030</t>
  </si>
  <si>
    <t>Організація благоустрою населених пунктів</t>
  </si>
  <si>
    <t>7426</t>
  </si>
  <si>
    <t>Інші заходи у сфері електротранспорту</t>
  </si>
  <si>
    <t>7461</t>
  </si>
  <si>
    <t>Утримання та розвиток автомобільних доріг та дорожньої інфраструктури за рахунок коштів місцевого бюджету</t>
  </si>
  <si>
    <t>0456</t>
  </si>
  <si>
    <t>1217640</t>
  </si>
  <si>
    <t>6020</t>
  </si>
  <si>
    <t>Забезпечення функціонування підприємств, установ та організацій, що виробляють, виконують та/або надають житлово-комунальні послуги</t>
  </si>
  <si>
    <t>0217680</t>
  </si>
  <si>
    <t>7680</t>
  </si>
  <si>
    <t>1216015</t>
  </si>
  <si>
    <t>6015</t>
  </si>
  <si>
    <t>Забезпечення надійної та безперебійної експлуатації ліфтів</t>
  </si>
  <si>
    <t>0443</t>
  </si>
  <si>
    <t>7310</t>
  </si>
  <si>
    <t>3617130</t>
  </si>
  <si>
    <t>7130</t>
  </si>
  <si>
    <t>0421</t>
  </si>
  <si>
    <t>1517321</t>
  </si>
  <si>
    <t>7321</t>
  </si>
  <si>
    <t>1517325</t>
  </si>
  <si>
    <t>7325</t>
  </si>
  <si>
    <t>1517330</t>
  </si>
  <si>
    <t>7330</t>
  </si>
  <si>
    <t>№ п/п</t>
  </si>
  <si>
    <t>Код КПКВ</t>
  </si>
  <si>
    <t>Заходи, на які виділяються кошти</t>
  </si>
  <si>
    <t>Забезпечення діяльності інших закладів у сфері охорони здоров’я</t>
  </si>
  <si>
    <t>Інші програми та заходи у сфері охорони здоров’я</t>
  </si>
  <si>
    <t>0712151</t>
  </si>
  <si>
    <t>0712152</t>
  </si>
  <si>
    <t>2151</t>
  </si>
  <si>
    <t>2152</t>
  </si>
  <si>
    <t>0813192</t>
  </si>
  <si>
    <t>3192</t>
  </si>
  <si>
    <t>0813241</t>
  </si>
  <si>
    <t>0813242</t>
  </si>
  <si>
    <t>3241</t>
  </si>
  <si>
    <t>3242</t>
  </si>
  <si>
    <t>Інші заходи у сфері соціального захисту і соціального забезпечення</t>
  </si>
  <si>
    <t>1014081</t>
  </si>
  <si>
    <t>4081</t>
  </si>
  <si>
    <t>1014082</t>
  </si>
  <si>
    <t>4082</t>
  </si>
  <si>
    <t>Інші програми та заходи у сфері освіти</t>
  </si>
  <si>
    <t>7691</t>
  </si>
  <si>
    <t>0217691</t>
  </si>
  <si>
    <t>0610</t>
  </si>
  <si>
    <t>6084</t>
  </si>
  <si>
    <t>1116084</t>
  </si>
  <si>
    <t xml:space="preserve">Кошти від продажу земельних ділянок  несільськогосподарського призначення, що перебувають у державній або комунальній власності </t>
  </si>
  <si>
    <t xml:space="preserve">Дотації з місцевих бюджетів іншим місцевим бюджетам </t>
  </si>
  <si>
    <t>Амбулаторно-поліклінічна допомога населенню, крім первинної медичної допомоги</t>
  </si>
  <si>
    <t>0726</t>
  </si>
  <si>
    <t>3180</t>
  </si>
  <si>
    <t>0813180</t>
  </si>
  <si>
    <t>Проведення навчально-тренувальних зборів і змагань та заходів зі спорту осіб з інвалідністю</t>
  </si>
  <si>
    <t>7370</t>
  </si>
  <si>
    <t>1113133</t>
  </si>
  <si>
    <t>3133</t>
  </si>
  <si>
    <t>Управління економіки Хмельницької міської ради (головний розпорядник)</t>
  </si>
  <si>
    <t>Управління економіки Хмельницької міської ради (відповідальний виконавець)</t>
  </si>
  <si>
    <t xml:space="preserve">Зовнішнє фінансування </t>
  </si>
  <si>
    <t xml:space="preserve">Позики, надані міжнародними організаціями </t>
  </si>
  <si>
    <t>Одержано позик</t>
  </si>
  <si>
    <t xml:space="preserve">Погашено позик </t>
  </si>
  <si>
    <t>Зовнішні запозичення</t>
  </si>
  <si>
    <t xml:space="preserve">Погашення </t>
  </si>
  <si>
    <t>0170</t>
  </si>
  <si>
    <t>9770</t>
  </si>
  <si>
    <t>Інші субвенції з місцевого бюджету</t>
  </si>
  <si>
    <t>6082</t>
  </si>
  <si>
    <t>Придбання житла для окремих категорій населення відповідно до законодавства</t>
  </si>
  <si>
    <t>0816082</t>
  </si>
  <si>
    <t>3617650</t>
  </si>
  <si>
    <t>7650</t>
  </si>
  <si>
    <t>Проведення експертної грошової оцінки земельної ділянки чи права на неї</t>
  </si>
  <si>
    <t>Організація та проведення громадських робіт</t>
  </si>
  <si>
    <t>3210</t>
  </si>
  <si>
    <t>1050</t>
  </si>
  <si>
    <t xml:space="preserve">Плата за встановлення земельного сервітуту </t>
  </si>
  <si>
    <t xml:space="preserve">Кошти за шкоду, що заподіяна на земельних ділянках державної та комунальної власності, які не надані у користування та не передані у власність, внаслідок їх самовільного зайняття, використання не за цільовим призначенням </t>
  </si>
  <si>
    <t>6012</t>
  </si>
  <si>
    <t>Забезпечення діяльності з виробництва, транспортування, постачання теплової енергії</t>
  </si>
  <si>
    <t>Найменування згідно з Класифікацією фінансування бюджету</t>
  </si>
  <si>
    <t xml:space="preserve">Фінансування за типом кредитора </t>
  </si>
  <si>
    <t>Загальне фінансування</t>
  </si>
  <si>
    <t>Х</t>
  </si>
  <si>
    <t xml:space="preserve">Фінансування за типом боргового зобов'язання </t>
  </si>
  <si>
    <t>Усього</t>
  </si>
  <si>
    <t>усього</t>
  </si>
  <si>
    <t>у тому числі бюджет розвитку</t>
  </si>
  <si>
    <t>загальний фонд</t>
  </si>
  <si>
    <t>спеціальний фонд</t>
  </si>
  <si>
    <t>разом</t>
  </si>
  <si>
    <t>Кредитування, усього</t>
  </si>
  <si>
    <t>Код Функціональної класифікації видатків та кредитування бюджету</t>
  </si>
  <si>
    <t>УСЬОГО</t>
  </si>
  <si>
    <t>5</t>
  </si>
  <si>
    <t>6</t>
  </si>
  <si>
    <t>7</t>
  </si>
  <si>
    <t>8</t>
  </si>
  <si>
    <t>9</t>
  </si>
  <si>
    <t>10</t>
  </si>
  <si>
    <t>11</t>
  </si>
  <si>
    <t>12</t>
  </si>
  <si>
    <t>13</t>
  </si>
  <si>
    <t>14</t>
  </si>
  <si>
    <t>15</t>
  </si>
  <si>
    <t>16</t>
  </si>
  <si>
    <t>(грн)</t>
  </si>
  <si>
    <t>Сума, грн</t>
  </si>
  <si>
    <t>Рішення 19-ї сесії Хмельницької міської ради від 21.02.2001 року №6</t>
  </si>
  <si>
    <t>Рішення 11-ї сесії Хмельницької міської ради від 25.01.2017 року №20</t>
  </si>
  <si>
    <t>Оформлення передплати на газети організаціям інвалідів, ветеранів війни і праці, окремим категоріям громадян</t>
  </si>
  <si>
    <t>Рішення позачергової 10-ї сесії Хмельницької міської ради від 29.12.2016 року №4</t>
  </si>
  <si>
    <t>Рішення позачергової 10-ї сесії Хмельницької міської ради від 29.12.2016 року №2</t>
  </si>
  <si>
    <t>7413</t>
  </si>
  <si>
    <t>0451</t>
  </si>
  <si>
    <t>Інші заходи у сфері автотранспорту</t>
  </si>
  <si>
    <t>0810160</t>
  </si>
  <si>
    <t>0710160</t>
  </si>
  <si>
    <t>1510160</t>
  </si>
  <si>
    <t>3610160</t>
  </si>
  <si>
    <t>1610160</t>
  </si>
  <si>
    <t>3710160</t>
  </si>
  <si>
    <t>1210160</t>
  </si>
  <si>
    <t>2810160</t>
  </si>
  <si>
    <t>0817691</t>
  </si>
  <si>
    <t>1217691</t>
  </si>
  <si>
    <t>Рішення 21-ї сесії Хмельницької міської ради від 11.04.2018 року №11</t>
  </si>
  <si>
    <t>у тому числі  бюджет розвитку</t>
  </si>
  <si>
    <t>Офіційні трансферти</t>
  </si>
  <si>
    <t>0813210</t>
  </si>
  <si>
    <t>Забезпечення діяльності інклюзивно-ресурсних центрів</t>
  </si>
  <si>
    <t>Оздоровлення та відпочинок дітей (крім заходів з оздоровлення дітей, що здійснюються за рахунок коштів на оздоровлення громадян, які постраждали внаслідок Чорнобильської катастрофи)</t>
  </si>
  <si>
    <t>0613140</t>
  </si>
  <si>
    <t>3140</t>
  </si>
  <si>
    <t>1515043</t>
  </si>
  <si>
    <t>5043</t>
  </si>
  <si>
    <t>0717670</t>
  </si>
  <si>
    <t>Програма «Здоров’я хмельничан» на 2017-2021 роки (із змінами і доповненнями)</t>
  </si>
  <si>
    <t>1517370</t>
  </si>
  <si>
    <t xml:space="preserve">Субвенції з державного бюджету місцевим бюджетам </t>
  </si>
  <si>
    <t>Залишок коштів на 01.01.2020 року</t>
  </si>
  <si>
    <t>Виконання заходів за рахунок цільових фондів, утворених Верховною Радою Автономної Республіки Крим, органами місцевого самоврядування і місцевими органами виконавчої влади і фондів, утворених Верховною Радою Автономної</t>
  </si>
  <si>
    <t>Республіки Крим, органами місцевого самоврядування і місцевими органами виконавчої влади</t>
  </si>
  <si>
    <t>Членські внески до асоціацій органів місцевого самоврядування</t>
  </si>
  <si>
    <t>Субвенція з місцевого бюджету на утримання об'єктів спільного користування чи ліквідацію негативних наслідків діяльності об'єктів спільного користування</t>
  </si>
  <si>
    <t>1900000</t>
  </si>
  <si>
    <t>1910000</t>
  </si>
  <si>
    <t>Управління транспорту та зв'язку Хмельницької міської ради (головний розпорядник)</t>
  </si>
  <si>
    <t>Управління транспорту та зв'язку Хмельницької міської ради (відповідальний виконавець)</t>
  </si>
  <si>
    <t>1910160</t>
  </si>
  <si>
    <t>Програма
бюджетування за участі громадськості (Бюджет участі) міста Хмельницького на 2020 - 2022 роки</t>
  </si>
  <si>
    <t>Рішення 32-ї сесії Хмельницької міської ради від 26.06.2019 року №9</t>
  </si>
  <si>
    <t>Реверсна дотація</t>
  </si>
  <si>
    <t>Обслуговування місцевого боргу</t>
  </si>
  <si>
    <t>Надання пільг населенню (крім ветеранів війни і праці, військової служби, органів внутрішніх справ та громадян, які постраждали внаслідок Чорнобильської катастрофи) на оплату житлово-комунальних послуг</t>
  </si>
  <si>
    <t>Надання реабілітаційних послуг особам з інвалідністю та дітям з інвалідністю</t>
  </si>
  <si>
    <t>1118821</t>
  </si>
  <si>
    <t>1118822</t>
  </si>
  <si>
    <t>8821</t>
  </si>
  <si>
    <t>8822</t>
  </si>
  <si>
    <t>Здійснення заходів із землеустрою</t>
  </si>
  <si>
    <t>Забезпечення діяльності музеїв i виставок</t>
  </si>
  <si>
    <t>Забезпечення діяльності інших закладів в галузі культури і мистецтва</t>
  </si>
  <si>
    <t>Інші заходи в галузі культури і мистецтва</t>
  </si>
  <si>
    <t>Інша діяльність, пов’язана з експлуатацією об’єктів житлово-комунального господарства</t>
  </si>
  <si>
    <t>1917413</t>
  </si>
  <si>
    <t>1917426</t>
  </si>
  <si>
    <t>3.2.4.</t>
  </si>
  <si>
    <t>3.2.10.</t>
  </si>
  <si>
    <t>3.2.15.</t>
  </si>
  <si>
    <t xml:space="preserve">Субвенції з місцевих бюджетів іншим місцевим бюджетам </t>
  </si>
  <si>
    <t>Субвенція з місцевого бюджету на здійснення переданих видатків у сфері освіти за рахунок коштів освітньої субвенції</t>
  </si>
  <si>
    <t>0712144</t>
  </si>
  <si>
    <t>2144</t>
  </si>
  <si>
    <t>Централізовані заходи з лікування хворих на цукровий та нецукровий діабет</t>
  </si>
  <si>
    <t>0813050</t>
  </si>
  <si>
    <t>3050</t>
  </si>
  <si>
    <t>Пільгове медичне обслуговування осіб, які постраждали внаслідок Чорнобильської катастрофи</t>
  </si>
  <si>
    <t>0813090</t>
  </si>
  <si>
    <t>3090</t>
  </si>
  <si>
    <t>Видатки на поховання учасників бойових дій та осіб з інвалідністю внаслідок війни</t>
  </si>
  <si>
    <t>0813171</t>
  </si>
  <si>
    <t>3171</t>
  </si>
  <si>
    <t>Компенсаційні виплати особам з інвалідністю на бензин, ремонт, технічне обслуговування автомобілів, мотоколясок і на транспортне обслуговування</t>
  </si>
  <si>
    <t xml:space="preserve">Цільові фонди </t>
  </si>
  <si>
    <t>Усього доходів (без врахування міжбюджетних трансфертів)</t>
  </si>
  <si>
    <t>Рішення 34-ї сесії Хмельницької міської ради від 09.10.2019 року №38</t>
  </si>
  <si>
    <t>(код бюджету)</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</si>
  <si>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</si>
  <si>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</si>
  <si>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Додаток 3</t>
  </si>
  <si>
    <t>УСЬОГО:</t>
  </si>
  <si>
    <t>Найменування місцевої / регіональної програми</t>
  </si>
  <si>
    <t>Дата і номер документа, яким затверджено місцеву / регіональну програму</t>
  </si>
  <si>
    <t>Надання загальної середньої освіти спеціальними закладами загальної середньої освіти для дітей, які потребують корекції фізичного та/або розумового розвитку</t>
  </si>
  <si>
    <t>0611030</t>
  </si>
  <si>
    <t>Надання позашкільної освіти закладами позашкільної освіти, заходи із позашкільної роботи з дітьми</t>
  </si>
  <si>
    <t>Підготовка кадрів закладами професійної (професійно-технічної) освіти та іншими закладами освіти</t>
  </si>
  <si>
    <t>Забезпечення діяльності інших закладів у сфері освіти</t>
  </si>
  <si>
    <t>Повернення довгострокових кредитів, наданих громадянам на будівництво/реконструкцію/придбання житла</t>
  </si>
  <si>
    <t>1118842</t>
  </si>
  <si>
    <t>8842</t>
  </si>
  <si>
    <t>0712020</t>
  </si>
  <si>
    <t>Спеціалізована стаціонарна медична допомога населенню</t>
  </si>
  <si>
    <t>0732</t>
  </si>
  <si>
    <t>2020</t>
  </si>
  <si>
    <t>0719770</t>
  </si>
  <si>
    <t>5062</t>
  </si>
  <si>
    <t>Підтримка спорту вищих досягнень та організацій, які здійснюють фізкультурно-спортивну діяльність в регіоні</t>
  </si>
  <si>
    <t>1115062</t>
  </si>
  <si>
    <t>0219800</t>
  </si>
  <si>
    <t>9800</t>
  </si>
  <si>
    <t>Субвенція з місцевого бюджету державному бюджету на виконання програм соціально-економічного розвитку регіонів</t>
  </si>
  <si>
    <t>8110</t>
  </si>
  <si>
    <t>Заходи із запобігання та ліквідації надзвичайних ситуацій та наслідків стихійного лиха</t>
  </si>
  <si>
    <t xml:space="preserve">Начальник фінансового управління </t>
  </si>
  <si>
    <t xml:space="preserve">С. ЯМЧУК </t>
  </si>
  <si>
    <t xml:space="preserve">                                   Начальник фінансового управління                                                                                            Ю. САБІЙ</t>
  </si>
  <si>
    <t xml:space="preserve">Рентна плата та плата за використання ішших природних ресурсів </t>
  </si>
  <si>
    <t xml:space="preserve">Рентна плата за спеціальне використання лісових ресурсів </t>
  </si>
  <si>
    <t>Рентна плата за використання лісових ресурсів (крім рентної плати за спеціальне використання лісових ресурсів в частині деревини, заготовленої в порядку рубок головного користування)</t>
  </si>
  <si>
    <t xml:space="preserve">Рентна плата за користування надрами </t>
  </si>
  <si>
    <t xml:space="preserve">Рентна плата за користуваання надрами для видобудування корисних копалин загальнодержавного значення </t>
  </si>
  <si>
    <t>Внутрішні податки на товари та послуги</t>
  </si>
  <si>
    <t>Інші податки та збори</t>
  </si>
  <si>
    <t>Надходження  від викидів забруднюючих речовин в атмосферне повітря стаціонарними джерелами забруднення (за винятком викидів в атмосферне повітря двоокису вуглецю)</t>
  </si>
  <si>
    <t>Доходи від власності та підприємницької діяльності</t>
  </si>
  <si>
    <t>Частина чистого прибутку (доходу)  державних або кумунальних унітраних підприємств та їх обєднань, що вилучається до відповідного бюджету</t>
  </si>
  <si>
    <t>Плата за надання адміністративних послуг</t>
  </si>
  <si>
    <t>Надходження від орендної плати за користування цілісним майновим комплексом та іншим державним майном</t>
  </si>
  <si>
    <t xml:space="preserve">Кошти від реалізації скарбів, майна, одержаного державною або територіальною громадою  в порядку спадкування чи дарування, а також валютні цінності і грошові кошти, власники яких невідомі </t>
  </si>
  <si>
    <t xml:space="preserve">Єдиний податок з сільськогосподарських товаровиробників, у яких частка сільськогосподарського виробництва за попередній податковий (звітний) рік дорівнює або перевищує 75 відсотків </t>
  </si>
  <si>
    <t>1400000</t>
  </si>
  <si>
    <t>1410000</t>
  </si>
  <si>
    <t>1410160</t>
  </si>
  <si>
    <t>1410180</t>
  </si>
  <si>
    <t>1416012</t>
  </si>
  <si>
    <t>1416013</t>
  </si>
  <si>
    <t>1416020</t>
  </si>
  <si>
    <t>1416030</t>
  </si>
  <si>
    <t>1417461</t>
  </si>
  <si>
    <t>1417640</t>
  </si>
  <si>
    <t>1417670</t>
  </si>
  <si>
    <t>1417691</t>
  </si>
  <si>
    <t>1418110</t>
  </si>
  <si>
    <t>1418120</t>
  </si>
  <si>
    <t>1418130</t>
  </si>
  <si>
    <t>8130</t>
  </si>
  <si>
    <t>Забезпечення діяльності місцевої пожежної охорони</t>
  </si>
  <si>
    <t>Управління комунальної інфраструктури Хмельницької міської ради (головний розпорядник)</t>
  </si>
  <si>
    <t>Управління комунальної інфраструктури Хмельницької міської ради (відповідальний виконавець)</t>
  </si>
  <si>
    <t>Управління житлової політики і майна Хмельницької міської ради (головний розпорядник)</t>
  </si>
  <si>
    <t>Управління житлової політики і майна Хмельницької міської ради (відповідальний виконавець)</t>
  </si>
  <si>
    <t>Індивідуальне навчання, одяг сиротам</t>
  </si>
  <si>
    <t>Виплата 1810 грн сиротам при досягненні 18 років</t>
  </si>
  <si>
    <t>РОЗПОДІЛ</t>
  </si>
  <si>
    <t>Найменування головного розпорядника коштів бюджету  Хмельницької міської територіальної громади / відповідального виконавця, найменування бюджетної програми згідно з Типовою програмною класифікацією видатків та кредитування місцевого бюджету</t>
  </si>
  <si>
    <t>доходів та видатків цільового фонду</t>
  </si>
  <si>
    <t>КОШТОРИС</t>
  </si>
  <si>
    <t>природоохоронних заходів,</t>
  </si>
  <si>
    <t>ПЕРЕЛІК</t>
  </si>
  <si>
    <t>КРЕДИТУВАННЯ</t>
  </si>
  <si>
    <t>ФІНАНСУВАННЯ</t>
  </si>
  <si>
    <t>Найменування головного розпорядника коштів бюджету Хмельницької міської територіальної громади / відповідального виконавця, найменування бюджетної програми згідно з Типовою програмною класифікацією видатків та кредитування місцевого бюджету</t>
  </si>
  <si>
    <t>Державний бюджет України</t>
  </si>
  <si>
    <t>0219770</t>
  </si>
  <si>
    <t>22317200000</t>
  </si>
  <si>
    <t>Районний бюджет Хмельницького району</t>
  </si>
  <si>
    <t>Бюджет Красилівської міської територіальної громади</t>
  </si>
  <si>
    <t>Бюджет Заслучненської сільської територіальної громади</t>
  </si>
  <si>
    <t>22522000000</t>
  </si>
  <si>
    <t>Бюджет Чорноострівської селищної територіальної громади</t>
  </si>
  <si>
    <t>Програма розвитку освіти Хмельницької міської територіальної громади на 2017-2021 роки (із змінами і доповненнями)</t>
  </si>
  <si>
    <t>Комплексна програма «Піклування» в Хмельницькій міській територіальній громаді на 2017 - 2021 роки (із змінами і доповненнями)</t>
  </si>
  <si>
    <t>0210160</t>
  </si>
  <si>
    <t>1019770</t>
  </si>
  <si>
    <t>Рішення позачергової 46-ї сесії Хмельницької міської ради від 07.10.2020 року №3</t>
  </si>
  <si>
    <t>Плата за гарантії, надані Верховною Радою Автономної Республіки    Крим та міськими радами</t>
  </si>
  <si>
    <t>Додаток №5</t>
  </si>
  <si>
    <t>Додаток №7</t>
  </si>
  <si>
    <t>Додаток 8</t>
  </si>
  <si>
    <t>Додаток  9</t>
  </si>
  <si>
    <t>Найменування трансферту /
Найменування бюджету – надавача міжбюджетного трансферту</t>
  </si>
  <si>
    <t>Код Класифікації доходу бюджету /
Код бюджету</t>
  </si>
  <si>
    <t>І. Трансферти до загального фонду бюджету</t>
  </si>
  <si>
    <t>ІІ. Трансферти до спеціального фонду бюджету</t>
  </si>
  <si>
    <t>УСЬОГО за розділами І, ІІ, у тому числі:</t>
  </si>
  <si>
    <t>Код Програмної класифікації видатків та кредитування місцевого бюджету /
Код бюджету</t>
  </si>
  <si>
    <t>Найменування трансферту /
Найменування бюджету – отримувача міжбюджетного трансферту</t>
  </si>
  <si>
    <t>І. Трансферти із загального фонду бюджету</t>
  </si>
  <si>
    <t>ІІ. Трансферти із спеціального фонду бюджету</t>
  </si>
  <si>
    <t>3719110</t>
  </si>
  <si>
    <t>9110</t>
  </si>
  <si>
    <t>41033900</t>
  </si>
  <si>
    <t>41030000</t>
  </si>
  <si>
    <t>1117670</t>
  </si>
  <si>
    <t>Обласний бюджет Хмельницької області</t>
  </si>
  <si>
    <t>41040000</t>
  </si>
  <si>
    <t>41040200</t>
  </si>
  <si>
    <t>41050000</t>
  </si>
  <si>
    <t xml:space="preserve">Субвеції з місцевих бюджетів іншим місцевим бюджетам </t>
  </si>
  <si>
    <t>41051000</t>
  </si>
  <si>
    <t xml:space="preserve">Субвенції з місцевого бюджету на здійснення переданих видатків у сфері освіти за рахунок коштів освітньої субвенції </t>
  </si>
  <si>
    <t>41051200</t>
  </si>
  <si>
    <t>41055000</t>
  </si>
  <si>
    <t xml:space="preserve">Освітня субвенція  </t>
  </si>
  <si>
    <t xml:space="preserve">Дотація з місцевого бюджету на здійснення переданих з державного бюджету видатків з утримання закладів освіти та охорони здоров'я за рахунок відповідної дотації з державного бюджету </t>
  </si>
  <si>
    <t xml:space="preserve">Субвенції з місцевого бюджету на здійснення підтримки окремих закладів та заходів у системі охорони здоров'я за рахунок відповідної субвенції з державного бюджету </t>
  </si>
  <si>
    <t xml:space="preserve">Пальне </t>
  </si>
  <si>
    <t>Акцизний податок з вироблених в Україні підакцизних товарів (продукції)</t>
  </si>
  <si>
    <t>Акцизний податок з ввезених на митну територію  України підакцизних товарів (продукції)</t>
  </si>
  <si>
    <t>0210170</t>
  </si>
  <si>
    <t>0131</t>
  </si>
  <si>
    <t>Підвищення кваліфікації депутатів місцевих рад та посадових осіб місцевого самоврядування</t>
  </si>
  <si>
    <t>1210170</t>
  </si>
  <si>
    <t>0810170</t>
  </si>
  <si>
    <t>1410170</t>
  </si>
  <si>
    <t>1510170</t>
  </si>
  <si>
    <t>1610170</t>
  </si>
  <si>
    <t>1910170</t>
  </si>
  <si>
    <t>2810170</t>
  </si>
  <si>
    <t>3710170</t>
  </si>
  <si>
    <t>Надання фінансової підтримки громадським об'єднанням ветеранів і осіб з інвалідністю, діяльність яких має соціальну спрямованість</t>
  </si>
  <si>
    <t>1011080</t>
  </si>
  <si>
    <t>1080</t>
  </si>
  <si>
    <t>Утримання та забезпечення діяльності центрів соціальних служб</t>
  </si>
  <si>
    <t>Резервний фонд місцевого бюджету</t>
  </si>
  <si>
    <t>0611021</t>
  </si>
  <si>
    <t>1021</t>
  </si>
  <si>
    <t>Надання загальної середньої освіти за рахунок коштів місцевого бюджету</t>
  </si>
  <si>
    <t>0611200</t>
  </si>
  <si>
    <t>1200</t>
  </si>
  <si>
    <t>0611160</t>
  </si>
  <si>
    <t>1160</t>
  </si>
  <si>
    <t>Забезпечення діяльності центрів професійного розвитку педагогічних працівників</t>
  </si>
  <si>
    <t>0611022</t>
  </si>
  <si>
    <t>1022</t>
  </si>
  <si>
    <t>0611180</t>
  </si>
  <si>
    <t>1180</t>
  </si>
  <si>
    <t>0611181</t>
  </si>
  <si>
    <t>1181</t>
  </si>
  <si>
    <t>Надання загальної середньої освіти за рахунок освітньої субвенції</t>
  </si>
  <si>
    <t>0611031</t>
  </si>
  <si>
    <t>1031</t>
  </si>
  <si>
    <t>0611070</t>
  </si>
  <si>
    <t>0611091</t>
  </si>
  <si>
    <t>1091</t>
  </si>
  <si>
    <t>Підготовка кадрів закладами професійної (професійно-технічної) освіти та іншими закладами освіти за рахунок коштів місцевого бюджету</t>
  </si>
  <si>
    <t>1092</t>
  </si>
  <si>
    <t>0611092</t>
  </si>
  <si>
    <t>Підготовка кадрів закладами професійної (професійно-технічної) освіти та іншими закладами освіти за рахунок освітньої субвенції</t>
  </si>
  <si>
    <t>1140</t>
  </si>
  <si>
    <t>0611140</t>
  </si>
  <si>
    <t>Інші програми, заклади та заходи у сфері освіти</t>
  </si>
  <si>
    <t>0611141</t>
  </si>
  <si>
    <t>1141</t>
  </si>
  <si>
    <t>0611142</t>
  </si>
  <si>
    <t>1142</t>
  </si>
  <si>
    <t>0611150</t>
  </si>
  <si>
    <t>1150</t>
  </si>
  <si>
    <t>0611151</t>
  </si>
  <si>
    <t>1151</t>
  </si>
  <si>
    <t>Забезпечення діяльності інклюзивно-ресурсних центрів за рахунок коштів місцевого бюджету</t>
  </si>
  <si>
    <t>0611152</t>
  </si>
  <si>
    <t>1152</t>
  </si>
  <si>
    <t>Забезпечення діяльності інклюзивно-ресурсних центрів за рахунок освітньої субвенції</t>
  </si>
  <si>
    <t>0210100</t>
  </si>
  <si>
    <t>0100</t>
  </si>
  <si>
    <t>Державне управління</t>
  </si>
  <si>
    <t>0217500</t>
  </si>
  <si>
    <t>7500</t>
  </si>
  <si>
    <t>Зв'язок, телекомунікації та інформатика</t>
  </si>
  <si>
    <t>Інші програми та заходи, пов'язані з економічною діяльністю</t>
  </si>
  <si>
    <t>0217600</t>
  </si>
  <si>
    <t>7600</t>
  </si>
  <si>
    <t>Інша економічна діяльність</t>
  </si>
  <si>
    <t>0217690</t>
  </si>
  <si>
    <t>7690</t>
  </si>
  <si>
    <t>0218000</t>
  </si>
  <si>
    <t>8000</t>
  </si>
  <si>
    <t>Інша діяльність</t>
  </si>
  <si>
    <t>0218400</t>
  </si>
  <si>
    <t>8400</t>
  </si>
  <si>
    <t>0219000</t>
  </si>
  <si>
    <t>9000</t>
  </si>
  <si>
    <t>Міжбюджетні трансферти</t>
  </si>
  <si>
    <t>0219700</t>
  </si>
  <si>
    <t>9700</t>
  </si>
  <si>
    <t>Субвенції з місцевого бюджету іншим місцевим бюджетам на здійснення програм та заходів за рахунок коштів місцевих бюджетів</t>
  </si>
  <si>
    <t>0611000</t>
  </si>
  <si>
    <t>1000</t>
  </si>
  <si>
    <t>Освіта</t>
  </si>
  <si>
    <t>0613000</t>
  </si>
  <si>
    <t>3000</t>
  </si>
  <si>
    <t>Соціальний захист та соціальне забезпечення</t>
  </si>
  <si>
    <t>0710100</t>
  </si>
  <si>
    <t>0712000</t>
  </si>
  <si>
    <t>2000</t>
  </si>
  <si>
    <t>Охорона здоров’я</t>
  </si>
  <si>
    <t>0712110</t>
  </si>
  <si>
    <t>2110</t>
  </si>
  <si>
    <t>Первинна медична допомога населенню</t>
  </si>
  <si>
    <t>0712140</t>
  </si>
  <si>
    <t>2140</t>
  </si>
  <si>
    <t>Програми і централізовані заходи у галузі охорони здоров’я</t>
  </si>
  <si>
    <t>0712150</t>
  </si>
  <si>
    <t>2150</t>
  </si>
  <si>
    <t>Інші програми, заклади та заходи у сфері охорони здоров’я</t>
  </si>
  <si>
    <t>0717600</t>
  </si>
  <si>
    <t>0810100</t>
  </si>
  <si>
    <t>0813000</t>
  </si>
  <si>
    <t>0813030</t>
  </si>
  <si>
    <t>3030</t>
  </si>
  <si>
    <t>0813100</t>
  </si>
  <si>
    <t>3100</t>
  </si>
  <si>
    <t>Надання соціальних та реабілітаційних послуг громадянам похилого віку, особам з інвалідністю, дітям з інвалідністю в установах соціального обслуговування</t>
  </si>
  <si>
    <t>0813190</t>
  </si>
  <si>
    <t>3190</t>
  </si>
  <si>
    <t>Соціальний захист ветеранів війни та праці</t>
  </si>
  <si>
    <t>0813240</t>
  </si>
  <si>
    <t>3240</t>
  </si>
  <si>
    <t>0816000</t>
  </si>
  <si>
    <t>6000</t>
  </si>
  <si>
    <t>Житлово-комунальне господарство</t>
  </si>
  <si>
    <t>0816080</t>
  </si>
  <si>
    <t>6080</t>
  </si>
  <si>
    <t>Реалізація державних та місцевих житлових програм</t>
  </si>
  <si>
    <t>0217000</t>
  </si>
  <si>
    <t>7000</t>
  </si>
  <si>
    <t xml:space="preserve"> Економічна діяльність</t>
  </si>
  <si>
    <t>0817000</t>
  </si>
  <si>
    <t>0817690</t>
  </si>
  <si>
    <t>0817600</t>
  </si>
  <si>
    <t>1011000</t>
  </si>
  <si>
    <t>1014000</t>
  </si>
  <si>
    <t>4000</t>
  </si>
  <si>
    <t>Культура i мистецтво</t>
  </si>
  <si>
    <t>1014080</t>
  </si>
  <si>
    <t>4080</t>
  </si>
  <si>
    <t>Інші заклади та заходи в галузі культури і мистецтва</t>
  </si>
  <si>
    <t>1019000</t>
  </si>
  <si>
    <t>1019700</t>
  </si>
  <si>
    <t>1113000</t>
  </si>
  <si>
    <t>1113120</t>
  </si>
  <si>
    <t>3120</t>
  </si>
  <si>
    <t>Здійснення соціальної роботи з вразливими категоріями населення</t>
  </si>
  <si>
    <t>1113130</t>
  </si>
  <si>
    <t>3130</t>
  </si>
  <si>
    <t>1115000</t>
  </si>
  <si>
    <t>5000</t>
  </si>
  <si>
    <t xml:space="preserve"> Фiзична культура i спорт</t>
  </si>
  <si>
    <t>1115010</t>
  </si>
  <si>
    <t>5010</t>
  </si>
  <si>
    <t>Проведення спортивної роботи в регіоні</t>
  </si>
  <si>
    <t>1115020</t>
  </si>
  <si>
    <t>5020</t>
  </si>
  <si>
    <t>Здійснення фізкультурно-спортивної та реабілітаційної роботи серед осіб з інвалідністю</t>
  </si>
  <si>
    <t>1115030</t>
  </si>
  <si>
    <t>5030</t>
  </si>
  <si>
    <t xml:space="preserve"> Розвиток дитячо-юнацького та резервного спорту</t>
  </si>
  <si>
    <t>1115060</t>
  </si>
  <si>
    <t>5060</t>
  </si>
  <si>
    <t>Інші заходи з розвитку фізичної культури та спорту</t>
  </si>
  <si>
    <t>1116000</t>
  </si>
  <si>
    <t>1116080</t>
  </si>
  <si>
    <t>1117000</t>
  </si>
  <si>
    <t>1117600</t>
  </si>
  <si>
    <t>1210100</t>
  </si>
  <si>
    <t>1216000</t>
  </si>
  <si>
    <t>1216010</t>
  </si>
  <si>
    <t>6010</t>
  </si>
  <si>
    <t>1217000</t>
  </si>
  <si>
    <t>Економічна діяльність</t>
  </si>
  <si>
    <t>1217600</t>
  </si>
  <si>
    <t>1217690</t>
  </si>
  <si>
    <t xml:space="preserve"> Інша економічна діяльність</t>
  </si>
  <si>
    <t>1410100</t>
  </si>
  <si>
    <t>1416000</t>
  </si>
  <si>
    <t>1416010</t>
  </si>
  <si>
    <t>1417000</t>
  </si>
  <si>
    <t>7300</t>
  </si>
  <si>
    <t>Будівництво та регіональний розвиток</t>
  </si>
  <si>
    <t>1417400</t>
  </si>
  <si>
    <t>7400</t>
  </si>
  <si>
    <t>Транспорт та транспортна інфраструктура, дорожнє господарство</t>
  </si>
  <si>
    <t>1417600</t>
  </si>
  <si>
    <t>1417690</t>
  </si>
  <si>
    <t>1418000</t>
  </si>
  <si>
    <t>1418100</t>
  </si>
  <si>
    <t>8100</t>
  </si>
  <si>
    <t>1510100</t>
  </si>
  <si>
    <t>1515000</t>
  </si>
  <si>
    <t>1515040</t>
  </si>
  <si>
    <t>5040</t>
  </si>
  <si>
    <t>Підтримка і розвиток спортивної інфраструктури</t>
  </si>
  <si>
    <t>1517000</t>
  </si>
  <si>
    <t>1517300</t>
  </si>
  <si>
    <t>7320</t>
  </si>
  <si>
    <t>1610100</t>
  </si>
  <si>
    <t>1910100</t>
  </si>
  <si>
    <t>1917000</t>
  </si>
  <si>
    <t>1917400</t>
  </si>
  <si>
    <t>1917420</t>
  </si>
  <si>
    <t>7420</t>
  </si>
  <si>
    <t>Забезпечення надання послуг з перевезення пасажирів електротранспортом</t>
  </si>
  <si>
    <t>2717000</t>
  </si>
  <si>
    <t>2717600</t>
  </si>
  <si>
    <t>2717690</t>
  </si>
  <si>
    <t>2810100</t>
  </si>
  <si>
    <t>2818000</t>
  </si>
  <si>
    <t>2818300</t>
  </si>
  <si>
    <t>8300</t>
  </si>
  <si>
    <t>3610100</t>
  </si>
  <si>
    <t>3617000</t>
  </si>
  <si>
    <t>3617100</t>
  </si>
  <si>
    <t>7100</t>
  </si>
  <si>
    <t>Сільське, лісове, рибне господарство та мисливство</t>
  </si>
  <si>
    <t>3617600</t>
  </si>
  <si>
    <t xml:space="preserve"> Інші програми та заходи, пов'язані з економічною діяльністю</t>
  </si>
  <si>
    <t>3710100</t>
  </si>
  <si>
    <t>3718000</t>
  </si>
  <si>
    <t>Резервний фонд</t>
  </si>
  <si>
    <t>3719000</t>
  </si>
  <si>
    <t>Дотації з місцевого бюджету іншим бюджетам</t>
  </si>
  <si>
    <t>9100</t>
  </si>
  <si>
    <t>1118000</t>
  </si>
  <si>
    <t xml:space="preserve"> Інша діяльність</t>
  </si>
  <si>
    <t>1118800</t>
  </si>
  <si>
    <t>8800</t>
  </si>
  <si>
    <t>Кредитування</t>
  </si>
  <si>
    <t>1118820</t>
  </si>
  <si>
    <t>8820</t>
  </si>
  <si>
    <t>Рішення 2-ї сесії Хмельницької міської ради від 23.12.2020 року №22</t>
  </si>
  <si>
    <t xml:space="preserve">Цільова програма попередження виникнення надзвичайних ситуацій та забезпечення  пожежної і техногенної безпеки об'єктів усіх форм власності, розвитку інфраструктури пожежно-рятувальних підрозділів на території Хмельницької міської територіальної громади на 2021-2025 роки </t>
  </si>
  <si>
    <t>Рішення 2-ї сесії Хмельницької міської ради від 23.12.2020 року №9</t>
  </si>
  <si>
    <t>Програма економічного і соціального розвитку Хмельницької міської територіальної громади на 2021 рік</t>
  </si>
  <si>
    <t>Рішення 2-ї сесії Хмельницької міської ради від 23.12.2020 року №10</t>
  </si>
  <si>
    <t>Рішення 2-ї сесії Хмельницької міської ради від 23.12.2020 року №11</t>
  </si>
  <si>
    <t>Програма підтримки книговидання та читацької культури у Хмельницькій міській територіальній громаді на 2021-2025 роки «#ЩодняЧитай українською»</t>
  </si>
  <si>
    <t>Рішення 2-ї сесії Хмельницької міської ради від 23.12.2020 року №31</t>
  </si>
  <si>
    <t>Програма розвитку Хмельницької міської територіальної громади у сфері культури на 2021-2025 роки "Нова лінія культурних змін"</t>
  </si>
  <si>
    <t>Рішення 2-ї сесії Хмельницької міської ради від 23.12.2020 року №32</t>
  </si>
  <si>
    <t>Рішення 2-ї сесії Хмельницької міської ради від 23.12.2020 року №33</t>
  </si>
  <si>
    <t>Рішення 2-ї сесії Хмельницької міської ради від 23.12.2020 року №36</t>
  </si>
  <si>
    <t>Програма розвитку, підтримки комунальних закладів охорони здоров’я та надання 
медичних послуг понад обсяг, передбачений програмою державних гарантій медичного обслуговування населення Хмельницької міської 
територіальної громади на 2021 - 2023 роки</t>
  </si>
  <si>
    <t>Рішення 2-ї сесії Хмельницької міської ради від 23.12.2020 року №50</t>
  </si>
  <si>
    <t>Програма забезпечення надання адміністративних послуг територіальних органів Міністерства внутрішніх справ України через управління адміністративних послуг Хмельницької міської ради на 2021 рік</t>
  </si>
  <si>
    <t>Рішення 2-ї сесії Хмельницької міської ради від 23.12.2020 року №57</t>
  </si>
  <si>
    <t>Рішення 2-ї сесії Хмельницької міської ради від 23.12.2020 року №67</t>
  </si>
  <si>
    <t>Програма розвитку велоінфраструктури м.Хмельницького на 2017-2025 роки</t>
  </si>
  <si>
    <t>Програма поводження з побутовими відходами "Розумне Довкілля.  Хмельницький" на 2021 - 2022 роки</t>
  </si>
  <si>
    <t>Пільгові довгострокові кредити молодим сім'ям та одиноким молодим громадянам на будівництво/реконструкцію/придбання житла та їх повернення</t>
  </si>
  <si>
    <t>Повернення пільгових довгострокових кредитів, наданих молодим сім'ям та одиноким молодим громадянам на будівництво/реконструкцію/придбання житла</t>
  </si>
  <si>
    <t>0813170</t>
  </si>
  <si>
    <t>3170</t>
  </si>
  <si>
    <t>Забезпечення реалізації окремих програм для осіб з інвалідністю</t>
  </si>
  <si>
    <t>Програма навчання, підготовки та підвищення кваліфікації посадових осіб місцевого самоврядування, керівних працівників підприємств, установ і організацій Хмельницької міської територіальної громади, членів виконавчого комітету та депутатів міської ради на 2021 рік</t>
  </si>
  <si>
    <t>Рішення 4-ї сесії Хмельницької міської ради від 17.02.2021 року №7</t>
  </si>
  <si>
    <t xml:space="preserve">Управління з питань екології та контролю за благоустроєм  Хмельницької міської ради  (відповідальний виконавець) </t>
  </si>
  <si>
    <t xml:space="preserve">Управління з питань екології та контролю за благоустроєм  Хмельницької міської ради  (головний розпорядник) </t>
  </si>
  <si>
    <t xml:space="preserve">Управління з питань екології та контролю за благоустроєм Хмельницької міської ради  (головний розпорядник) </t>
  </si>
  <si>
    <t xml:space="preserve">Управління з питань екології та контролю за благоустроєм Хмельницької міської ради  (відповідальний виконавець) </t>
  </si>
  <si>
    <t>Рішення 13-ї сесії Хмельницької міської ради від 22.03.2017 року №33</t>
  </si>
  <si>
    <t>Управління капітального будівництва Хмельницької міської ради (головний розпорядник)</t>
  </si>
  <si>
    <t>Управління капітального будівництва Хмельницької міської ради (відповідальний виконавець)</t>
  </si>
  <si>
    <t>Управління архітектури та містобудування Хмельницької міської ради (головний розпорядник)</t>
  </si>
  <si>
    <t>Управління архітектури та містобудування  Хмельницької міської ради  (відповідальний виконавець)</t>
  </si>
  <si>
    <t>Управління земельних ресурсів Хмельницької міської ради (відповідальний розпорядник)</t>
  </si>
  <si>
    <t>Управління земельних ресурсів Хмельницької міської ради (головний розпорядник)</t>
  </si>
  <si>
    <t xml:space="preserve">які будуть фінансуватися з Фонду охорони навколишнього природного середовища </t>
  </si>
  <si>
    <t>Управління архітектури та містобудування Хмельницької міської ради  (відповідальний виконавець)</t>
  </si>
  <si>
    <t>Управління земельних ресурсів та земельної реформи Хмельницької міської ради (головний розпорядник)</t>
  </si>
  <si>
    <t>Управління земельних ресурсів та земельної реформи  Хмельницької міської ради (відповідальний розпорядник)</t>
  </si>
  <si>
    <t>Інші субвенції з місцевого бюджету, в тому числі:</t>
  </si>
  <si>
    <t xml:space="preserve"> - пільгове медичне обслуговування осіб, які постраждали внаслідок Чорнобильської катастрофи </t>
  </si>
  <si>
    <t xml:space="preserve"> - компенсаційні виплати особам з інвалідністю на бензин, ремонт, технічне обслуговування автомобілів, мотоколясок і на транспортне обслуговування</t>
  </si>
  <si>
    <t xml:space="preserve">  - поховання учасників бойових дій та осіб з інвалідністю внаслідок війни</t>
  </si>
  <si>
    <t>2719000</t>
  </si>
  <si>
    <t>2719700</t>
  </si>
  <si>
    <t>2719770</t>
  </si>
  <si>
    <t>1617000</t>
  </si>
  <si>
    <t>1617300</t>
  </si>
  <si>
    <t>1617350</t>
  </si>
  <si>
    <t>7350</t>
  </si>
  <si>
    <t>Розроблення схем планування та забудови територій (містобудівної документації)</t>
  </si>
  <si>
    <t>0217693</t>
  </si>
  <si>
    <t>1017000</t>
  </si>
  <si>
    <t>1017600</t>
  </si>
  <si>
    <t>1017670</t>
  </si>
  <si>
    <t>1217670</t>
  </si>
  <si>
    <t>0810180</t>
  </si>
  <si>
    <t>0813060</t>
  </si>
  <si>
    <t>3060</t>
  </si>
  <si>
    <t>Оздоровлення громадян, які постраждали внаслідок Чорнобильської катастрофи</t>
  </si>
  <si>
    <t>1510180</t>
  </si>
  <si>
    <t>1216020</t>
  </si>
  <si>
    <t>0611060</t>
  </si>
  <si>
    <t>0611061</t>
  </si>
  <si>
    <t>1061</t>
  </si>
  <si>
    <t>Рішення 3-ї сесії Хмельницької міської ради від 14.01.2021 року №1</t>
  </si>
  <si>
    <t>0611210</t>
  </si>
  <si>
    <t>1210</t>
  </si>
  <si>
    <t>41051700</t>
  </si>
  <si>
    <t>Субвенція з місцевого бюджету за рахунок залишку коштів субвенції на надання державної підтримки особам з особливими освітніми потребами, що утворився на початок бюджетного періоду</t>
  </si>
  <si>
    <t>41053600</t>
  </si>
  <si>
    <t>Субвенція з місцевого бюджету на здійснення природоохоронних заходів</t>
  </si>
  <si>
    <t xml:space="preserve"> - соціально-економічний розвиток</t>
  </si>
  <si>
    <t>Субвенція з місцевого бюджету на здійснення природоохоронних заходів  (Обласний фонд охорони навколишнього природного середовища)</t>
  </si>
  <si>
    <t>Інші субвенції з місцевого бюджету (соціально-економічний розвиток)</t>
  </si>
  <si>
    <t>Рішення 5-ї сесії Хмельницької міської ради від 21.04.2021 року №69</t>
  </si>
  <si>
    <t>Програма розвитку та фінансової підтримки комунального підприємства «Чайка» Хмельницької міської ради на 2021-2022 роки</t>
  </si>
  <si>
    <t>Рішення 5-ї сесії Хмельницької міської ради від 21.04.2021 року №74</t>
  </si>
  <si>
    <t>1417460</t>
  </si>
  <si>
    <t>7460</t>
  </si>
  <si>
    <t>Утримання та розвиток автомобільних доріг та дорожньої інфраструктури</t>
  </si>
  <si>
    <t>Зовнішні зобов'язання</t>
  </si>
  <si>
    <t xml:space="preserve">Довгострокові зобов'язання </t>
  </si>
  <si>
    <t xml:space="preserve">Середньострокові зобов'язання </t>
  </si>
  <si>
    <t xml:space="preserve">Фінансування за рахунок позик банківських установ </t>
  </si>
  <si>
    <t xml:space="preserve"> Одержано позик </t>
  </si>
  <si>
    <t xml:space="preserve">Фінансування за рахунок інших банків </t>
  </si>
  <si>
    <t xml:space="preserve">Внутрішні запозичення </t>
  </si>
  <si>
    <t xml:space="preserve">Фінансування за рахунок зміни залишків коштів бюджетів </t>
  </si>
  <si>
    <t>Зміни обсягів бюджетних коштів</t>
  </si>
  <si>
    <t xml:space="preserve">На початок періоду </t>
  </si>
  <si>
    <t xml:space="preserve">Інші розрахунки </t>
  </si>
  <si>
    <t xml:space="preserve">Передача коштів із загального до спеціального фонду бюджету </t>
  </si>
  <si>
    <t>Субвенція з державного бюджету місцевим бюджетам на розвиток спортивної інфраструктури</t>
  </si>
  <si>
    <t>41035700</t>
  </si>
  <si>
    <t>0217540</t>
  </si>
  <si>
    <t>7540</t>
  </si>
  <si>
    <t>Реалізація заходів, спрямованих на підвищення доступності широкосмугового доступу до Інтернету в сільській місцевості</t>
  </si>
  <si>
    <t>0611182</t>
  </si>
  <si>
    <t>1182</t>
  </si>
  <si>
    <t>Субвенція з державного бюджету місцевим бюджетам на реалізацію інфраструктурних проектів та розвиток об’єктів соціально-культурної сфери</t>
  </si>
  <si>
    <t>41032300</t>
  </si>
  <si>
    <t>Субвенція з державного бюджету місцевим бюджетам на реалізацію заходів, спрямованих на підвищення доступності широкосмугового доступу до Інтернету в сільській місцевості</t>
  </si>
  <si>
    <t>41035500</t>
  </si>
  <si>
    <t>41051400</t>
  </si>
  <si>
    <t>1517600</t>
  </si>
  <si>
    <t>1517690</t>
  </si>
  <si>
    <t>1517691</t>
  </si>
  <si>
    <t>3.2.8.</t>
  </si>
  <si>
    <t>Будівництво, реконструкція та ремонт інженерно-транспортної та соціальної інфраструктури Хмельницької міської територіальної громади, відповідного мікрорайону/кварталу, в т. ч. і тих, в яких розташовані будинки житлово-будівельних кооперативів (ТОВ "ЖЕО")</t>
  </si>
  <si>
    <t>41035600</t>
  </si>
  <si>
    <t>Субвенція з державного бюджету місцевим бюджетам на створення мережі спеціалізованих служб підтримки осіб, які постраждали від домашнього насильства та/або насильства за ознакою статі</t>
  </si>
  <si>
    <t>0611023</t>
  </si>
  <si>
    <t>1023</t>
  </si>
  <si>
    <t>0611220</t>
  </si>
  <si>
    <t>0611221</t>
  </si>
  <si>
    <t>1220</t>
  </si>
  <si>
    <t>1221</t>
  </si>
  <si>
    <t>Субвенція з державного бюджету місцевим бюджетам на створення мережі спеціалізованихслужб підтрмки осіб, які постраждали від домашнього насильства та  або насильства за ознакою статі</t>
  </si>
  <si>
    <t>2.1.4.</t>
  </si>
  <si>
    <t>2717300</t>
  </si>
  <si>
    <t>2717370</t>
  </si>
  <si>
    <t>Забезпечення надання послуг з перевезення пасажирів автомобільним транспортом</t>
  </si>
  <si>
    <t>1917410</t>
  </si>
  <si>
    <t>7410</t>
  </si>
  <si>
    <t>Програма розвитку  та вдосконалення міського пасажирського транспорту  міста Хмельницького на 2019 - 2023 роки  (із змінами і доповненнями)</t>
  </si>
  <si>
    <t>0813120</t>
  </si>
  <si>
    <t>0813124</t>
  </si>
  <si>
    <t>3124</t>
  </si>
  <si>
    <t xml:space="preserve"> Внутрішні зобов'язання </t>
  </si>
  <si>
    <t>41056600</t>
  </si>
  <si>
    <t>Субвенція з місцевого бюджету на заходи, спрямовані на боротьбу з гострою респіраторною хворобою COVID-19, спричиненою коронавірусом SARS-CoV-2, та її наслідками під час навчального процесу у закладах загальної середньої освіти за рахунок відповідної субвенції з державного бюджету</t>
  </si>
  <si>
    <t xml:space="preserve">Субвенція з місцевого  бюджету на заходи, спрямовані на боротьбу з гострою респіраторною хворобою COVID-19, спричиненою коронавірусом  SARS- CoV-2 та її наслідками під час навчального процесу у закладах загальної середньої освіти за рахунок відповідної субвенції з державного бюджету </t>
  </si>
  <si>
    <t>0619000</t>
  </si>
  <si>
    <t>0619700</t>
  </si>
  <si>
    <t>0619770</t>
  </si>
  <si>
    <t>Розвиток готельного господарства та туризму</t>
  </si>
  <si>
    <t>1017620</t>
  </si>
  <si>
    <t>7620</t>
  </si>
  <si>
    <t>Реалізація програм і заходів в галузі туризму та курортів</t>
  </si>
  <si>
    <t>1017622</t>
  </si>
  <si>
    <t>7622</t>
  </si>
  <si>
    <t>Програма цифрового розвитку на 2021-2025 роки (із змінами)</t>
  </si>
  <si>
    <t>Разом  доходів (з врахуванням міжбюджетних трансфертів)</t>
  </si>
  <si>
    <t>Єдиний податок  з юридичних осіб</t>
  </si>
  <si>
    <t xml:space="preserve"> Інші надходження  </t>
  </si>
  <si>
    <t>Субвенція з державного бюджету місцевим бюджетам на створення навчально-практичних центрів сучасної професійної (професійно-технічної) освіти</t>
  </si>
  <si>
    <t>Субвенція з державного бюджету місцевим бюджетам на здійснення заходів щодо соціально-економічного розвитку окремих територій</t>
  </si>
  <si>
    <t>Субвенція з місцевого бюджету на виплату грошової компенсації за належні для отримання жилі приміщення для сімей учасників бойових дій на території інших держав, визначених у абзаці першому пункту 1 статті 10 Закону України "Про статус ветеранів війни, гарантії їх соціального захисту", для осіб з інвалідністю I - II групи з числа учасників бойових дій на території інших держав, інвалідність яких настала внаслідок поранення, контузії, каліцтва або захворювання, пов'язаних з перебуванням у цих державах, визначених пунктом 7 частини другої статті 7 Закону України "Про статус ветеранів війни, гарантії їх соціального захисту", та які потребують поліпшення житлових умов за рахунок відповідної субвенції з державного бюджету</t>
  </si>
  <si>
    <t>Субвенція з місцевого бюджету на проектні, будівельно-ремонтні роботи, придбання житла та приміщень для розвитку сімейних та інших форм виховання, наближених до сімейних, підтримку малих групових будинків та забезпечення житлом дітей-сиріт, дітей, позбавлених батьківського піклування, осіб з їх числа за рахунок відповідної субвенції з державного бюджету</t>
  </si>
  <si>
    <t xml:space="preserve">Субвенція з місцевого бюджету на здійснення підтримки окремих закладів та заходів у системі охорони здоров'я за рахунок відповідної субвенції з державного бюджету </t>
  </si>
  <si>
    <t>Субвенція з місцевого бюджету на виплату грошової компенсації за належні для отримання жилі приміщення для сімей осіб, визначених у абзаці чотирнадцятому пункту 1 статті 10 Закону України "Про статус ветеранів війни, гарантії їх соціального захисту", для осіб з інвалідністю I - II групи, які стали особами з інвалідністю внаслідок поранень, каліцтва, контузії чи інших ушкоджень здоров'я, одержаних під час участі у Революції Гідності, визначених пунктом 10 частини другої статті 7 Закону України "Про статус ветеранів війни, гарантії їх соціального захисту", та які потребують поліпшення житлових умов за рахунок відповідної субвенції з державного бюджету</t>
  </si>
  <si>
    <t>0611222</t>
  </si>
  <si>
    <t>1222</t>
  </si>
  <si>
    <t>Виконання інвестиційних проектів</t>
  </si>
  <si>
    <t>7360</t>
  </si>
  <si>
    <t>0717360</t>
  </si>
  <si>
    <t>0717363</t>
  </si>
  <si>
    <t>7363</t>
  </si>
  <si>
    <t>Виконання інвестиційних проектів в рамках здійснення заходів щодо соціально-економічного розвитку окремих територій</t>
  </si>
  <si>
    <t>Грошова компенсація за належні для отримання жилі приміщення для окремих категорій населення відповідно до законодавства</t>
  </si>
  <si>
    <t>0813220</t>
  </si>
  <si>
    <t>3220</t>
  </si>
  <si>
    <t>0813221</t>
  </si>
  <si>
    <t>3221</t>
  </si>
  <si>
    <t>0813222</t>
  </si>
  <si>
    <t>3222</t>
  </si>
  <si>
    <t>0813223</t>
  </si>
  <si>
    <t>3223</t>
  </si>
  <si>
    <t>гарантії їх соціального захисту", та які потребують поліпшення житлових умов</t>
  </si>
  <si>
    <t>Грошова компенсація за належні для отримання жилі приміщення для сімей осіб, визначених у абзаці чотирнадцятому пункту 1 статті 10 Закону України "Про статус ветеранів війни, гарантії їх соціального захисту", для осіб з інвалідністю I-II групи, які стали особами з інвалідністю внаслідок</t>
  </si>
  <si>
    <t>поранень, каліцтва, контузії чи інших ушкоджень здоров'я, одержаних під час участі у Революції Гідності, визначених пунктом 10 частини другої статті 7 Закону України "Про статус ветеранів війни, гарантії їх соціального захисту", та які</t>
  </si>
  <si>
    <t>потребують поліпшення житлових умов</t>
  </si>
  <si>
    <t>0813224</t>
  </si>
  <si>
    <t>3224</t>
  </si>
  <si>
    <t>0816083</t>
  </si>
  <si>
    <t>6083</t>
  </si>
  <si>
    <t>Проектні, будівельно-ремонтні роботи, придбання житла та приміщень для розвитку сімейних та інших форм виховання, наближених до сімейних, та забезпечення житлом дітей-сиріт, дітей, позбавлених батьківського піклування, осіб з їх числа</t>
  </si>
  <si>
    <t>41034500</t>
  </si>
  <si>
    <t>41050500</t>
  </si>
  <si>
    <t>41033800</t>
  </si>
  <si>
    <t>41050400</t>
  </si>
  <si>
    <t>Субвенція з місцевого бюджету на проєктні, будівельно-ремонтні роботи, придбання житла та приміщень для розвитку сімейних та інших форм виховання, наближених до сімейних, підтримку малих групових будинків та забезпечення житлом дітей-сиріт, дітей, позбавлених батьківського піклування, осіб з їх числа, за рахунок відповідної субвенції з державного бюджету</t>
  </si>
  <si>
    <t>41054200</t>
  </si>
  <si>
    <t>Субвенція з місцевого бюджету на виплату грошової компенсації за належні для отримання жилі приміщення для сімей осіб, визначених у абзаці чотирнадцятому пункту 1 статті 10 Закону України «Про статус ветеранів війни, гарантії їх соціального захисту», для осіб з інвалідністю І – ІІ групи, які стали особами з інвалідністю внаслідок поранень, каліцтва, контузії чи інших ушкоджень здоров’я, одержаних під час участі у Революції Гідності, визначених пунктом 10 частини другої статті 7 Закону України «Про</t>
  </si>
  <si>
    <t xml:space="preserve">статус ветеранів війни, гарантії їх соціального захисту», та які потребують поліпшення житлових умов, за рахунок відповідної субвенції з державного бюджету </t>
  </si>
  <si>
    <t xml:space="preserve">  - для забезпечення функціонування відділення боксу Хмельницької ДЮСШ №2 "Авангард" ФСТ "Україна)</t>
  </si>
  <si>
    <t xml:space="preserve">  - на нове будівництво зовнішніх мереж водопостачання в с. Копистин</t>
  </si>
  <si>
    <t xml:space="preserve">	Економічна діяльність</t>
  </si>
  <si>
    <t>0617000</t>
  </si>
  <si>
    <t>0617600</t>
  </si>
  <si>
    <t>0617640</t>
  </si>
  <si>
    <t>Інша діяльність у сфері транспорту</t>
  </si>
  <si>
    <t>1917450</t>
  </si>
  <si>
    <t>7450</t>
  </si>
  <si>
    <t>1117300</t>
  </si>
  <si>
    <t>1117320</t>
  </si>
  <si>
    <t>1117325</t>
  </si>
  <si>
    <t>Інші субвенції з місцевого бюджету (на нове будівництво зовнішніх мереж водопостачання в с. Копистин)</t>
  </si>
  <si>
    <t>41053900</t>
  </si>
  <si>
    <t>Інші субвенції з місцевого бюджету (для забезпечення функціонування відділення боксу Хмельницької ДЮСШ №2 "Авангард" ФСТ "Україна" (на підготовку спортсменів, проведення спортивних змагань, навчально-тренувальних зборів, придбання спортивного інвентаря та обладнання))</t>
  </si>
  <si>
    <t>1119000</t>
  </si>
  <si>
    <t>1119700</t>
  </si>
  <si>
    <t>1119770</t>
  </si>
  <si>
    <t>ДОХОДИ</t>
  </si>
  <si>
    <t xml:space="preserve">          1. Показники міжбюджетних трансфертів з інших бюджетів</t>
  </si>
  <si>
    <t xml:space="preserve">          2. Показники міжбюджетних трансфертів іншим бюджетам</t>
  </si>
  <si>
    <t>витрат бюджету Хмельницької міської територіальної громади на реалізацію місцевих/регіональних</t>
  </si>
  <si>
    <t>Надання спеціалізованої освіти мистецькими школами</t>
  </si>
  <si>
    <t>2818340</t>
  </si>
  <si>
    <t>8340</t>
  </si>
  <si>
    <t>Природоохоронні заходи за рахунок цільових фондів</t>
  </si>
  <si>
    <t>0611033</t>
  </si>
  <si>
    <t>1033</t>
  </si>
  <si>
    <t>1210180</t>
  </si>
  <si>
    <t>Проєкт Програми економічного і соціального розвитку Хмельницької міської територіальної громади на 2022 рік</t>
  </si>
  <si>
    <t>1217310</t>
  </si>
  <si>
    <t>Інша діяльність у сфері житлово-комунального господарства</t>
  </si>
  <si>
    <t>1416090</t>
  </si>
  <si>
    <t>6090</t>
  </si>
  <si>
    <t>0640</t>
  </si>
  <si>
    <t>Рішення 2-ї сесії Хмельницької міської ради від 23.12.2020 року №23</t>
  </si>
  <si>
    <t>Програма розвитку геоінформаційної системи Хмельницької міської ради на 2021 - 2025 роки</t>
  </si>
  <si>
    <t>Виконання гарантійних зобов'язань за позичальників, що отримали кредити під місцеві гарантії</t>
  </si>
  <si>
    <t>Надання коштів для забезпечення гарантійних зобов'язань за позичальників, що отримали кредити під місцеві гарантії</t>
  </si>
  <si>
    <t>Програма «Громадські ініціативи»
Хмельницької міської територіальної громади на 2021-2025 роки (із змінами)</t>
  </si>
  <si>
    <t xml:space="preserve">Збір за місця для паркування транспортних засобів </t>
  </si>
  <si>
    <t xml:space="preserve">Збір за місця для паркування транспортних засобів, сплачений юридичними особами </t>
  </si>
  <si>
    <t xml:space="preserve">Дотація з місцевого бюджету на здійснення  переданих з державного бюджету видатків з утримання закладів освіти та охорони здоров'я за рахунок відповідної дотації з державного бюджету </t>
  </si>
  <si>
    <t>Програма економічного і соціального розвитку Хмельницької міської територіальної громади на 2022 рік</t>
  </si>
  <si>
    <t>Рішення 10-ї сесії Хмельницької міської ради від 15.12.2021 року №8</t>
  </si>
  <si>
    <t>Програма реалізації молодіжної політики та розвитку фізичної культури і спорту в Хмельницькій міській територіальній громаді на 2022 - 2026 роки</t>
  </si>
  <si>
    <t>Рішення 10-ї сесії Хмельницької міської ради від 15.12.2021 року №25</t>
  </si>
  <si>
    <t>Рішення 10-ї сесії Хмельницької міської ради від 15.12.2021 року №45</t>
  </si>
  <si>
    <t>Програма розвитку освіти Хмельницької міської територіальної громади на 2022 - 2026 роки</t>
  </si>
  <si>
    <t>Рішення 10-ї сесії Хмельницької міської ради від 15.12.2021 року №50</t>
  </si>
  <si>
    <t>Програма підтримки і розвитку житлово-комунальної інфраструктури Хмельницької міської територіальної громади на 2022 - 2027 роки</t>
  </si>
  <si>
    <t>Рішення 10-ї сесії Хмельницької міської ради від 15.12.2021 року №52</t>
  </si>
  <si>
    <t>1917600</t>
  </si>
  <si>
    <t>1917670</t>
  </si>
  <si>
    <t>Внески до статутного капіталу суб'єктів господарювання</t>
  </si>
  <si>
    <t>Програма навчання, підготовки та підвищення кваліфікації посадових осіб місцевого самоврядування, керівних працівників підприємств, установ і організацій Хмельницької міської територіальної громади, членів виконавчого комітету та депутатів міської ради на 2022 рік</t>
  </si>
  <si>
    <t>Рішення 11-ї сесії Хмельницької міської ради від 30.12.2021 року №7</t>
  </si>
  <si>
    <t>Розвиток спортивної інфраструктури, у тому числі реконструкція, будівельно-ремонтні роботи об'єктів закладів фізичної культури і спорту, що забезпечують розвиток резервного спорту, льодових палаців/арен та стадіонів</t>
  </si>
  <si>
    <t>1417693</t>
  </si>
  <si>
    <t>Громадський порядок та безпека</t>
  </si>
  <si>
    <t>0218200</t>
  </si>
  <si>
    <t>8200</t>
  </si>
  <si>
    <t>Заходи та роботи з територіальної оборони</t>
  </si>
  <si>
    <t>0380</t>
  </si>
  <si>
    <t>0218240</t>
  </si>
  <si>
    <t>8240</t>
  </si>
  <si>
    <t>Рішення 13-ї сесії Хмельницької міської ради від 23.02.2022 року №3</t>
  </si>
  <si>
    <t>Комплексна програма «Піклування» в Хмельницькій міській територіальній громаді на 2022 - 2026 роки (із змінами)</t>
  </si>
  <si>
    <t>1517693</t>
  </si>
  <si>
    <t>1014070</t>
  </si>
  <si>
    <t>4070</t>
  </si>
  <si>
    <t>Фінансова підтримка кінематографії</t>
  </si>
  <si>
    <t>0823</t>
  </si>
  <si>
    <t>0713000</t>
  </si>
  <si>
    <t>0713230</t>
  </si>
  <si>
    <t>3230</t>
  </si>
  <si>
    <t>Видатки, пов’язані з наданням підтримки внутрішньо переміщеним та/або евакуйованим особам у зв’язку із введенням воєнного стану</t>
  </si>
  <si>
    <t>Програма розвитку, підтримки комунальних закладів охорони здоров’я та надання 
медичних послуг понад обсяг, передбачений програмою державних гарантій медичного обслуговування населення Хмельницької міської 
територіальної громади на 2021 - 2023 роки (зі змінами)</t>
  </si>
  <si>
    <t>0813230</t>
  </si>
  <si>
    <t>3717600</t>
  </si>
  <si>
    <t>3717690</t>
  </si>
  <si>
    <t>3717693</t>
  </si>
  <si>
    <t>Програма охорони довкілля Хмельницької міської територіальної громади на 2021-2025 роки (із змінами)</t>
  </si>
  <si>
    <t xml:space="preserve">Акцизний податок з реалізації суб’єктами господарювання роздрібної торгівлі підакцизних товарів (крім тих, що оподатковуються згідно з підпунктом 213.1.14 пункту 213.1  статті 213 Податкового кодексу України) </t>
  </si>
  <si>
    <t>Акцизний податок з реалізації суб’єктами господарювання роздрібної торгівлі підакцизними товарами</t>
  </si>
  <si>
    <t>Спрямування коштів на житлове будівництво, реконструкцію та на ремонт житла всіх форм власності, в т. ч. будинків житлово-будівельних кооперативів (ТОВ «ЖЕО»), об'єднань співвласників багатоквартирних будинків, Будинкоуправління №2 КЕВ м.Хмельницький, ТОВ «Керуюча компанія «Домком Хмельницький» та будівель і споруд комунальної власності, ремонт споруд цивільного захисту (укриття, бомбосховища, тощо) комунальної власності</t>
  </si>
  <si>
    <t>Цільова Програма попередження виникнення надзвичайних ситуацій та забезпечення пожежної і техногенної безпеки об’єктів усіх форм власності, розвитку інфраструктури пожежно-рятувальних підрозділів на території Хмельницької міської територіальної громади на 2021-2025 роки (із змінами)</t>
  </si>
  <si>
    <t>0218230</t>
  </si>
  <si>
    <t>8230</t>
  </si>
  <si>
    <t>Інші заходи громадського порядку та безпеки</t>
  </si>
  <si>
    <t>0813121</t>
  </si>
  <si>
    <t>Інші дотації з місцевого бюджету</t>
  </si>
  <si>
    <t>41040400</t>
  </si>
  <si>
    <t>1918000</t>
  </si>
  <si>
    <t>1918200</t>
  </si>
  <si>
    <t>1918220</t>
  </si>
  <si>
    <t>8220</t>
  </si>
  <si>
    <t>Заходи та роботи з мобілізаційної підготовки місцевого значення</t>
  </si>
  <si>
    <t>0618000</t>
  </si>
  <si>
    <t>0618200</t>
  </si>
  <si>
    <t>0618240</t>
  </si>
  <si>
    <t>Програма соціальної підтримки осіб, які захищали незалежність, суверенітет та територіальну цілісність України, а також членів їх сімей на 2021 – 2025 роки (із змінами)</t>
  </si>
  <si>
    <t xml:space="preserve">Акцизний податок з реалізації виробниками та/або імпортерами, у тому числі в роздрібній торгівлі тютюнових виробів, тютюну та промислових замінників тютюну, рідин, що використовуються в електронних сигаретах, що оподатковується згідно з підпунктом 213.1.14 пункту 213.1  статті 213 Податкового кодексу України </t>
  </si>
  <si>
    <t>1218000</t>
  </si>
  <si>
    <t>1218200</t>
  </si>
  <si>
    <t>1218230</t>
  </si>
  <si>
    <t>0613230</t>
  </si>
  <si>
    <t>Програма підтримки і розвитку житлово-комунальної інфраструктури Хмельницької міської територіальної громади на 2022 - 2027 роки (із змінами)</t>
  </si>
  <si>
    <t>1513000</t>
  </si>
  <si>
    <t>1513230</t>
  </si>
  <si>
    <r>
      <t>Будівництво</t>
    </r>
    <r>
      <rPr>
        <b/>
        <vertAlign val="superscript"/>
        <sz val="36"/>
        <color rgb="FFFF0000"/>
        <rFont val="Times New Roman"/>
        <family val="1"/>
        <charset val="204"/>
      </rPr>
      <t>1</t>
    </r>
    <r>
      <rPr>
        <sz val="36"/>
        <color rgb="FFFF0000"/>
        <rFont val="Times New Roman"/>
        <family val="1"/>
        <charset val="204"/>
      </rPr>
      <t>  споруд, установ та закладів фізичної культури і спорту</t>
    </r>
  </si>
  <si>
    <t>2.1.6.</t>
  </si>
  <si>
    <t>Добровільні внески підприємств, організацій, установ та громадян на соціально-економічний та культурний розвиток громади</t>
  </si>
  <si>
    <t>2.1.7.</t>
  </si>
  <si>
    <t>Кошти за відшкодування вартості видалених та знесених зелених насаджень</t>
  </si>
  <si>
    <t>Надання грошової допомоги за поданням секретаря ради, або керуючого справами виконавчого комітету на підставі рішення виконавчого комітету Хмельницької міської ради для поховання: загиблих та померлих учасників ООС, загиблих та померлих учасників, які брали участь у відсічі під час захисту державного суверенітету та територіальної цілісності України в період військової агресії Російської Федерації проти України; Почесних громадян Хмельницької міської територіальної громади; інших осіб.
Виплата грошової винагороди у розмірі, передбаченому Положенням про звання "Почесний громадянин міста Хмельницького", Положенням "Про почесну відзнаку міської громади "Мужність і відвага"</t>
  </si>
  <si>
    <t>2819800</t>
  </si>
  <si>
    <t>2819000</t>
  </si>
  <si>
    <t>Рішення 16-ї сесії Хмельницької міської ради від 28.04.2022 року №11</t>
  </si>
  <si>
    <t>Співфінансування заходів, що реалізуються за рахунок субвенції з державного бюджету місцевим бюджетам на створення навчально-практичних центрів сучасної професійної (професійно-технічної) освіти</t>
  </si>
  <si>
    <t>Комплексна програма реалізації молодіжної політики та розвитку фізичної культури і спорту в Хмельницькій міській територіальній громаді на 2022-2026 роки (із змінами)</t>
  </si>
  <si>
    <t>0717640</t>
  </si>
  <si>
    <t>0710170</t>
  </si>
  <si>
    <t>Програма
підтримки обдарованих дітей м.Хмельницького (із змінами)</t>
  </si>
  <si>
    <t>1610180</t>
  </si>
  <si>
    <t>1216090</t>
  </si>
  <si>
    <t>1017640</t>
  </si>
  <si>
    <t>Програма розвитку  електротранспорту Хмельницької міської територіальної громади  на 2021 - 2025 роки (із змінами)</t>
  </si>
  <si>
    <t>Програма міжнародного співробітництва та промоції Хмельницької міської територіальної громади на 2021-2025 роки (із змінами і доповненнями)</t>
  </si>
  <si>
    <t>Надходження від скидів забруднюючих речовин безпосередньо у водні об'єкти</t>
  </si>
  <si>
    <t xml:space="preserve">Надходження від розміщення відходів у спеціально відведених місцях чи на об'єктах, крім розміщення окремих видів відходів як вторинної сировини </t>
  </si>
  <si>
    <t>Програма державного моніторингу у галузі охорони атмосферного повітря агломерації «Хмельницький» на 2022 - 2026 роки</t>
  </si>
  <si>
    <t>Надання загальної середньої освіти закладами загальної середньої освіти за рахунок коштів місцевого бюджету</t>
  </si>
  <si>
    <t>Надання загальної середньої освіти закладами загальної середньої освіти за рахунок освітньої субвенції</t>
  </si>
  <si>
    <t>Надання загальної середньої освіти спеціалізованими закладами загальної середньої освіти за рахунок освітньої субвенції</t>
  </si>
  <si>
    <t>Захист населення і територій від надзвичайних ситуацій</t>
  </si>
  <si>
    <t>Програма економічного і соціального розвитку Хмельницької міської територіальної громади на 2023 рік</t>
  </si>
  <si>
    <t>Рішення 22-ї сесії Хмельницької міської ради від 21.12.2022 року №8</t>
  </si>
  <si>
    <t>Рішення 22-ї сесії Хмельницької міської ради від 21.12.2022 року №10</t>
  </si>
  <si>
    <t>Рішення 22-ї сесії Хмельницької міської ради від 21.12.2022 року №41</t>
  </si>
  <si>
    <t>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t>
  </si>
  <si>
    <t>9900000000</t>
  </si>
  <si>
    <t>2231720000</t>
  </si>
  <si>
    <t>2254800000</t>
  </si>
  <si>
    <t>2253000000</t>
  </si>
  <si>
    <t>2210000000</t>
  </si>
  <si>
    <t>Програма навчання, підготовки та підвищення кваліфікації посадових осіб місцевого самоврядування, керівних працівників підприємств, установ і організацій Хмельницької міської територіальної громади, членів виконавчого комітету та депутатів міської ради на 2023 рік</t>
  </si>
  <si>
    <t>Рішення 23-ї сесії Хмельницької міської ради від 29.12.2022 року №4</t>
  </si>
  <si>
    <t>2717640</t>
  </si>
  <si>
    <t>Рішення 46-ї сесії Хмельницької міської ради від 07.10.2020 року №3</t>
  </si>
  <si>
    <t>2718000</t>
  </si>
  <si>
    <t>2718200</t>
  </si>
  <si>
    <t>2718240</t>
  </si>
  <si>
    <t>2713000</t>
  </si>
  <si>
    <t>2713230</t>
  </si>
  <si>
    <t>0817640</t>
  </si>
  <si>
    <t>Проєкт Програми підтримки і розвитку спеціалізованого комунального підприємства «Хмельницька міська ритуальна служба»  на 2023 – 2027 роки</t>
  </si>
  <si>
    <t>Проєкт Програми підтримки та розвитку Хмельницького комунального підприємства «Міськсвітло»  на 2023-2027 роки</t>
  </si>
  <si>
    <t>1919000</t>
  </si>
  <si>
    <t>1919800</t>
  </si>
  <si>
    <t>1117640</t>
  </si>
  <si>
    <t>Дотації з державного бюджету місцевим бюджетам</t>
  </si>
  <si>
    <t>41020000</t>
  </si>
  <si>
    <t>Додаткова дотація з державного бюджету місцевим бюджетам на здійснення повноважень органів місцевого самоврядування на деокупованих, тимчасово окупованих та інших територіях України, що зазнали негативного впливу у зв'язку з повномасштабною збройною агресією Російської Федерації</t>
  </si>
  <si>
    <t>Сергій ЯМЧУК</t>
  </si>
  <si>
    <t>Управління капітального будівництва  Хмельницької міської ради (головний розпорядник)</t>
  </si>
  <si>
    <t>Рішення 25-ї сесії Хмельницької міської ради від 28.03.2023 року №23</t>
  </si>
  <si>
    <t>Рішення 25-ї сесії Хмельницької міської ради від 28.03.2023 року №59</t>
  </si>
  <si>
    <t>Програма співфінансування робіт з реконструкції покрівель багатоквартирних житлових будинків Хмельницької міської територіальної громади на 2023 – 2027 роки</t>
  </si>
  <si>
    <t>Рішення 25-ї сесії Хмельницької міської ради від 28.03.2023 року №40</t>
  </si>
  <si>
    <t>Рішення 25-ї сесії Хмельницької міської ради від 28.03.2023 року №66</t>
  </si>
  <si>
    <t>Рішення 25-ї сесії Хмельницької міської ради від 28.03.2023 року №73</t>
  </si>
  <si>
    <t>Рішення 25-ї сесії Хмельницької міської ради від 28.03.2023 року №61</t>
  </si>
  <si>
    <t>Рішення 25-ї сесії Хмельницької міської ради від 28.03.2023 року №62</t>
  </si>
  <si>
    <t>Рішення 25-ї сесії Хмельницької міської ради від 28.03.2023 року №70</t>
  </si>
  <si>
    <t>Програма підтримки і розвитку комунального підприємства «Парки і сквери міста Хмельницького» на 2023 – 2027 роки</t>
  </si>
  <si>
    <t>Рішення 25-ї сесії Хмельницької міської ради від 28.03.2023 року №64</t>
  </si>
  <si>
    <t>Рішення 25-ї сесії Хмельницької міської ради від 28.03.2023 року №68</t>
  </si>
  <si>
    <t>Програма підвищення рівня безпеки пасажирських перевезень на території Хмельницької міської територіальної громади на 2023 рік</t>
  </si>
  <si>
    <t>Рішення 25-ї сесії Хмельницької міської ради від 28.03.2023 року №39</t>
  </si>
  <si>
    <t>0455</t>
  </si>
  <si>
    <t>3718800</t>
  </si>
  <si>
    <t>3718880</t>
  </si>
  <si>
    <t>3718881</t>
  </si>
  <si>
    <t>8881</t>
  </si>
  <si>
    <t>3718882</t>
  </si>
  <si>
    <t>8882</t>
  </si>
  <si>
    <t>Повернення коштів, наданих для виконання гарантійних зобов'язань за позичальників, що отримали кредити під місцеві гарантії</t>
  </si>
  <si>
    <t>4112</t>
  </si>
  <si>
    <t xml:space="preserve"> Субвенція з місцевого бюджету на виконання окремих заходів з реалізації соціального проекту "Активні парки - локації здорової України" за рахунок відповідної субвенції з державного бюджету</t>
  </si>
  <si>
    <t>1115040</t>
  </si>
  <si>
    <t>1115049</t>
  </si>
  <si>
    <t>5049</t>
  </si>
  <si>
    <t>Виконання окремих заходів з реалізації соціального проекту "Активні парки - локації здорової України"</t>
  </si>
  <si>
    <t>Програма заходів національного спротиву Хмельницької міської територіальної громади на 2023 рік (із змінами)</t>
  </si>
  <si>
    <t xml:space="preserve">Програма підтримки членів сімей загиблих (померлих) ветеранів війни, членів сімей загиблих (померлих) Захисників і Захисниць України мешканців Хмельницької міської територіальної громади «Родини Героїв» на 2023 – 2025 роки (із змінами) </t>
  </si>
  <si>
    <t>Програма бюджетування за участі громадськості (Бюджет участі) Хмельницької міської територіальної громади на 2020-2023 роки (із змінами)</t>
  </si>
  <si>
    <t>Субвенція з місцевого бюджету державному бюджету на перерахування коштів в умовах воєнного стану або для здійснення згідно із законом заходів загальної мобілізації та з метою відсічі збройної агресії Російської Федерації проти України та забезпечення національної безпеки, усунення загрози небезпеки державній незалежності України, її територіальній цілісності</t>
  </si>
  <si>
    <t>0219820</t>
  </si>
  <si>
    <t>9820</t>
  </si>
  <si>
    <t>Цільова програма попередження виникнення надзвичайних ситуацій та забезпечення пожежної і техногенної безпеки об’єктів усіх форм власності, розвитку інфраструктури пожежно-рятувальних підрозділів на території Хмельницької міської територіальної громади на 2021-2025 роки (із змінами)</t>
  </si>
  <si>
    <t>0611260</t>
  </si>
  <si>
    <t>1260</t>
  </si>
  <si>
    <t>0611261</t>
  </si>
  <si>
    <t>1261</t>
  </si>
  <si>
    <t>0611262</t>
  </si>
  <si>
    <t>1262</t>
  </si>
  <si>
    <t>Виконання заходів щодо облаштування безпечних умов у закладах загальної середньої освіти за рахунок субвенції з державного бюджету місцевим бюджетам</t>
  </si>
  <si>
    <t>Програма розвитку освіти Хмельницької міської територіальної громади на 2022 - 2026 роки (зі змінами)</t>
  </si>
  <si>
    <t>Програма створення та розвитку індустріального парку "Хмельницький"  (із змінами)</t>
  </si>
  <si>
    <t>Частина чистого прибутку (доходу)  комунальних унітарних підприємств та їх об'єднань, що вилучається до відповідного місцевого бюджету</t>
  </si>
  <si>
    <t>Кошти від викупу земельних ділянок сільськогосподарського призначення державної та комунальної власності, передбачених пунктом 6-1 розділу X "Перехідні положення" Земельного кодексу України</t>
  </si>
  <si>
    <t>Субвенція з місцевого бюджету на облаштування безпечних умов у закладах загальної середньої освіти за рахунок відповідної субвенції з державного бюджету</t>
  </si>
  <si>
    <t>0217640</t>
  </si>
  <si>
    <t>Програма «Здійснення Управлінням ДМС у Хмельницькій області та Хмельницькою міською радою заходів у сфері громадянства, міграції, надання адміністративних послуг на 2023 рік»</t>
  </si>
  <si>
    <t>Рішення 29-ї сесії Хмельницької міської ради від 02.06.2023 року №21</t>
  </si>
  <si>
    <t>Програма підтримки і розвитку комунального підприємства "Елеватор" Хмельницької міської ради на 2023 - 2027 роки (із змінами)</t>
  </si>
  <si>
    <t>Програма підтримки і розвитку міського комунального підприємства «Хмельницькводоканал» на 2023-2027 роки (із змінами)</t>
  </si>
  <si>
    <t>1416016</t>
  </si>
  <si>
    <t>6016</t>
  </si>
  <si>
    <t>Впровадження засобів обліку витрат та регулювання споживання води та теплової енергії</t>
  </si>
  <si>
    <t>Програма підтримки і розвитку міського комунального підприємства «Хмельницьктеплокомуненерго» на 2023 – 2027 роки (із змінами)</t>
  </si>
  <si>
    <t>Програма підтримки і розвитку комунального підприємства по зеленому будівництву і благоустрою міста виконавчого комітету Хмельницької міської ради на 2023 - 2027 роки (із змінами)</t>
  </si>
  <si>
    <t xml:space="preserve">Програма підтримки і розвитку комунального підприємства «Акведук» Хмельницької міської ради на 2023 – 2027 роки </t>
  </si>
  <si>
    <t>Програма підтримки та розвитку Хмельницького комунального підприємства «Спецкомунтранс» на 2023 – 2027 роки (із змінами)</t>
  </si>
  <si>
    <t>Програма розвитку та вдосконалення міського пасажирського транспорту  міста Хмельницького на 2019 - 2023 роки  (із змінами і доповненнями)</t>
  </si>
  <si>
    <t>Субвенція з місцевого бюджету на виплату грошової компенсації за належні для отримання жилі приміщення для сімей осіб, визначених пунктами 2 - 5 частини першої статті 10-1 Закону України "Про статус ветеранів війни, гарантії їх соціального захисту", для осіб з інвалідністю I - II групи, яка настала внаслідок поранення, контузії, каліцтва або захворювання, одержаних під час безпосередньої участі в антитерористичній операції, забезпеченні її проведення, здійсненні заходів із забезпечення національної безпеки і оборони, відсічі і стримування збройної агресії Російської Федерації у Донецькій та Луганській областях, забезпеченні їх здійснення, у заходах, необхідних для забезпечення оборони України, захисту безпеки населення та інтересів держави у зв'язку з військовою агресією Російської Федерації проти України, визначених пунктами 11 - 14 частини другої статті 7 Закону України "Про статус ветеранів війни, гарантії їх соціального захисту", та які потребують поліпшення житлових умов за рахунок відповідної субвенції з державного бюджету</t>
  </si>
  <si>
    <t>Субвенція з місцевого бюджету на виплату грошової компенсації за належні для отримання жилі приміщення для внутрішньо переміщених осіб, які захищали незалежність, суверенітет та територіальну цілісність України і брали безпосередню участь в антитерористичній операції, забезпеченні її проведення, перебуваючи безпосередньо в районах антитерористичної операції у період її проведення, у здійсненні заходів із забезпечення національної безпеки і оборони, відсічі і стримування збройної агресії Російської Федерації у Донецькій та Луганській областях, забезпеченні їх здійснення, перебуваючи безпосередньо в районах та у період здійснення зазначених заходів, та визнані особами з інвалідністю внаслідок війни III групи відповідно до пунктів 11 - 14 частини другої статті 7 або учасниками бойових дій відповідно до пунктів 19 - 21 частини першої статті 6 Закону України "Про статус ветеранів війни, гарантії їх соціального захисту", та які потребують поліпшення житлових умов за рахунок відповідної субвенції з державного бюджету</t>
  </si>
  <si>
    <t>Субвенція з місцевого бюджету на виплату грошової компенсації за належні для отримання жилі приміщення для сімей осіб, визначених пунктами 2 - 5 частини першої статті 10-1 Закону України "Про статус ветеранів війни, гарантії їх соціального захисту", для осіб з інвалідністю I - II групи, яка настала внаслідок поранення, контузії, каліцтва або захворювання, одержаних під час безпосередньої участі в антитерористичній операції, забезпеченні її проведення, здійсненні заходів із забезпечення національної безпеки</t>
  </si>
  <si>
    <t xml:space="preserve"> і оборони, відсічі і стримування збройної агресії Російської Федерації у Донецькій та Луганській областях, забезпеченні їх здійснення, у заходах, необхідних для забезпечення оборони України, захисту безпеки населення та інтересів держави у зв'язку з військовою агресією Російської Федерації проти України, визначених пунктами 11 - 14 частини другої статті 7 Закону України "Про статус ветеранів війни, гарантії їх соціального захисту", та які потребують поліпшення житлових умов за рахунок відповідної субвенції з державного бюджету</t>
  </si>
  <si>
    <t>Субвенція з місцевого бюджету на виплату грошової компенсації за належні для отримання жилі приміщення для сімей учасників бойових дій на території інших держав, визначених у абзаці першому пункту 1 статті 10 Закону України "Про статус ветеранів війни, гарантії їх соціального захисту", для осіб з інвалідністю I - II групи з числа учасників бойових дій на території інших держав, інвалідність яких настала внаслідок поранення, контузії, каліцтва або захворювання, пов'язаних з перебуванням у</t>
  </si>
  <si>
    <t xml:space="preserve"> цих державах, визначених пунктом 7 частини другої статті 7 Закону України "Про статус ветеранів війни, гарантії їх соціального захисту", та які потребують поліпшення житлових умов за рахунок відповідної субвенції з державного бюджету</t>
  </si>
  <si>
    <t>Субвенція з місцевого бюджету на виплату грошової компенсації за належні для отримання жилі приміщення для внутрішньо переміщених осіб, які захищали незалежність, суверенітет та територіальну цілісність України і брали безпосередню участь в антитерористичній операції, забезпеченні її проведення, перебуваючи безпосередньо в районах антитерористичної операції у період її проведення, у здійсненні заходів із забезпечення національної безпеки і оборони, відсічі і стримування збройної агресії Російської Федерації у Донецькій та Луганській областях,</t>
  </si>
  <si>
    <t>забезпеченні їх здійснення, перебуваючи безпосередньо в районах та у період здійснення зазначених заходів, та визнані особами з інвалідністю внаслідок війни III групи відповідно до пунктів 11 - 14 частини другої статті 7 або учасниками бойових дій відповідно до пунктів 19 - 21 частини першої статті 6 Закону України "Про статус ветеранів війни, гарантії їх соціального захисту", та які потребують поліпшення житлових умов за рахунок відповідної субвенції з державного бюджету</t>
  </si>
  <si>
    <t>Грошова компенсація за належні для отримання жилі приміщення для сімей осіб, визначених пунктами 2 - 5 частини першої статті 10-1 Закону України "Про статус ветеранів війни, гарантії їх соціального захисту", для осіб з інвалідністю I - II групи, яка настала внаслідок поранення,</t>
  </si>
  <si>
    <t>контузії, каліцтва або захворювання, одержаних під час безпосередньої участі в антитерористичній операції, забезпеченні її проведення, здійсненні заходів із забезпечення національної безпеки і оборони, відсічі і стримування збройної агресії Російської Федерації у</t>
  </si>
  <si>
    <t>Донецькій та Луганській областях, забезпеченні їх здійснення, у заходах, необхідних для забезпечення оборони України, захисту безпеки населення та інтересів держави у зв'язку з військовою агресією Російської Федерації проти України, визначених пунктами 11 - 14</t>
  </si>
  <si>
    <t>частини другої статті 7 Закону України "Про статус ветеранів війни, гарантії їх соціального захисту", та які потребують поліпшення житлових умов</t>
  </si>
  <si>
    <t xml:space="preserve">Грошова компенсація за належні для отримання жилі приміщення для сімей учасників бойових дій на території інших держав, визначених у абзаці першому пункту 1 статті 10 Закону України "Про статус ветеранів війни, гарантії їх соціального захисту", для осіб з інвалідністю I-II групи з числа </t>
  </si>
  <si>
    <t>учасників бойових дій на території інших держав, інвалідність яких настала внаслідок поранення, контузії, каліцтва або захворювання, пов'язаних з перебуванням у цих державах, визначених пунктом 7 частини другої статті 7 Закону України "Про статус ветеранів війни,</t>
  </si>
  <si>
    <t>Виконання заходів щодо створення навчально-практичних центрів сучасної професійної (професійно-технічної) освіти</t>
  </si>
  <si>
    <t>Програма розвитку та організації надання адміністративних послуг на території Хмельницької міської територіальної громади на 2023 рік</t>
  </si>
  <si>
    <t>Рішення 31-ї сесії Хмельницької міської ради від 28.07.2023 року №20</t>
  </si>
  <si>
    <t xml:space="preserve">Секретар міської ради </t>
  </si>
  <si>
    <t xml:space="preserve">Віталій ДІДЕНКО </t>
  </si>
  <si>
    <t>Програма підтримки 
Хмельницькою міською радою
державних стандартів у сфері 
забезпечення доступу громадян до 
правосуддя на 2023 рік</t>
  </si>
  <si>
    <t>Рішення 33-ї сесії Хмельницької міської ради від 15.09.2023 року №12</t>
  </si>
  <si>
    <t>Надання освіти за рахунок залишку коштів за субвенцією з державного бюджету місцевим бюджетам на надання державної підтримки особам з особливими освітніми потребами на кінець бюджетного періоду</t>
  </si>
  <si>
    <t>Рішення 31-ї сесії Хмельницької міської ради від 28.07.2023 року №48</t>
  </si>
  <si>
    <t>Програма підтримки і розвитку Хмельницького комунального підприємства «Міськсвітло» на 2023-2027 роки</t>
  </si>
  <si>
    <t>Рішення 33-ї сесії Хмельницької міської ради від 15.09.2023 року №43</t>
  </si>
  <si>
    <t>Програма підтримки і розвитку комунального підприємства "Акведук" Хмельницької міської ради на 2023 - 2027 роки (із змінами)</t>
  </si>
  <si>
    <t>Програма єдності та підтримки громад України, що постраждали внаслідок бойових дій, терористичних актів, диверсій, спричинених збройною агресією російської федерації проти України на 2023-2027 роки</t>
  </si>
  <si>
    <t>Рішення 31-ї сесії Хмельницької міської ради від 28.07.202 року №33</t>
  </si>
  <si>
    <t>1270</t>
  </si>
  <si>
    <t>0611270</t>
  </si>
  <si>
    <t>Виконання заходів за рахунок коштів освітньої субвенції з державного бюджету місцевим бюджетам (за спеціальним фондом державного бюджету)</t>
  </si>
  <si>
    <t>0611271</t>
  </si>
  <si>
    <t>1271</t>
  </si>
  <si>
    <t>0611272</t>
  </si>
  <si>
    <t>1272</t>
  </si>
  <si>
    <t>Реалізація заходів, що реалізуються за рахунок освітньої субвенції з державного бюджету місцевим бюджетам (за спеціальним фондом державного бюджету)</t>
  </si>
  <si>
    <t>Співфінансування заходів за рахунок освітньої субвенції з державного бюджету місцевим бюджетам (за спеціальним фондом державного бюджету)</t>
  </si>
  <si>
    <t>Рішення 29-ї сесії Хмельницької міської ради від 02.06.2023 року №27</t>
  </si>
  <si>
    <t xml:space="preserve"> Зміни обсягів депозитів і цінних паперів, що використовуються для управління ліквідністю </t>
  </si>
  <si>
    <t>Повернення бюджетних коштів з депозитів, надходження внаслідок продажу/пред'явлення цінних паперів</t>
  </si>
  <si>
    <t xml:space="preserve"> Розміщення бюджетних коштів на депозитах, придбання цінних паперів</t>
  </si>
  <si>
    <t>Надходження внаслідок продажу/пред'явлення цінних паперів</t>
  </si>
  <si>
    <t xml:space="preserve"> Придбання цінних паперів</t>
  </si>
  <si>
    <t xml:space="preserve"> Зміни обсягів депозитів і цінних паперів, що використовуються для управління ліквідністю</t>
  </si>
  <si>
    <t>Розміщення бюджетних коштів на депозитах, придбання цінних паперів</t>
  </si>
  <si>
    <t>Придбання цінних паперів</t>
  </si>
  <si>
    <t xml:space="preserve">Секретар міської ради  </t>
  </si>
  <si>
    <t>1419000</t>
  </si>
  <si>
    <t>1419700</t>
  </si>
  <si>
    <t>1419770</t>
  </si>
  <si>
    <t>Видатки, що здійснюються згідно розпоряджень міського голови, рішень міської ради та її виконавчого комітету</t>
  </si>
  <si>
    <t>Рішення 35-ї сесії Хмельницької міської ради від 10.11.2023 року №36</t>
  </si>
  <si>
    <r>
      <t>Будівництво</t>
    </r>
    <r>
      <rPr>
        <b/>
        <vertAlign val="superscript"/>
        <sz val="36"/>
        <color rgb="FFFF0000"/>
        <rFont val="Times New Roman"/>
        <family val="1"/>
        <charset val="204"/>
      </rPr>
      <t>1</t>
    </r>
    <r>
      <rPr>
        <sz val="36"/>
        <color rgb="FFFF0000"/>
        <rFont val="Times New Roman"/>
        <family val="1"/>
        <charset val="204"/>
      </rPr>
      <t>  об'єктів соціально-культурного призначення</t>
    </r>
  </si>
  <si>
    <r>
      <t>Будівництво</t>
    </r>
    <r>
      <rPr>
        <b/>
        <vertAlign val="superscript"/>
        <sz val="36"/>
        <color rgb="FFFF0000"/>
        <rFont val="Times New Roman"/>
        <family val="1"/>
        <charset val="204"/>
      </rPr>
      <t>1</t>
    </r>
    <r>
      <rPr>
        <sz val="36"/>
        <color rgb="FFFF0000"/>
        <rFont val="Times New Roman"/>
        <family val="1"/>
        <charset val="204"/>
      </rPr>
      <t>  освітніх установ та закладів</t>
    </r>
  </si>
  <si>
    <r>
      <t>Будівництво</t>
    </r>
    <r>
      <rPr>
        <b/>
        <vertAlign val="superscript"/>
        <sz val="36"/>
        <color rgb="FFFF0000"/>
        <rFont val="Times New Roman"/>
        <family val="1"/>
        <charset val="204"/>
      </rPr>
      <t>1</t>
    </r>
    <r>
      <rPr>
        <sz val="36"/>
        <color rgb="FFFF0000"/>
        <rFont val="Times New Roman"/>
        <family val="1"/>
        <charset val="204"/>
      </rPr>
      <t>  об'єктів житлово-комунального господарства</t>
    </r>
  </si>
  <si>
    <r>
      <t>Будівництво</t>
    </r>
    <r>
      <rPr>
        <b/>
        <vertAlign val="superscript"/>
        <sz val="36"/>
        <color rgb="FFFF0000"/>
        <rFont val="Times New Roman"/>
        <family val="1"/>
        <charset val="204"/>
      </rPr>
      <t>1</t>
    </r>
    <r>
      <rPr>
        <sz val="36"/>
        <color rgb="FFFF0000"/>
        <rFont val="Times New Roman"/>
        <family val="1"/>
        <charset val="204"/>
      </rPr>
      <t> інших об'єктів комунальної власності</t>
    </r>
  </si>
  <si>
    <t>1218100</t>
  </si>
  <si>
    <t>1218110</t>
  </si>
  <si>
    <t>Заходи з озеленення</t>
  </si>
  <si>
    <t>Програма економічного і соціального розвитку Хмельницької міської територіальної громади на 2024 рік</t>
  </si>
  <si>
    <t>Програма заходів національного спротиву Хмельницької міської територіальної громади на 2024 рік</t>
  </si>
  <si>
    <t>Програма підтримки сім’ї на 2021-2025 роки  (із змінами)</t>
  </si>
  <si>
    <t xml:space="preserve">Програма зайнятості населення Хмельницької міської територіальної громади на 2024 - 2026 роки </t>
  </si>
  <si>
    <t>Програма висвітлення діяльності Хмельницької міської ради та її виконавчих органів на 2024 рік</t>
  </si>
  <si>
    <t>Програма шефської допомоги військовим частинам Збройних Сил України, Національної гвардії України, які розташовані на території Хмельницької міської територіальної громади на 2022-2024 роки (із змінами)</t>
  </si>
  <si>
    <t>Програма розвитку, підтримки комунальних закладів охорони здоров’я та надання 
медичних послуг понад обсяг, передбачений програмою державних гарантій медичного обслуговування населення Хмельницької міської 
територіальної громади на 2024 - 2026 роки</t>
  </si>
  <si>
    <t>Податок на доходи фізичних осіб із доходів спеціалістів резидента Дія Сіті</t>
  </si>
  <si>
    <t>Податок на доходи фізичних осіб у вигляді мінімального податкового зобов'язання, що підлягає сплаті фізичними особами</t>
  </si>
  <si>
    <t xml:space="preserve">Рентна плата за спеціальне використання лісових ресурсів в частині деревини, заготовленої в порядку рубок головного користування </t>
  </si>
  <si>
    <t>Адміністративні штрафи за адміністративні правопорушення у сфері забезпечення безпеки дорожнього руху, зафіксовані в автоматичному режимі</t>
  </si>
  <si>
    <t>Кошти гарантійного та реєстраційного внесків, що визначені Законом України "Про оренду державного та комунального майна", які підлягають перерахуванню оператором електронного майданчика до відповідного бюджету</t>
  </si>
  <si>
    <t xml:space="preserve">Орендна плата за водні об'єкти (їх частини), що надаються в користування на умовах оренди Радою міністрів Автономної Республіки Крим, обласними, районними, Київською та Севастопольською міськими державними адміністраціями, місцевими радами </t>
  </si>
  <si>
    <t>Рішення 36-ї сесії Хмельницької міської ради від 21.12.2023 року №86</t>
  </si>
  <si>
    <t>Рішення 36-ї сесії Хмельницької міської ради від 21.12.2023 року №9</t>
  </si>
  <si>
    <t>Рішення 36-ї сесії Хмельницької міської ради від 21.12.2023 року №2</t>
  </si>
  <si>
    <t>Рішення 36-ї сесії Хмельницької міської ради від 21.12.2023 року №81</t>
  </si>
  <si>
    <t>Рішення 36-ї сесії Хмельницької міської ради від 21.12.2023 року №23</t>
  </si>
  <si>
    <t>Програма розвитку інформаційної інфраструктури туристичних послуг
на 2024 – 2026 роки</t>
  </si>
  <si>
    <t>Рішення 36-ї сесії Хмельницької міської ради від 21.12.2023 року №55</t>
  </si>
  <si>
    <t>Реалізація державної політики у молодіжній сфері та сфері з утвердження української національної та громадянської ідентичності</t>
  </si>
  <si>
    <t>8880</t>
  </si>
  <si>
    <t>Виконання заходів за рахунок залишку коштів за освітньою субвенцією на кінець бюджетного періоду, що мають цільове призначення, виділених відповідно до рішень Кабінету Міністрів України у попередніх бюджетних періодах (за спеціальним фондом державного бюджету)</t>
  </si>
  <si>
    <t>0611290</t>
  </si>
  <si>
    <t>1291</t>
  </si>
  <si>
    <t>1290</t>
  </si>
  <si>
    <t>0611291</t>
  </si>
  <si>
    <t>Співфінансування заходів, що реалізуються за рахунок залишку коштів за освітньою субвенцією на кінець бюджетного періоду, що мають цільове призначення, виділених відповідно до рішень Кабінету Міністрів України у попередніх бюджетних періодах (за спеціальним фондом державного бюджету)</t>
  </si>
  <si>
    <t>0611292</t>
  </si>
  <si>
    <t>1292</t>
  </si>
  <si>
    <t>Реалізація заходів за рахунок залишку коштів за освітньою субвенцією на кінець бюджетного періоду, що мають цільове призначення, виділених відповідно до рішень Кабінету Міністрів України у попередніх бюджетних періодах (за спеціальним фондом державного бюджету)</t>
  </si>
  <si>
    <t>Програма підтримки і розвитку Спеціалізованого комунального підприємства «Хмельницька міська ритуальна служба» на 2023-2027 роки (із змінами)</t>
  </si>
  <si>
    <t>4122</t>
  </si>
  <si>
    <t xml:space="preserve">Повернення кредитів підприємствами, установами, організаціями </t>
  </si>
  <si>
    <t>Субвенція з місцевого бюджету за рахунок залишку коштів освітньої субвенції, що утворився на початок бюджетного періоду</t>
  </si>
  <si>
    <t>Рішення 39-ї сесії Хмельницької міської ради від 02.05.2024 року №6</t>
  </si>
  <si>
    <t>Програма взаємодії регіонального сервісного центру ГСЦ МВС в Хмельницькій області (філія ГСЦ МВС) із Хмельницькою міською радою в сфері надання адміністративних послуг населенню на 2024 рік</t>
  </si>
  <si>
    <t>Комплексна програма мобілізації зусиль Хмельницької міської ради та Головного управління ДПС у Хмельницькій області по забезпеченню надходжень до бюджету Хмельницької міської територіальної громади на 2024-2025 роки</t>
  </si>
  <si>
    <t xml:space="preserve">	Виконання заходів щодо створення навчально-практичних центрів сучасної професійної (професійно-технічної) освіти за рахунок субвенції з державного бюджету місцевим бюджетам</t>
  </si>
  <si>
    <t>Виконання заходів щодо облаштування безпечних умов у закладах охорони здоров'я</t>
  </si>
  <si>
    <t>0712160</t>
  </si>
  <si>
    <t>2160</t>
  </si>
  <si>
    <t>Співфінансування заходів, що реалізуються за рахунок субвенції з державного бюджету місцевим бюджетам на облаштування безпечних умов у закладах охорони здоров'я</t>
  </si>
  <si>
    <t>0712161</t>
  </si>
  <si>
    <t>2161</t>
  </si>
  <si>
    <t>Програма "Моє укриття" на 2024-2025 роки</t>
  </si>
  <si>
    <t>Рішення 36-ї сесії Хмельницької міської ради від 21.12.2023 року №58</t>
  </si>
  <si>
    <t>Програма розвитку електротранспорту Хмельницької міської територіальної громади на 2021 - 2025 роки (із змінами)</t>
  </si>
  <si>
    <t>41051100</t>
  </si>
  <si>
    <t>Програма бюджетування за участі громадськості (Бюджет участі) Хмельницької міської територіальної громади на 2024-2026 роки (із змінами)</t>
  </si>
  <si>
    <t>Рішення 36-ї сесії Хмельницької міської ради від 21.12.2023 року №10</t>
  </si>
  <si>
    <t>2713242</t>
  </si>
  <si>
    <t>0213000</t>
  </si>
  <si>
    <t>0213240</t>
  </si>
  <si>
    <t>0213241</t>
  </si>
  <si>
    <t xml:space="preserve">  </t>
  </si>
  <si>
    <t>Рішення 41-ї сесії Хмельницької міської ради від 14.06.2024 року №7</t>
  </si>
  <si>
    <t>Рішення 38-ї сесії Хмельницької міської ради від 13.03.2024 року №9</t>
  </si>
  <si>
    <t>Плата за ліцензії у сфері діяльності з організації та проведення азартних ігор і за ліцензії на випуск та проведення лотерей</t>
  </si>
  <si>
    <t>Плата за ліцензії на провадження діяльності з організації та проведення азартних ігор у залах гральних автоматів</t>
  </si>
  <si>
    <t>Програма підтримки ОСББ Хмельницької міської територіальної громади на 2023 – 2026 роки (із змінами)</t>
  </si>
  <si>
    <t>Про затвердження Програми взаємодії Хмельницької міської ради та Хмельницького районного відділу №1 філії Державної установи «Центр пробації» у Хмельницькій області 2024-2025 роки (із змінами)</t>
  </si>
  <si>
    <t>Субвенція з місцевого бюджету на забезпечення якісної, сучасної та доступної загальної середньої освіти "Нова українська школа" за рахунок відповідної субвенції з державного бюджету</t>
  </si>
  <si>
    <t>Виконання заходів, спрямованих на забезпечення якісної, сучасної та доступної загальної середньої освіти "Нова українська школа"</t>
  </si>
  <si>
    <t xml:space="preserve">	Співфінансування заходів, що реалізуються за рахунок субвенції з державного бюджету місцевим бюджетам на забезпечення якісної, сучасної та доступної загальної середньої освіти "Нова українська школа"</t>
  </si>
  <si>
    <t xml:space="preserve">	Виконання заходів, спрямованих на забезпечення якісної, сучасної та доступної загальної середньої освіти "Нова українська школа" за рахунок субвенції з державного бюджету місцевим бюджетам</t>
  </si>
  <si>
    <t>1216013</t>
  </si>
  <si>
    <t>Програма часткової компенсації вартості закупівлі генераторів для забезпечення потреб мешканців багатоквартирних житлових будинків Хмельницької міської територіальної громади на 2022 - 2025 роки (із змінами)</t>
  </si>
  <si>
    <t>0611400</t>
  </si>
  <si>
    <t>0611403</t>
  </si>
  <si>
    <t>1403</t>
  </si>
  <si>
    <t>1400</t>
  </si>
  <si>
    <t>Виконання заходів із задоволення потреб у забезпеченні безпечного освітнього середовища</t>
  </si>
  <si>
    <t>Забезпечення харчуванням учнів початкових класів закладів загальної середньої освіти за рахунок субвенції з державного бюджету місцевим бюджетам</t>
  </si>
  <si>
    <t>Субвенція з державного бюджету місцевим бюджетам на забезпечення харчуванням учнів початкових класів закладів загальної середньої освіти</t>
  </si>
  <si>
    <t>Програма підтримки і розвитку комунального підприємства по будівництву, ремонту та експлуатації доріг виконавчого комітету Хмельницької міської ради на 2023-2027 роки (із змінами)</t>
  </si>
  <si>
    <t>Програма розвитку та вдосконалення міського та приміського пасажирського транспорту  на території  Хмельницької міської територіальної громади на 2024 - 2028 роки  (із змінами)</t>
  </si>
  <si>
    <t>Рішення 36-ї сесії Хмельницької міської ради від 21.12.2023 року №70</t>
  </si>
  <si>
    <t xml:space="preserve">Біологічна меліорація водойм </t>
  </si>
  <si>
    <t xml:space="preserve">Обслуговування та забезпечення функціонування системи моніторингу атмосферного повітря агломерації «Хмельницький» </t>
  </si>
  <si>
    <t xml:space="preserve">Придбання систем, приладів для здійснення контролю за якістю поверхневих та підземних вод на території міста </t>
  </si>
  <si>
    <t xml:space="preserve">Придбання спецтехніки для очищення водойм </t>
  </si>
  <si>
    <t xml:space="preserve">Резервування територій для заповідання. Заходи з розроблення схеми екологічної мережі території громади </t>
  </si>
  <si>
    <t xml:space="preserve">Виготовлення та розміщення інформаційних листівок екологічної реклами, відеороликів тощо на тему «Розумне поводження з відходами» </t>
  </si>
  <si>
    <t>Організація проведення оцінки впливу на довкілля та стратегічної екологічної оцінки</t>
  </si>
  <si>
    <t xml:space="preserve">Проведення науково-технічних конференцій і семінарів, організація виставок, фестивалів та інших заходів щодо пропаганди охорони навколишнього середовища, видання поліграфічної продукції з екологічної тематики тощо </t>
  </si>
  <si>
    <t>Наукові дослідження, проектні та проектно-конструкторські розроблення (в тому числі моніторингові дослідження)</t>
  </si>
  <si>
    <t>1216091</t>
  </si>
  <si>
    <t>6091</t>
  </si>
  <si>
    <t>1416091</t>
  </si>
  <si>
    <t>Програма економічного і соціального розвитку Хмельницької міської територіальної громади на 2025 рік</t>
  </si>
  <si>
    <t>1511000</t>
  </si>
  <si>
    <t>1511300</t>
  </si>
  <si>
    <t>1300</t>
  </si>
  <si>
    <t>1514000</t>
  </si>
  <si>
    <t>1514080</t>
  </si>
  <si>
    <t>Проектування, реставрація та охорона пам'яток культурної спадщини</t>
  </si>
  <si>
    <t>1514084</t>
  </si>
  <si>
    <t>4084</t>
  </si>
  <si>
    <t>Фінансова підтримка медіа (засобів масової інформації)</t>
  </si>
  <si>
    <t>1617351</t>
  </si>
  <si>
    <t>Розроблення комплексних планів просторового розвитку територій територіальних громад</t>
  </si>
  <si>
    <t>7351</t>
  </si>
  <si>
    <t>Надання загальної середньої освіти спеціальними закладами загальної середньої освіти для осіб з особливими освітніми потребами, зумовленими порушеннями інтелектуального розвитку, фізичними та/або сенсорними порушеннями, за рахунок коштів місцевого бюджету</t>
  </si>
  <si>
    <t>Надання загальної середньої освіти за рахунок залишку коштів за освітньою субвенцією на кінець бюджетного періоду (крім залишку коштів, що мають цільове призначення, виділених відповідно до рішень Кабінету Міністрів України у попередніх бюджетних періодах)</t>
  </si>
  <si>
    <t>Надання загальної середньої освіти закладами загальної середньої освіти за рахунок залишку коштів за освітньою субвенцією на кінець бюджетного періоду (крім залишку коштів, що мають цільове призначення, виділених відповідно до рішень Кабінету Міністрів України у попередніх бюджетних періодах)</t>
  </si>
  <si>
    <t>0611300</t>
  </si>
  <si>
    <t>Програма розвитку, підтримки комунальних закладів охорони здоров’я та надання медичних послуг понад обсяг, передбачений програмою державних гарантій медичного обслуговування населення Хмельницької міської територіальної громади на 2024 – 2026 роки (зі змінами)</t>
  </si>
  <si>
    <t>Грошова компенсація за належні для отримання жилі приміщення для внутрішньо переміщених осіб, які захищали незалежність, суверенітет та територіальну цілісність України і брали безпосередню участь в антитерористичній операції, забезпеченні її проведення, перебуваючи безпосередньо в районах антитерористичної операції у період її проведення, у здійсненні заходів із забезпечення національної безпеки і оборони, відсічі і стримування збройної агресії Російської Федерації у Донецькій та Луганській областях, забезпеченні їх здійснення, перебуваючи безпосередньо в районах та у період здійснення зазначених заходів, та визнані особами з інвалідністю внаслідок війни III групи</t>
  </si>
  <si>
    <t>відповідно до пунктів 11 - 14 частини другої статті 7 або учасниками бойових дій відповідно до пунктів 19 - 21 частини першої статті 6 Закону України "Про статус ветеранів війни, гарантії їх соціального захисту", та які потребують поліпшення житлових умов</t>
  </si>
  <si>
    <t>0813250</t>
  </si>
  <si>
    <t>3250</t>
  </si>
  <si>
    <t>Програма підтримки та розвитку комунального некомерційного підприємства «Телерадіокомпанія «Місто» на 2024-2028 роки (із змінами)</t>
  </si>
  <si>
    <t>Рішення 47-ї сесії Хмельницької міської ради від 11.12.2024 року №7</t>
  </si>
  <si>
    <t>Програма співфінансування робіт з ремонту багатоквартирних будинків Хмельницької міської територіальної громади на 2025-2029 роки</t>
  </si>
  <si>
    <t>Рішення 47-ї сесії Хмельницької міської ради від 11.12.2024 року №40</t>
  </si>
  <si>
    <t>Програма забезпечення контролю за благоустроєм, санітарним станом та стихійною торгівлею на території Хмельницької міської територіальної громади на 2025-2026 роки</t>
  </si>
  <si>
    <t>Рішення 47-ї сесії Хмельницької міської ради від 11.12.2024 року №22</t>
  </si>
  <si>
    <t>Штрафні санкції, що застосовуються відповідно до Закону України "Про державне ругулювання виробництва і обігу спирту етилового, спиртових дистилятів, біоетанолу, алкогольних напоїв, тютюнових виробів, тютюнової сировини, рідин, що використовуються в електронних сигаретах, та пального"</t>
  </si>
  <si>
    <t>Адміністративний збір, що справляється відповідно до Закону України "Про державну реєстрацію юридичних осіб, фізичних осіб - підприємців та громадських формувань"</t>
  </si>
  <si>
    <t>Виконання заходів щодо облаштування безпечних умов у закладах, що надають загальну середню освіту (облаштування укриттів), зокрема військових (військово-морських, військово-спортивних) ліцеях, ліцеях із посиленою військово-фізичною підготовкою</t>
  </si>
  <si>
    <t>Співфінансування заходів, що реалізуються за рахунок субвенції з державного бюджету місцевим бюджетам на реалізацію публічного інвестиційного проекту на облаштування безпечних умов у закладах, що надають загальну середню освіту (облаштування укриттів), зокрема військових (військово-морських, військово-спортивних) ліцеях, ліцеях із посиленою військово-фізичною підготовкою</t>
  </si>
  <si>
    <t>Здійснення соціальної роботи та надання соціальних послуг центрами соціальних служб та центрами надання соціальних послуг особам/сім’ям, які належать до вразливих груп населення та/або перебувають у складних життєвих обставинах</t>
  </si>
  <si>
    <t>Розвиток та надання послуг спеціалізованими службами підтримки осіб, які постраждали від домашнього насильства та/або насильства за ознакою статі</t>
  </si>
  <si>
    <t>Створення умов для творчого, інтелектуального, духовного та фізичного розвитку дітей та молоді за місцем їх проживання</t>
  </si>
  <si>
    <t>Забезпечення молодіжними центрами соціального становлення та розвитку молоді та інші заходи у сфері молодіжної політики</t>
  </si>
  <si>
    <t>Надання комплексу послуг особам/сім’ям у сфері соціального захисту та соціального забезпечення іншими надавачами соціальних послуг</t>
  </si>
  <si>
    <t>Розвиток здібностей у дітей та молоді з фізичної культури та спорту комунальними дитячо-юнацькими спортивними школами</t>
  </si>
  <si>
    <t>Регіональний розвиток та інші інвестиційні проекти</t>
  </si>
  <si>
    <t>Субвенція з державного бюджету місцевим бюджетам на надання державної підтримки особам з особливими освітніми потребами</t>
  </si>
  <si>
    <t>Субвенція з державного бюджету місцевим бюджетам на здійснення доплат педагогічним працівникам закладів загальної середньої освіти</t>
  </si>
  <si>
    <t>41036300</t>
  </si>
  <si>
    <t>Субвенція з місцевого бюджету на реалізацію публічного інвестиційного проекту на забезпечення якісної, сучасної та доступної загальної середньої освіти «Нова українська школа» за рахунок відповідної субвенції з державного бюджету</t>
  </si>
  <si>
    <t>41059700</t>
  </si>
  <si>
    <t>Проведення (надання) додаткових психолого-педагогічних і корекційно-розвиткових занять (послуг) за рахунок субвенції з державного бюджету місцевим бюджетам на надання державної підтримки особам з особливими освітніми потребами</t>
  </si>
  <si>
    <t>0611600</t>
  </si>
  <si>
    <t>1600</t>
  </si>
  <si>
    <t>Здійснення доплат педагогічним працівникам закладів загальної середньої освіти за рахунок субвенції з державного бюджету місцевим бюджетам</t>
  </si>
  <si>
    <t>0611183</t>
  </si>
  <si>
    <t>0611184</t>
  </si>
  <si>
    <t>1183</t>
  </si>
  <si>
    <t>1184</t>
  </si>
  <si>
    <t>Співфінансування заходів, що реалізуються за рахунок субвенції з державного бюджету місцевим бюджетам на реалізацію публічного інвестиційного проекту на забезпечення якісної, сучасної та доступної загальної середньої освіти «Нова українська школа»</t>
  </si>
  <si>
    <t>Виконання заходів, спрямованих на реалізацію публічного інвестиційного проекту на забезпечення якісної, сучасної та доступної загальної середньої освіти «Нова українська школа» за рахунок субвенції з державного бюджету місцевим бюджетам</t>
  </si>
  <si>
    <t>Програма сприяння розвитку волонтерства на території Хмельницької міської територіальної громади на 2023-2027 роки  (із змінами)</t>
  </si>
  <si>
    <t>0213193</t>
  </si>
  <si>
    <t>3193</t>
  </si>
  <si>
    <t>Забезпечення діяльності фахівців із супроводу ветеранів війни та демобілізованих осіб та окремі заходи з підтримки осіб, які захищали незалежність, суверенітет та територіальну цілісність України</t>
  </si>
  <si>
    <t>0213190</t>
  </si>
  <si>
    <t>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 які захищали незалежність, суверенітет та територіальну цілісність України, за рахунок відповідної субвенції з державного бюджету</t>
  </si>
  <si>
    <t>41059300</t>
  </si>
  <si>
    <t>Заступник міського голови</t>
  </si>
  <si>
    <t>Михайло КРИВАК</t>
  </si>
  <si>
    <t xml:space="preserve">На кінець періоду </t>
  </si>
  <si>
    <t>На кінець періоду</t>
  </si>
  <si>
    <t>0617300</t>
  </si>
  <si>
    <t>0617330</t>
  </si>
  <si>
    <t>0712170</t>
  </si>
  <si>
    <t>2170</t>
  </si>
  <si>
    <t>0717000</t>
  </si>
  <si>
    <t>0813110</t>
  </si>
  <si>
    <t>3110</t>
  </si>
  <si>
    <t>Заклади і заходи з питань дітей та їх соціального захисту</t>
  </si>
  <si>
    <t>Забезпечення умов для догляду та виховання дітей і молоді в дитячих будинках сімейного типу, прийомних сім’ях та сім’ях патронатних вихователів</t>
  </si>
  <si>
    <t>0813114</t>
  </si>
  <si>
    <t>3114</t>
  </si>
  <si>
    <t>1217100</t>
  </si>
  <si>
    <t>1217130</t>
  </si>
  <si>
    <t>Видатки, пов'язані з наданням підтримки внутрішньо переміщеним та/або евакуйованим особам у зв'язку із введенням воєнного стану</t>
  </si>
  <si>
    <t>Заходи щодо відновлення і підтримання сприятливого гідрологічного режиму та санітарного стану річок (виготовлення проектів землеустрою щодо встановлення  меж прибережних захисних смуг поверхневих водних об‘єктів</t>
  </si>
  <si>
    <t>Забезпечення екологічно безпечного збирання, перевезення, зберігання, оброблення, утилізації, видалення, знешкодження і захоронення відходів та небезпечних хімічних речовин ( в т.ч.: ліквідація стихійних сміттєзвалищ; влаштування центру управління відходами; придбання контейнерів для сортування відходів; проведення навчання з сортування відходів)</t>
  </si>
  <si>
    <t>Придбання обладнання для збору, транспортування та складування побутових відходів</t>
  </si>
  <si>
    <t>Субвенція з державного бюджету місцевим бюджетам на реалізацію публічного інвестиційного проекту на забезпечення якісної, сучасної та доступної загальної середньої освіти "Нова українська школа"</t>
  </si>
  <si>
    <t>Рішення 50-ї сесії Хмельницької міської ради від 05.03.2025 року №4</t>
  </si>
  <si>
    <t>Рішення 51-ї сесії Хмельницької міської ради від 27.03.2025 року № 2</t>
  </si>
  <si>
    <t>Субвенція з місцевого бюджету на реалізацію публічного інвестиційного проекту із виплати грошової компенсації за належні для отримання жилі приміщення для сімей осіб, визначених пунктами 2 - 5 частини першої статті 10-1 Закону України "Про статус ветеранів війни, гарантії їх соціального захисту", для осіб з інвалідністю I - II групи, яка настала внаслідок поранення, контузії, каліцтва або захворювання, одержаних під час безпосередньої участі в антитерористичній операції, забезпеченні її проведення, здійсненні заходів із забезпечення національної безпеки і оборони, відсічі і стримування збройної агресії Російської Федерації у Донецькій та Луганській областях, забезпеченні їх здійснення, у заходах, необхідних для забезпечення оборони України, захисту безпеки населення та інтересів держави у зв'язку з військовою агресією Російської Федерації проти України, визначених пунктами 11 - 14 частини другої статті 7 Закону України "Про статус ветеранів війни, гарантії їх соціального захисту", та які потребують поліпшення житлових умов, за рахунок відповідної субвенції з державного бюджету</t>
  </si>
  <si>
    <t>41050200</t>
  </si>
  <si>
    <t xml:space="preserve">Субвенція з місцевого бюджету на реалізацію публічного інвестиційного проекту із виплати грошової компенсації за належні для отримання жилі приміщення для сімей осіб, визначених пунктами 2 - 5 частини першої статті 10-1 Закону України "Про статус ветеранів війни, гарантії їх соціального захисту", для осіб з інвалідністю I - II групи, яка настала внаслідок поранення, контузії, каліцтва або захворювання, одержаних під час безпосередньої участі в антитерористичній операції, забезпеченні її проведення, здійсненні заходів із забезпечення національної безпеки і оборони, </t>
  </si>
  <si>
    <t>відсічі і стримування збройної агресії Російської Федерації у Донецькій та Луганській областях, забезпеченні їх здійснення, у заходах, необхідних для забезпечення оборони України, захисту безпеки населення та інтересів держави у зв'язку з військовою агресією Російської Федерації проти України, визначених пунктами 11 - 14 частини другої статті 7 Закону України "Про статус ветеранів війни, гарантії їх соціального захисту", та які потребують поліпшення житлових умов, за рахунок відповідної субвенції з державного бюджету</t>
  </si>
  <si>
    <t>Програма розвитку архівної справи Хмельницької міської територіальної громади на 2025-2029 роки</t>
  </si>
  <si>
    <t>Співфінансування заходів, що реалізуються за рахунок освітньої субвенції з державного бюджету місцевим бюджетам (за спеціальним фондом державного бюджету), на створення сучасного освітнього простору</t>
  </si>
  <si>
    <t>1275</t>
  </si>
  <si>
    <t>Реалізація заходів за рахунок освітньої субвенції з державного бюджету місцевим бюджетам (за спеціальним фондом державного бюджету) на створення сучасного освітнього простору</t>
  </si>
  <si>
    <t>1276</t>
  </si>
  <si>
    <t>0713190</t>
  </si>
  <si>
    <t>0713193</t>
  </si>
  <si>
    <t>0611275</t>
  </si>
  <si>
    <t>0611276</t>
  </si>
  <si>
    <t>0813225</t>
  </si>
  <si>
    <t>3225</t>
  </si>
  <si>
    <t>Реалізація публічного інвестиційного проекту із виплати грошової компенсації за належні для отримання жилі приміщення для сімей осіб, визначених пунктами 2–5 частини першої статті 10-1 Закону України «Про статус ветеранів війни, гарантії їх соціального захисту», для осіб з інвалідністю I–II груп, яка настала внаслідок поранення, контузії, каліцтва або захворювання, одержаних під час безпосередньої участі в антитерористичній операції, забезпеченні її проведення, здійсненні заходів із забезпечення національної безпеки і оборони, відсічі і стримування збройної агресії Російської Федерації у Донецькій та Луганській областях, забезпеченні їх здійснення, у заходах, необхідних для забезпечення оборони України, захисту безпеки населення та інтересів держави у зв’язку з військовою агресією Російської Федерації проти України, визначених пунктами 11–14 частини другої статті 7 Закону України «Про статус ветеранів війни, гарантії їх соціального захисту», та які потребують поліпшення житлових умов</t>
  </si>
  <si>
    <t>1213000</t>
  </si>
  <si>
    <t>1213230</t>
  </si>
  <si>
    <t>1115070</t>
  </si>
  <si>
    <t>5070</t>
  </si>
  <si>
    <t>Виконання заходів за рахунок цільових фондів, утворених Верховною Радою Автономної Республіки Крим, органами місцевого самоврядування і місцевими органами виконавчої влади і фондів, утворених Верховною Радою Автономної Республіки Крим, органами місцевого самоврядування і місцевими органами виконавчої влади</t>
  </si>
  <si>
    <t>Субвенція з місцевого бюджету на реалізацію публічного інвестиційного проекту із забезпечення житлом дитячих будинків сімейного типу, дітей-сиріт та дітей, позбавлених батьківського піклування, за рахунок відповідної субвенції з державного бюджету</t>
  </si>
  <si>
    <t>Реалізація публічного інвестиційного проекту із забезпечення житлом дитячих будинків сімейного типу, дітей-сиріт та дітей, позбавлених батьківського піклування</t>
  </si>
  <si>
    <t>3245</t>
  </si>
  <si>
    <t>0813245</t>
  </si>
  <si>
    <t>Рішення 54-ї сесії Хмельницької міської ради від 27.06.2025 року № 1</t>
  </si>
  <si>
    <t xml:space="preserve">Проведення робіт, пов'язаних з поліпшенням технічного стану та благоустрою водойм на території територіальної громади </t>
  </si>
  <si>
    <t>0217630</t>
  </si>
  <si>
    <t>0618100</t>
  </si>
  <si>
    <t>0618110</t>
  </si>
  <si>
    <t>0719000</t>
  </si>
  <si>
    <t>0719700</t>
  </si>
  <si>
    <t>Програма забезпечення підтримання громадського порядку в суді, припинення проявів неповаги до суду, охорони приміщень суду, органів та установ системи правосуддя, виконання функцій щодо державного забезпечення особистої безпеки суддів та членів їх сімей, працівників суду, забезпечення у суді безпеки учасників судового процесу на території Хмельницької міської територіальної громади на 2025-2026 роки</t>
  </si>
  <si>
    <t>Рішення 50-ї сесії Хмельницької міської ради від 05.03.2025 року №3</t>
  </si>
  <si>
    <t>Програма забезпечення антитерористичного та протидиверсійного захисту важливих державних об’єктів, місць масового перебування людей, об’єктів критичної та транспортної інфраструктури Хмельницької міської територіальної громади на 2025-2026 роки  (із змінами)</t>
  </si>
  <si>
    <t>Програма "Безпечна громада на 2025 – 2026 роки" (із змінами)</t>
  </si>
  <si>
    <t>Рішення 54 сесії Хмельницької міської ради від 27.06.2025 року № 16</t>
  </si>
  <si>
    <t>Василь НОВАЧОК</t>
  </si>
  <si>
    <t>Заступник міського голови –
директор департаменту інфраструктури міста</t>
  </si>
  <si>
    <t>бюджету Хмельницької міської територіальної громади  на 2026 рік</t>
  </si>
  <si>
    <r>
      <t xml:space="preserve">Найменування згідно
 з </t>
    </r>
    <r>
      <rPr>
        <b/>
        <u/>
        <sz val="10"/>
        <rFont val="Times New Roman"/>
        <family val="1"/>
        <charset val="204"/>
      </rPr>
      <t>Класифікацією доходів бюджету</t>
    </r>
  </si>
  <si>
    <t>бюджету Хмельницької міської територіальної громади на 2026 рік</t>
  </si>
  <si>
    <t>видатків бюджету Хмельницької міської територіальної громади на 2026 рік</t>
  </si>
  <si>
    <t>бюджету Хмельницької міської територіальної громади у 2026 році</t>
  </si>
  <si>
    <t>МІЖБЮДЖЕТНІ ТРАНСФЕРТИ НА 2026 РІК</t>
  </si>
  <si>
    <t>Обсяги</t>
  </si>
  <si>
    <t>публічних інвестицій бюджету у розрізі інвестиційних проєктів та програм публічних інвестицій</t>
  </si>
  <si>
    <t>у 2026 році</t>
  </si>
  <si>
    <t>№ з/п</t>
  </si>
  <si>
    <t>Найменування галузі (сектору) для публічного інвестування / публічного інвестиційного проєкту / програми публічних інвестицій</t>
  </si>
  <si>
    <t>Унікальний ідентифікатор проєкту / програми</t>
  </si>
  <si>
    <t>Найменування бюджетної програми згідно з Типовою програмною класифікацією видатків та кредитування місцевого бюджету</t>
  </si>
  <si>
    <t>Найменування відповідального головного розпорядника коштів бюджету Хмельницької міської територіальної громади за галузь (сектор) / головного розпорядника коштів бюджету Хмельницької міської територіальної громади / відповідального виконавця</t>
  </si>
  <si>
    <t>Загальна вартість публічного інвестиційного проєкту / програми публічних інвестицій</t>
  </si>
  <si>
    <t>Обсяг бюджетних коштів, спрямованих на реалізацію публічного інвестиційного проєкту / програми публічних інвестицій у 2026 році</t>
  </si>
  <si>
    <t>у тому числі за рахунок:</t>
  </si>
  <si>
    <t>коштів бюджету Хмельницької міської територіальної громади</t>
  </si>
  <si>
    <t>міжбюджетних трансфертів з державного бюджету</t>
  </si>
  <si>
    <t>міжбюджетних трансфертів з інших місцевих бюджетів</t>
  </si>
  <si>
    <t>місцевих запозичень</t>
  </si>
  <si>
    <t>Період реалізації публічного інвестиційного проєкту / програми публічних інвестицій (рік початку і завершення)</t>
  </si>
  <si>
    <t>інших джерел</t>
  </si>
  <si>
    <t>1.1</t>
  </si>
  <si>
    <t>1.2</t>
  </si>
  <si>
    <t>2.1</t>
  </si>
  <si>
    <t>програм у 2026 році</t>
  </si>
  <si>
    <t>на 2026 рік</t>
  </si>
  <si>
    <t>Хмельницької міської територіальної громади у 2026 році</t>
  </si>
  <si>
    <t>Інша діяльність, пов'язана з експлуатацією об'єктів житлово-комунального господарств</t>
  </si>
  <si>
    <t>Програма "Моє укриття" на 2024-2026 роки (із змінами)</t>
  </si>
  <si>
    <t>Утримання та ефективна експлуатація об'єктів житлово-комунального господарства</t>
  </si>
  <si>
    <t>Цільова програма попередження виникнення надзвичайних ситуацій та забезпечення пожежної і техногенної безпеки об’єктів усіх форм власності, розвитку інфраструктури пожежно-рятувальних підрозділів на території Хмельницької міської територіальної громади на 2026-2030 роки</t>
  </si>
  <si>
    <t>Підготовка та реалізація публічних інвестиційних проектів / програм публічних інвестицій за рахунок коштів місцевого бюджету в галузі соціального захисту та соціального забезпечення</t>
  </si>
  <si>
    <t>1213250</t>
  </si>
  <si>
    <t>Програма економічного і соціального розвитку Хмельницької міської територіальної громади на 2026 рік</t>
  </si>
  <si>
    <t>Соціальна сфера</t>
  </si>
  <si>
    <t>Управління праці та соціального захисту населення Хмельницької міської ради</t>
  </si>
  <si>
    <t>Управління житлової політики і майна Хмельницької міської ради</t>
  </si>
  <si>
    <t>2026 рік</t>
  </si>
  <si>
    <t>Програма грантової підтримки інноваційних проєктів для підвищення обороноздатності України на 2026 - 2027 роки</t>
  </si>
  <si>
    <t>Програма розвитку підприємництва Хмельницької міської територіальної громади на 2026 - 2030 роки</t>
  </si>
  <si>
    <t>Програма підтримки Сил безпеки і оборони України на 2026 рік</t>
  </si>
  <si>
    <t xml:space="preserve">Програма «Громадські ініціативи»
Хмельницької міської територіальної громади на 2026-2030 роки </t>
  </si>
  <si>
    <t>Керівництво і управління у відповідній сфері у містах (місті Києві), селищах, селах, територіальних громадах</t>
  </si>
  <si>
    <t>Програма для забезпечення виконання судових рішень на 2026-2030 роки</t>
  </si>
  <si>
    <t>Надання пільг з оплати послуг зв'язку, інших передбачених законодавством пільг окремим категоріям громадян та компенсації за пільговий проїзд окремих категорій громадян</t>
  </si>
  <si>
    <t>Програма соціальної підтримки осіб, які захищали незалежність, суверенітет та територіальну цілісність України, а також членів їх сімей на 2026 – 2030 роки</t>
  </si>
  <si>
    <t>Програма підтримки членів сімей загиблих (померлих) ветеранів війни, членів сімей загиблих (померлих) Захисників і Захисниць України мешканців Хмельницької міської територіальної громади «Родини Героїв» на 2026 – 2030 роки</t>
  </si>
  <si>
    <t>Програма підтримки сім’ї на 2026-2030 роки</t>
  </si>
  <si>
    <t>Надання соціальних гарантій фізичним особам, які надають соціальні послуги громадянам похилого віку, особам з інвалідністю, дітям з інвалідністю, хворим, які не здатні до самообслуговування і потребують сторонньої допомоги</t>
  </si>
  <si>
    <t>Інші заклади та заходи</t>
  </si>
  <si>
    <t>Забезпечення належних умов проживання ветеранів війни (придбання житла)</t>
  </si>
  <si>
    <t>Організація благоустрою населених пунктівв</t>
  </si>
  <si>
    <t>Програма підтримки і розвитку Хмельницького комунального підприємства «Міськсвітло» на 2023-2027 роки (із змінами)</t>
  </si>
  <si>
    <t xml:space="preserve">Цільова програма попередження виникнення надзвичайних ситуацій та забезпечення  пожежної і техногенної безпеки об'єктів усіх форм власності, розвитку інфраструктури пожежно-рятувальних підрозділів на території Хмельницької міської територіальної громади на 2026-2030 роки </t>
  </si>
  <si>
    <t>1617330</t>
  </si>
  <si>
    <t>Підготовка та реалізація публічних інвестиційних проектів / програм публічних інвестицій за рахунок коштів місцевого бюджету в інших секторах економічної діяльності</t>
  </si>
  <si>
    <t>Муніципальна інфраструктура та послуги</t>
  </si>
  <si>
    <t>Управління комунальної інфраструктури Хмельницької міської ради</t>
  </si>
  <si>
    <t>Управління архітектури та містобудування  Хмельницької міської ради</t>
  </si>
  <si>
    <t>Підготовка та реалізація публічних інвестиційних проектів / програм публічних інвестицій за рахунок коштів місцевого бюджету в галузі житлово- комунального господарства</t>
  </si>
  <si>
    <t>Транспорт</t>
  </si>
  <si>
    <t>Управління транспорту та зв'язку Хмельницької міської ради</t>
  </si>
  <si>
    <t>Підготовка та реалізація публічних інвестиційних проектів / програм публічних інвестицій за рахунок коштів місцевого бюджету в галузі дорожнього господарства</t>
  </si>
  <si>
    <t>1417480</t>
  </si>
  <si>
    <t>7480</t>
  </si>
  <si>
    <t>2026 - 2027 роки</t>
  </si>
  <si>
    <t>Управління капітального будівництва  Хмельницької міської ради</t>
  </si>
  <si>
    <t>Реконструкція під’їзної дороги від вул. Вінницьке шосе до вул. Вінницьке шосе, 18 (індустріальний парк) в м. Хмельницькому</t>
  </si>
  <si>
    <t>Підготовка та реалізація публічних інвестиційних проектів / програм публічних інвестицій за рахунок коштів місцевого бюджету в галузі освіти</t>
  </si>
  <si>
    <t>Цільова програма попередження виникнення надзвичайних ситуацій та забезпечення  пожежної і техногенної безпеки об'єктів усіх форм власності, розвитку інфраструктури пожежно-рятувальних підрозділів на території Хмельницької міської територіальної громади на 2026-2030 роки</t>
  </si>
  <si>
    <t>Освіта і наука</t>
  </si>
  <si>
    <t>Департамент освіти та науки Хмельницької міської ради</t>
  </si>
  <si>
    <t>2025 - 2027 роки</t>
  </si>
  <si>
    <t>Громадська безпека</t>
  </si>
  <si>
    <t>Підготовка та реалізація публічних інвестиційних проектів / програм публічних інвестицій за рахунок коштів місцевого бюджету в галузі культури і мистецтва</t>
  </si>
  <si>
    <t>1514083</t>
  </si>
  <si>
    <t>4083</t>
  </si>
  <si>
    <t>Культура та інформація</t>
  </si>
  <si>
    <t>2025 - 2028 роки</t>
  </si>
  <si>
    <t>1515070</t>
  </si>
  <si>
    <t>Підготовка та реалізація публічних інвестиційних проектів / програм публічних інвестицій за рахунок коштів місцевого бюджету в галузі фізичної культури і спорту</t>
  </si>
  <si>
    <t>Фізична культура і спорт</t>
  </si>
  <si>
    <t>Управління культури і туризму Хмельницької міської ради</t>
  </si>
  <si>
    <t>Управління молоді та спорту Хмельницької міської ради</t>
  </si>
  <si>
    <t>2025 - 2026 роки</t>
  </si>
  <si>
    <t>1513240</t>
  </si>
  <si>
    <t>1513245</t>
  </si>
  <si>
    <t>2024 - 2028 роки</t>
  </si>
  <si>
    <t>2024 - 2027 роки</t>
  </si>
  <si>
    <t>2026 - 2028 роки</t>
  </si>
  <si>
    <t>1516000</t>
  </si>
  <si>
    <t>1516091</t>
  </si>
  <si>
    <t>Програма заходів національного спротиву Хмельницької міської територіальної громади на 2026 рік</t>
  </si>
  <si>
    <t>Програма розвитку  електротранспорту Хмельницької міської територіальної громади  на 2026 - 2030 роки</t>
  </si>
  <si>
    <t>1917300</t>
  </si>
  <si>
    <t>1917330</t>
  </si>
  <si>
    <t>2023 - 2026 роки</t>
  </si>
  <si>
    <t>Програма цифрового розвитку на 2021-2026 роки (із змінами)</t>
  </si>
  <si>
    <t>Програма охорони довкілля Хмельницької міської територіальної громади на 2026-2030 роки</t>
  </si>
  <si>
    <t xml:space="preserve">	Охорона навколишнього природного середовища</t>
  </si>
  <si>
    <t xml:space="preserve">Надання кредитів підприємствам, установам, організаціям </t>
  </si>
  <si>
    <t>Медіа (засоби масової інформації)</t>
  </si>
  <si>
    <t>Надходження коштів за надлишки загальної житлової площі при приватизації державного житлового фонду</t>
  </si>
  <si>
    <t>Надходження коштів за тимчасове користування місцями для розміщення зовнішньої реклами</t>
  </si>
  <si>
    <t>Надходження коштів від забудовників, які без відповідного дозволу здійснили або здійснюють роботи по будівництву, реконструкції, реставрації, капітальному ремонту об'єкту містобудування</t>
  </si>
  <si>
    <t>Надходження коштів участі замовників у створенні і розвитку інженерно-транспортної та соціальної інфраструктури Хмельницької міської територіальної громади</t>
  </si>
  <si>
    <t>Вільний залишок коштів на 01.01.2026 року:</t>
  </si>
  <si>
    <t>Програма фінансової підтримки комунальної установи Хмельницької міської ради «Агенція розвитку Хмельницького» на 2026 рік</t>
  </si>
  <si>
    <t>Програма соціальної підтримки осіб, які захищали незалежність, суверенітет та територіальну цілісність України, а також членів їх сімей на 2025 – 2030 роки</t>
  </si>
  <si>
    <t>Програма підготовки мешканців Хмельницької міської територіальної  громади до національного спротиву на 2026-2027 роки</t>
  </si>
  <si>
    <t>Програма міжнародного співробітництва та промоції Хмельницької міської територіальної громади на 2026-2030 роки</t>
  </si>
  <si>
    <t>Програма забезпечення охорони прав і свобод людини, профілактики злочинності та підтримання публічної безпеки і порядку на території Хмельницької міської територіальної громади на 2026 – 2030 роки</t>
  </si>
  <si>
    <t>Програма організаційно-практичних заходів щодо підтримки державної установи «Хмельницький слідчий ізолятор» на 2026 – 2027 роки</t>
  </si>
  <si>
    <t>Надання загальної середньої освіти спеціалізованими закладами загальної середньої освіти за рахунок коштів місцевого бюджету</t>
  </si>
  <si>
    <r>
      <t xml:space="preserve">1 </t>
    </r>
    <r>
      <rPr>
        <sz val="20"/>
        <rFont val="Times New Roman"/>
        <family val="1"/>
        <charset val="204"/>
      </rPr>
      <t>Підготовка та реалізація публічних інвестиційних проектів / програм публічних інвестицій у відповідній галузі за рахунок коштів державного бюджету та місцевих бюджетів за умови співфінансування.</t>
    </r>
  </si>
  <si>
    <r>
      <t xml:space="preserve">1 </t>
    </r>
    <r>
      <rPr>
        <sz val="10"/>
        <rFont val="Times New Roman"/>
        <family val="1"/>
        <charset val="204"/>
      </rPr>
      <t>Підготовка та реалізація публічних інвестиційних проектів / програм публічних інвестицій у відповідній галузі за рахунок коштів державного бюджету та місцевих бюджетів за умови співфінансування.</t>
    </r>
  </si>
  <si>
    <t>2023 - 2027 роки</t>
  </si>
  <si>
    <t>0613242</t>
  </si>
  <si>
    <t>Надання спеціалізованої освіти мистецькими школамии</t>
  </si>
  <si>
    <t>Програма підтримки книговидання та читацької культури у Хмельницькій міській територіальній громаді на 2026-2030 роки «#ЩодняЧитай українське»</t>
  </si>
  <si>
    <t>Надання пільгових довгострокових кредитів молодим сім'ям та одиноким молодим громадянам на будівництво/реконструкцію/придбання житла</t>
  </si>
  <si>
    <t>Витрати, пов'язані з наданням та обслуговуванням пільгових довгострокових кредитів, наданих громадянам на будівництво/реконструкцію/придбання житла</t>
  </si>
  <si>
    <t>Підготовка та реалізація публічних інвестиційних проектів / програм публічних інвестицій за рахунок коштів місцевого бюджету в галузі охорони здоров’я</t>
  </si>
  <si>
    <t>Управління охорони здоров'я Хмельницької міської ради</t>
  </si>
  <si>
    <t>1.3</t>
  </si>
  <si>
    <t>2.2</t>
  </si>
  <si>
    <t>2.3</t>
  </si>
  <si>
    <t>2.4</t>
  </si>
  <si>
    <t>2.5</t>
  </si>
  <si>
    <t>3.1</t>
  </si>
  <si>
    <t>4.1</t>
  </si>
  <si>
    <t>4.2</t>
  </si>
  <si>
    <t>4.3</t>
  </si>
  <si>
    <t>4.4</t>
  </si>
  <si>
    <t>4.5</t>
  </si>
  <si>
    <t>4.6</t>
  </si>
  <si>
    <t>5.1</t>
  </si>
  <si>
    <t>6.1</t>
  </si>
  <si>
    <t>6.2</t>
  </si>
  <si>
    <t>6.3</t>
  </si>
  <si>
    <t>6.4</t>
  </si>
  <si>
    <t>6.5</t>
  </si>
  <si>
    <t>6.6</t>
  </si>
  <si>
    <t>7.1</t>
  </si>
  <si>
    <t>7.2</t>
  </si>
  <si>
    <t>7.3</t>
  </si>
  <si>
    <t>8.1</t>
  </si>
  <si>
    <t>8.2</t>
  </si>
  <si>
    <t>8.3</t>
  </si>
  <si>
    <t>9.1</t>
  </si>
  <si>
    <t>9.2</t>
  </si>
  <si>
    <t>Програма розвитку Хмельницької міської територіальної громади у сфері культури і туризму "Культурний вектор Хмельницької громади" на 2026-2030 роки</t>
  </si>
  <si>
    <t>Капітальний ремонт покрівлі та утеплення фасаду будівлі Хмельницького закладу дошкільної освіти № 18 «Зірочка» Хмельницької міської ради Хмельницької області по вул. Кам'янецька, 65/1, в м. Хмельницький, з метою виконання заходів з енергозбереження та підготовки до опалювального сезону</t>
  </si>
  <si>
    <t>Нове будівництво споруди цивільного захисту для Хмельницького закладу дошкільної освіти № 15 "Червона шапочка" Хмельницької міської ради Хмельницької області на вул. М. Трембовецької, 23 м. Хмельницький (коригування)</t>
  </si>
  <si>
    <t>Реконструкція існуючих газових мереж з заміною ВОГ теплогенераторної Череповецької філії Іванковецького ліцею Хмельницької міської ради по вул. Центральна, 36 в с. Черепова Хмельницької області</t>
  </si>
  <si>
    <t>Нове будівництво багатоквартирних житлових будинків для внутрішньо переміщених осіб на вул. Озерна, 6/2-Г в м. Хмельницькому (облаштування споруди подвійного призначення із захисними властивостями протирадіаційного укриття в секції В) (коригування)</t>
  </si>
  <si>
    <t>Нове будівництво станції очищення господарсько побутових стічних вод продуктивністю ВІО-ЗІ-150 м3/добу в селищі Богданівці Хмельницького району Хмельницької області</t>
  </si>
  <si>
    <t>Капітальний ремонт системи водовідведення (каналізація) селища Богданівці Хмельницького району, Хмельницької області</t>
  </si>
  <si>
    <t>Нове будівництво мереж водопостачання та водовідведення для мікрорайону "Заріччя" в м. Хмельницькому</t>
  </si>
  <si>
    <t>Програма національно – патріотичного виховання мешканців Хмельницької міської територіальної громади на 2025-2026 роки (із змінами)</t>
  </si>
  <si>
    <t>Нове будівництво мереж дощової каналізації у мікрорайоні "Заріччя" в м. Хмельницькому</t>
  </si>
  <si>
    <t>Нове будівництво мереж теплопостачання для мікрорайону "Заріччя" в м. Хмельницькому</t>
  </si>
  <si>
    <t>Нове будівництво житлових вулиць для мікрорайону "Заріччя" в м. Хмельницькому</t>
  </si>
  <si>
    <t>Капітальний ремонт вул. Старокостянтинівське шосе - улаштування закритих водостоків з підключенням до діючих мереж дощової каналізації в м. Хмельницький</t>
  </si>
  <si>
    <t>Реконструкція частини будівлі головного корпусу ДЕПО на 100 машин (літ.А-2, літ.Б) Хмельницького комунального підприємства «Електротранс» за адресою: вул. Тернопільська, 15/2 у м. Хмельницькому"(ІІ пусковий)</t>
  </si>
  <si>
    <t xml:space="preserve">Реконструкція з добудовою їдальні до існуючого приміщення СЗОШ І-ІІІ ступенів № 8 за адресою вул. Якова Гальчевського, 34 в м.Хмельницькому </t>
  </si>
  <si>
    <t>Капітальний ремонт (з дотриманням вимог по енергозбереженню) конструкції покрівлі головного корпусу комунального підприємства "Хмельницький міський перинатальний центр" Хмельницької міської ради по вул. Пулюя Івана, 6 в м. Хмельницький</t>
  </si>
  <si>
    <t xml:space="preserve">Реставрація Хмельницького міського будинку культури по вул. Проскурівській, 43 в м.Хмельницькому (коригування) </t>
  </si>
  <si>
    <t>Забезпечення житлом багатодітних прийомних сімей (дитячих будинків сімейного типу) в Хмельницькій територіальній громаді</t>
  </si>
  <si>
    <t>Нове будівництво індивідуального житлового будинку садибного типу для ДБСТ на  вул.Стельмаха (кадастровий номер земельної ділянки
№ 6810100000:21:003:0050) в  м. Хмельницькому</t>
  </si>
  <si>
    <t>Капітальний ремонт приміщень будівлі лікувально-оздоровчого комплексу «Г-2» Позаміського дитячого закладу оздоровлення та відпочинку «Чайка» Хмельницької міської ради за адресою: Хмельницька область, Хмельницький район, с. Головчинці, вул. Підлісна, 4/1, із впровадженням заходів з енергоефективності</t>
  </si>
  <si>
    <t>Реконструкція будівлі клубу-їдальні Позаміського дитячого закладу оздоровлення та відпочинку «Чайка» Хмельницької міської ради за адресою: Хмельницька область, Хмельницький район, с. Головчинці, вул. Підлісна, 4/1 з впровадженням заходів з енергоефективності (коригування)</t>
  </si>
  <si>
    <t>Будівництво Палацу спорту по вул. Прибузькій, 5/1а у м. Хмельницькому (коригування)</t>
  </si>
  <si>
    <t>Нове будівництво вулиці Гетьманської у м.Хмельницькому</t>
  </si>
  <si>
    <t>Нове будівництво зовнішніх мереж  водопостачання та каналізації індустріального парку  "Хмельницький" по вул. Вінницьке шосе, 18 в м.Хмельницькому (коригування)</t>
  </si>
  <si>
    <t>Нове будівництво зовнішніх мереж  електропостачання індустріального парку  "Хмельницький" по  вул.Вінницьке шосе, 18 в м.Хмельницькому (коригування)</t>
  </si>
  <si>
    <t>Реконструкція будівлі спеціалізованої загальноосвітньої школи І-ІІІ ступенів № 7 міста Хмельницького для улаштування споруди цивільного захисту на вул. Заводська, 33 в м. Хмельницькому</t>
  </si>
  <si>
    <t>DREAM-UA-101225-229FE201</t>
  </si>
  <si>
    <t>DREAM-UA-101225-03F93883</t>
  </si>
  <si>
    <t>Реконструкція відділення фізичної реабілітації та неврології комунального підприємства "Хмельницька міська дитяча лікарня" Хмельницької міської ради за адресою: м. Хмельницький, вул.Олега Ольжича,1</t>
  </si>
  <si>
    <t>Капітальний ремонт відділення анестезії та інтенсивної терапії комунального підприємства "Хмельницька інфекційна лікарня" Хмельницької міської ради за адресою: м. Хмельницький, вул. Г. Сковороди, 17</t>
  </si>
  <si>
    <t>Капітальний ремонт (опоряджувалльні роботи) частини приміщень, відділення сумісного перебування матері та дитини (з організацією сімейних полових блоків)  комунального підприємства "Хмельницький міський перинатальний центр" Хмельницької міської ради по вул. Пулюя Івана, 6 в м. Хмельницький</t>
  </si>
  <si>
    <t>Капітальний ремонт другого поверху травматологічного відділення та першого поверху травматологічного пункту та рентгенкабінетів  з облаштуванням центрального входу  корпусу №1 Комунального підприємства «Хмельницька міська лікарня» Хмельницької міської ради за адресою: м. Хмельницький, пров. Проскурівський 1</t>
  </si>
  <si>
    <t>Формування концепції інтегрованого розвитку території Хмельницької міської територіальної громади</t>
  </si>
  <si>
    <t>DREAM-UA-011225-56183114</t>
  </si>
  <si>
    <t>DREAM-UA-031225-0402Е2С8</t>
  </si>
  <si>
    <t>DREAM-UA-261125-4С35В78А</t>
  </si>
  <si>
    <t>DREAM-UA-051225-56С41DC8</t>
  </si>
  <si>
    <t>DREAM-UA-091225-1F7CD293</t>
  </si>
  <si>
    <t>DREAM-UA-051225-25E3F2D2</t>
  </si>
  <si>
    <t>DREAM-UA-101225-38А1DDE0</t>
  </si>
  <si>
    <t>DREAM-UA-061225-197BB4BB</t>
  </si>
  <si>
    <t>DREAM-UA-101225-FAC6C7AA</t>
  </si>
  <si>
    <t>DREAM-UA-241125-В0А44741</t>
  </si>
  <si>
    <t>DREAM-UA-041225-60ВА461В</t>
  </si>
  <si>
    <t>DREAM-UA-051225-С74Е469В</t>
  </si>
  <si>
    <t>DREAM-UA-281124-D309CE5F</t>
  </si>
  <si>
    <t>DREAM-UA-101225-450540D4</t>
  </si>
  <si>
    <t>DREAM-UA-091225-86280АF3</t>
  </si>
  <si>
    <t>DREAM-UA-121225-5C87D9D9</t>
  </si>
  <si>
    <t>DREAM-UA-111225-2E6F492C</t>
  </si>
  <si>
    <t>DREAM-UA-061225-ВА70D8D2</t>
  </si>
  <si>
    <t>DREAM-UA-091225-4DC00B6A</t>
  </si>
  <si>
    <t>DREAM-UA-051225-99934103</t>
  </si>
  <si>
    <t>DREAM-UA-281125-8022DCDD</t>
  </si>
  <si>
    <t>DREAM-UA-011225-8E8D5B4F</t>
  </si>
  <si>
    <t>DREAM-UA-091225-1E84FCD6</t>
  </si>
  <si>
    <t>DREAM-UA-211125-АВ6455В1</t>
  </si>
  <si>
    <t>DREAM-UA-151225-7EFE223B</t>
  </si>
  <si>
    <t>DREAM-UA-051225-3C1F1AA4</t>
  </si>
  <si>
    <t>DREAM-UA-151225-DE7D558C</t>
  </si>
  <si>
    <t>DREAM-UA-151225-D56A3F45</t>
  </si>
  <si>
    <t>DREAM-UA-091225-1АВ779ЕС</t>
  </si>
  <si>
    <t>Комплексне дослідження, розроблення рекомендацій з ревіталізації малих річок (річка Плоска в межах громади)</t>
  </si>
  <si>
    <t>Розроблення схеми екологічної мережі території громади</t>
  </si>
  <si>
    <t>Моніторингові дослідження</t>
  </si>
  <si>
    <t xml:space="preserve">Організація і здійснення робіт з екологічної освіти, підготовки кадрів, підвищення кваліфікації та обміну досвідом роботи </t>
  </si>
  <si>
    <t>Проведення  науково-технічних  конференцій  і  семінарів, організація виставок,  фестивалів та інших заходів щодо пропаганди охорони навколишнього природного середовища, видання поліграфічної продукції з екологічної тематики тощо</t>
  </si>
  <si>
    <t>Виготовлення та розміщення інформаційних листівок, екологічної реклами, відеороликів тощо на тему: «Розумне поводження з відходами»</t>
  </si>
  <si>
    <t xml:space="preserve">Заходи щодо відновлення і підтримання сприятливого гідрологічного режиму та санітарного стану річок (виготовлення проектів землеустрою  щодо встановлення меж прибережних захисних смуг поверхневих водних об’єктів </t>
  </si>
  <si>
    <t>Розроблення документації із землеустрою для територій та об’єктів природно-заповідного фонду.
Витрати на резервування територій для заповідання</t>
  </si>
  <si>
    <t>Ліквідація стихійних сміттєзвалищ</t>
  </si>
  <si>
    <t>Проведення робіт, пов’язаних з поліпшенням технічного  стану та благоустрою водойм на території територіальної громади</t>
  </si>
  <si>
    <t>Нерозподілені видатки</t>
  </si>
  <si>
    <t>6.7</t>
  </si>
  <si>
    <t>до рішення №  1739
 від  16.12.2025 року</t>
  </si>
  <si>
    <t xml:space="preserve">
 від  16.12.2025 року</t>
  </si>
  <si>
    <t xml:space="preserve">до рішення  № 1739  від 16.12. 2025 року </t>
  </si>
  <si>
    <t>Додаток 4
до рішення  № 1739 від 16.12. 2025 року</t>
  </si>
  <si>
    <t>до рішення №  1739    
від 16.12. 2025 року</t>
  </si>
  <si>
    <t>до рішення № 1739 від 16.12.2025</t>
  </si>
  <si>
    <t xml:space="preserve">Додаток 6
до рішення № 1739  від 16.12.2025 року
</t>
  </si>
  <si>
    <t xml:space="preserve">  до рішення №  1739</t>
  </si>
  <si>
    <t xml:space="preserve"> від  16.12.2025 року</t>
  </si>
  <si>
    <t xml:space="preserve">до рішення № 1739      </t>
  </si>
  <si>
    <t>від  16.12.2025 року</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</si>
</sst>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3" formatCode="_-* #,##0.00\ _₴_-;\-* #,##0.00\ _₴_-;_-* &quot;-&quot;??\ _₴_-;_-@_-"/>
    <numFmt numFmtId="164" formatCode="_-* #,##0.00_₴_-;\-* #,##0.00_₴_-;_-* &quot;-&quot;??_₴_-;_-@_-"/>
    <numFmt numFmtId="165" formatCode="#,##0.0"/>
    <numFmt numFmtId="166" formatCode="0.0"/>
    <numFmt numFmtId="167" formatCode="#,##0.00000"/>
    <numFmt numFmtId="168" formatCode="_-* #,##0.00_₴_-;\-* #,##0.00_₴_-;_-* \-??_₴_-;_-@_-"/>
  </numFmts>
  <fonts count="205" x14ac:knownFonts="1">
    <font>
      <sz val="10"/>
      <name val="Arial Cyr"/>
      <charset val="204"/>
    </font>
    <font>
      <sz val="10"/>
      <color theme="1"/>
      <name val="Calibri"/>
      <family val="2"/>
      <charset val="204"/>
      <scheme val="minor"/>
    </font>
    <font>
      <sz val="10"/>
      <color theme="1"/>
      <name val="Calibri"/>
      <family val="2"/>
      <charset val="204"/>
      <scheme val="minor"/>
    </font>
    <font>
      <sz val="10"/>
      <color theme="1"/>
      <name val="Calibri"/>
      <family val="2"/>
      <charset val="204"/>
      <scheme val="minor"/>
    </font>
    <font>
      <sz val="10"/>
      <color theme="1"/>
      <name val="Calibri"/>
      <family val="2"/>
      <charset val="204"/>
      <scheme val="minor"/>
    </font>
    <font>
      <sz val="10"/>
      <color theme="1"/>
      <name val="Calibri"/>
      <family val="2"/>
      <charset val="204"/>
      <scheme val="minor"/>
    </font>
    <font>
      <sz val="10"/>
      <color theme="1"/>
      <name val="Calibri"/>
      <family val="2"/>
      <charset val="204"/>
      <scheme val="minor"/>
    </font>
    <font>
      <sz val="10"/>
      <color theme="1"/>
      <name val="Calibri"/>
      <family val="2"/>
      <charset val="204"/>
      <scheme val="minor"/>
    </font>
    <font>
      <sz val="10"/>
      <color theme="1"/>
      <name val="Calibri"/>
      <family val="2"/>
      <charset val="204"/>
      <scheme val="minor"/>
    </font>
    <font>
      <sz val="10"/>
      <color theme="1"/>
      <name val="Calibri"/>
      <family val="2"/>
      <charset val="204"/>
      <scheme val="minor"/>
    </font>
    <font>
      <sz val="10"/>
      <name val="Arial Cyr"/>
      <charset val="204"/>
    </font>
    <font>
      <sz val="10"/>
      <name val="MS Sans Serif"/>
      <family val="2"/>
      <charset val="204"/>
    </font>
    <font>
      <sz val="10"/>
      <name val="Times New Roman"/>
      <family val="1"/>
      <charset val="204"/>
    </font>
    <font>
      <sz val="10"/>
      <name val="Times New Roman Cyr"/>
      <family val="1"/>
      <charset val="204"/>
    </font>
    <font>
      <b/>
      <sz val="10"/>
      <name val="Times New Roman Cyr"/>
      <family val="1"/>
      <charset val="204"/>
    </font>
    <font>
      <b/>
      <sz val="10"/>
      <name val="Arial Cyr"/>
      <charset val="204"/>
    </font>
    <font>
      <sz val="12"/>
      <name val="Times New Roman"/>
      <family val="1"/>
      <charset val="204"/>
    </font>
    <font>
      <sz val="11"/>
      <color indexed="62"/>
      <name val="Calibri"/>
      <family val="2"/>
      <charset val="204"/>
    </font>
    <font>
      <b/>
      <sz val="15"/>
      <color indexed="56"/>
      <name val="Calibri"/>
      <family val="2"/>
      <charset val="204"/>
    </font>
    <font>
      <b/>
      <sz val="13"/>
      <color indexed="56"/>
      <name val="Calibri"/>
      <family val="2"/>
      <charset val="204"/>
    </font>
    <font>
      <b/>
      <sz val="11"/>
      <color indexed="56"/>
      <name val="Calibri"/>
      <family val="2"/>
      <charset val="204"/>
    </font>
    <font>
      <b/>
      <sz val="11"/>
      <color indexed="9"/>
      <name val="Calibri"/>
      <family val="2"/>
      <charset val="204"/>
    </font>
    <font>
      <b/>
      <sz val="18"/>
      <color indexed="56"/>
      <name val="Cambria"/>
      <family val="2"/>
      <charset val="204"/>
    </font>
    <font>
      <sz val="11"/>
      <color indexed="52"/>
      <name val="Calibri"/>
      <family val="2"/>
      <charset val="204"/>
    </font>
    <font>
      <sz val="11"/>
      <color indexed="10"/>
      <name val="Calibri"/>
      <family val="2"/>
      <charset val="204"/>
    </font>
    <font>
      <sz val="11"/>
      <color indexed="17"/>
      <name val="Calibri"/>
      <family val="2"/>
      <charset val="204"/>
    </font>
    <font>
      <sz val="10"/>
      <name val="Helv"/>
      <charset val="204"/>
    </font>
    <font>
      <sz val="10"/>
      <name val="Courier New"/>
      <family val="3"/>
      <charset val="204"/>
    </font>
    <font>
      <sz val="11"/>
      <color indexed="19"/>
      <name val="Calibri"/>
      <family val="2"/>
      <charset val="204"/>
    </font>
    <font>
      <b/>
      <sz val="36"/>
      <name val="Times New Roman"/>
      <family val="1"/>
      <charset val="204"/>
    </font>
    <font>
      <sz val="36"/>
      <name val="Times New Roman"/>
      <family val="1"/>
      <charset val="204"/>
    </font>
    <font>
      <b/>
      <sz val="37"/>
      <name val="Times New Roman"/>
      <family val="1"/>
      <charset val="204"/>
    </font>
    <font>
      <sz val="37"/>
      <name val="Times New Roman"/>
      <family val="1"/>
      <charset val="204"/>
    </font>
    <font>
      <sz val="36"/>
      <name val="Arial Cyr"/>
      <charset val="204"/>
    </font>
    <font>
      <sz val="10"/>
      <color indexed="8"/>
      <name val="Arial"/>
      <family val="2"/>
      <charset val="204"/>
    </font>
    <font>
      <sz val="10"/>
      <name val="Arial Cyr"/>
      <charset val="204"/>
    </font>
    <font>
      <i/>
      <sz val="10"/>
      <name val="Arial Cyr"/>
      <charset val="204"/>
    </font>
    <font>
      <b/>
      <sz val="36"/>
      <name val="Times New Roman Cyr"/>
      <family val="1"/>
      <charset val="204"/>
    </font>
    <font>
      <sz val="10"/>
      <name val="Arial"/>
      <family val="2"/>
      <charset val="204"/>
    </font>
    <font>
      <sz val="28"/>
      <name val="Arial Cyr"/>
      <charset val="204"/>
    </font>
    <font>
      <u/>
      <sz val="10"/>
      <color indexed="12"/>
      <name val="Arial Cyr"/>
      <charset val="204"/>
    </font>
    <font>
      <sz val="11"/>
      <color indexed="8"/>
      <name val="Calibri"/>
      <family val="2"/>
      <charset val="204"/>
    </font>
    <font>
      <sz val="11"/>
      <color indexed="9"/>
      <name val="Calibri"/>
      <family val="2"/>
      <charset val="204"/>
    </font>
    <font>
      <b/>
      <sz val="11"/>
      <color indexed="63"/>
      <name val="Calibri"/>
      <family val="2"/>
      <charset val="204"/>
    </font>
    <font>
      <b/>
      <sz val="11"/>
      <color indexed="52"/>
      <name val="Calibri"/>
      <family val="2"/>
      <charset val="204"/>
    </font>
    <font>
      <b/>
      <sz val="11"/>
      <color indexed="8"/>
      <name val="Calibri"/>
      <family val="2"/>
      <charset val="204"/>
    </font>
    <font>
      <sz val="11"/>
      <color indexed="60"/>
      <name val="Calibri"/>
      <family val="2"/>
      <charset val="204"/>
    </font>
    <font>
      <sz val="11"/>
      <color indexed="20"/>
      <name val="Calibri"/>
      <family val="2"/>
      <charset val="204"/>
    </font>
    <font>
      <i/>
      <sz val="11"/>
      <color indexed="23"/>
      <name val="Calibri"/>
      <family val="2"/>
      <charset val="204"/>
    </font>
    <font>
      <b/>
      <sz val="48"/>
      <name val="Times New Roman Cyr"/>
      <family val="1"/>
      <charset val="204"/>
    </font>
    <font>
      <vertAlign val="superscript"/>
      <sz val="20"/>
      <name val="Times New Roman"/>
      <family val="1"/>
      <charset val="204"/>
    </font>
    <font>
      <sz val="20"/>
      <name val="Arial Cyr"/>
      <charset val="204"/>
    </font>
    <font>
      <sz val="10"/>
      <name val="Arial Cyr"/>
      <family val="2"/>
      <charset val="204"/>
    </font>
    <font>
      <sz val="36"/>
      <name val="Times New Roman Cyr"/>
      <family val="1"/>
      <charset val="204"/>
    </font>
    <font>
      <sz val="50"/>
      <name val="Arial Cyr"/>
      <charset val="204"/>
    </font>
    <font>
      <sz val="11"/>
      <color theme="1"/>
      <name val="Calibri"/>
      <family val="2"/>
      <scheme val="minor"/>
    </font>
    <font>
      <sz val="28"/>
      <name val="Times New Roman Cyr"/>
      <family val="1"/>
      <charset val="204"/>
    </font>
    <font>
      <b/>
      <sz val="36"/>
      <color rgb="FFFF0000"/>
      <name val="Times New Roman"/>
      <family val="1"/>
      <charset val="204"/>
    </font>
    <font>
      <sz val="10"/>
      <color rgb="FFFF0000"/>
      <name val="Arial Cyr"/>
      <charset val="204"/>
    </font>
    <font>
      <b/>
      <sz val="10"/>
      <color rgb="FFFF0000"/>
      <name val="Arial Cyr"/>
      <charset val="204"/>
    </font>
    <font>
      <b/>
      <i/>
      <sz val="36"/>
      <color rgb="FFFF0000"/>
      <name val="Times New Roman"/>
      <family val="1"/>
      <charset val="204"/>
    </font>
    <font>
      <sz val="36"/>
      <color rgb="FFFF0000"/>
      <name val="Times New Roman"/>
      <family val="1"/>
      <charset val="204"/>
    </font>
    <font>
      <sz val="37"/>
      <color rgb="FFFF0000"/>
      <name val="Times New Roman"/>
      <family val="1"/>
      <charset val="204"/>
    </font>
    <font>
      <b/>
      <sz val="12.5"/>
      <color rgb="FFFF0000"/>
      <name val="Times New Roman"/>
      <family val="1"/>
      <charset val="204"/>
    </font>
    <font>
      <sz val="11"/>
      <color rgb="FFFF0000"/>
      <name val="Times New Roman"/>
      <family val="1"/>
      <charset val="204"/>
    </font>
    <font>
      <b/>
      <sz val="37"/>
      <color rgb="FFFF0000"/>
      <name val="Times New Roman"/>
      <family val="1"/>
      <charset val="204"/>
    </font>
    <font>
      <b/>
      <i/>
      <sz val="36"/>
      <name val="Times New Roman"/>
      <family val="1"/>
      <charset val="204"/>
    </font>
    <font>
      <i/>
      <sz val="10"/>
      <color rgb="FFFF0000"/>
      <name val="Arial Cyr"/>
      <charset val="204"/>
    </font>
    <font>
      <sz val="36"/>
      <color rgb="FFFF0000"/>
      <name val="Arial Cyr"/>
      <charset val="204"/>
    </font>
    <font>
      <b/>
      <sz val="36"/>
      <color rgb="FFFF0000"/>
      <name val="Arial Cyr"/>
      <charset val="204"/>
    </font>
    <font>
      <b/>
      <sz val="48"/>
      <color rgb="FFFF0000"/>
      <name val="Times New Roman Cyr"/>
      <family val="1"/>
      <charset val="204"/>
    </font>
    <font>
      <b/>
      <sz val="36"/>
      <color theme="1"/>
      <name val="Times New Roman"/>
      <family val="1"/>
      <charset val="204"/>
    </font>
    <font>
      <sz val="10"/>
      <color rgb="FFFF0000"/>
      <name val="Times New Roman"/>
      <family val="1"/>
      <charset val="204"/>
    </font>
    <font>
      <sz val="10"/>
      <color rgb="FFFF0000"/>
      <name val="Times New Roman CYR"/>
      <charset val="204"/>
    </font>
    <font>
      <b/>
      <sz val="14"/>
      <color rgb="FFFF0000"/>
      <name val="Times New Roman CYR"/>
      <charset val="204"/>
    </font>
    <font>
      <sz val="10"/>
      <color rgb="FFFF0000"/>
      <name val="Arial"/>
      <family val="2"/>
      <charset val="204"/>
    </font>
    <font>
      <b/>
      <sz val="14"/>
      <color rgb="FFFF0000"/>
      <name val="Times New Roman"/>
      <family val="1"/>
      <charset val="204"/>
    </font>
    <font>
      <b/>
      <i/>
      <sz val="37"/>
      <color rgb="FFFF0000"/>
      <name val="Times New Roman"/>
      <family val="1"/>
      <charset val="204"/>
    </font>
    <font>
      <sz val="36"/>
      <color theme="1"/>
      <name val="Times New Roman"/>
      <family val="1"/>
      <charset val="204"/>
    </font>
    <font>
      <b/>
      <i/>
      <sz val="37"/>
      <name val="Times New Roman"/>
      <family val="1"/>
      <charset val="204"/>
    </font>
    <font>
      <b/>
      <sz val="37"/>
      <color theme="1"/>
      <name val="Times New Roman"/>
      <family val="1"/>
      <charset val="204"/>
    </font>
    <font>
      <sz val="10"/>
      <color rgb="FFFF0000"/>
      <name val="Times New Roman Cyr"/>
      <family val="1"/>
      <charset val="204"/>
    </font>
    <font>
      <sz val="48"/>
      <name val="Times New Roman Cyr"/>
      <family val="1"/>
      <charset val="204"/>
    </font>
    <font>
      <i/>
      <sz val="37"/>
      <name val="Times New Roman"/>
      <family val="1"/>
      <charset val="204"/>
    </font>
    <font>
      <b/>
      <i/>
      <sz val="10"/>
      <name val="Arial Cyr"/>
      <charset val="204"/>
    </font>
    <font>
      <b/>
      <i/>
      <sz val="36"/>
      <color rgb="FFFF0000"/>
      <name val="Arial Cyr"/>
      <charset val="204"/>
    </font>
    <font>
      <i/>
      <sz val="36"/>
      <color rgb="FFFF0000"/>
      <name val="Times New Roman"/>
      <family val="1"/>
      <charset val="204"/>
    </font>
    <font>
      <sz val="11"/>
      <color theme="1"/>
      <name val="Calibri"/>
      <family val="2"/>
      <charset val="204"/>
      <scheme val="minor"/>
    </font>
    <font>
      <b/>
      <sz val="18"/>
      <color indexed="62"/>
      <name val="Cambria"/>
      <family val="2"/>
      <charset val="204"/>
    </font>
    <font>
      <sz val="10"/>
      <color rgb="FF00FFCC"/>
      <name val="Arial Cyr"/>
      <charset val="204"/>
    </font>
    <font>
      <b/>
      <sz val="48"/>
      <color rgb="FF00FFCC"/>
      <name val="Times New Roman Cyr"/>
      <family val="1"/>
      <charset val="204"/>
    </font>
    <font>
      <sz val="36"/>
      <color rgb="FF00FFCC"/>
      <name val="Times New Roman"/>
      <family val="1"/>
      <charset val="204"/>
    </font>
    <font>
      <sz val="36"/>
      <color rgb="FF00FFCC"/>
      <name val="Arial Cyr"/>
      <charset val="204"/>
    </font>
    <font>
      <b/>
      <sz val="37"/>
      <color rgb="FF00FFCC"/>
      <name val="Times New Roman"/>
      <family val="1"/>
      <charset val="204"/>
    </font>
    <font>
      <sz val="48"/>
      <color rgb="FF00FFCC"/>
      <name val="Arial Cyr"/>
      <charset val="204"/>
    </font>
    <font>
      <sz val="36"/>
      <color rgb="FF00FFCC"/>
      <name val="Times New Roman Cyr"/>
      <family val="1"/>
      <charset val="204"/>
    </font>
    <font>
      <sz val="48"/>
      <color rgb="FF00FFCC"/>
      <name val="Times New Roman Cyr"/>
      <family val="1"/>
      <charset val="204"/>
    </font>
    <font>
      <sz val="22"/>
      <color rgb="FF00FFCC"/>
      <name val="Times New Roman Cyr"/>
      <family val="1"/>
      <charset val="204"/>
    </font>
    <font>
      <b/>
      <sz val="10"/>
      <color rgb="FF00FFCC"/>
      <name val="Times New Roman Cyr"/>
      <family val="1"/>
      <charset val="204"/>
    </font>
    <font>
      <sz val="10"/>
      <color rgb="FF00FFCC"/>
      <name val="Times New Roman Cyr"/>
      <family val="1"/>
      <charset val="204"/>
    </font>
    <font>
      <sz val="22"/>
      <color rgb="FF00FFCC"/>
      <name val="Times New Roman"/>
      <family val="1"/>
      <charset val="204"/>
    </font>
    <font>
      <sz val="12"/>
      <color rgb="FFFF0000"/>
      <name val="Times New Roman"/>
      <family val="1"/>
      <charset val="204"/>
    </font>
    <font>
      <b/>
      <sz val="12"/>
      <color rgb="FFFF0000"/>
      <name val="Times New Roman"/>
      <family val="1"/>
      <charset val="204"/>
    </font>
    <font>
      <b/>
      <sz val="10"/>
      <color rgb="FFFF0000"/>
      <name val="Times New Roman"/>
      <family val="1"/>
      <charset val="204"/>
    </font>
    <font>
      <b/>
      <sz val="11"/>
      <color rgb="FFFF0000"/>
      <name val="Times New Roman"/>
      <family val="1"/>
      <charset val="204"/>
    </font>
    <font>
      <sz val="9"/>
      <color rgb="FFFF0000"/>
      <name val="Times New Roman"/>
      <family val="1"/>
      <charset val="204"/>
    </font>
    <font>
      <b/>
      <i/>
      <sz val="10"/>
      <color rgb="FFFF0000"/>
      <name val="Times New Roman"/>
      <family val="1"/>
      <charset val="204"/>
    </font>
    <font>
      <i/>
      <sz val="10"/>
      <color rgb="FFFF0000"/>
      <name val="Times New Roman"/>
      <family val="1"/>
      <charset val="204"/>
    </font>
    <font>
      <b/>
      <i/>
      <sz val="11"/>
      <color rgb="FFFF0000"/>
      <name val="Times New Roman"/>
      <family val="1"/>
      <charset val="204"/>
    </font>
    <font>
      <i/>
      <sz val="37"/>
      <color rgb="FFFF0000"/>
      <name val="Times New Roman"/>
      <family val="1"/>
      <charset val="204"/>
    </font>
    <font>
      <i/>
      <sz val="36"/>
      <color rgb="FFFF0000"/>
      <name val="Arial Cyr"/>
      <charset val="204"/>
    </font>
    <font>
      <b/>
      <vertAlign val="superscript"/>
      <sz val="36"/>
      <color rgb="FFFF0000"/>
      <name val="Times New Roman"/>
      <family val="1"/>
      <charset val="204"/>
    </font>
    <font>
      <b/>
      <i/>
      <sz val="10"/>
      <color rgb="FFFF0000"/>
      <name val="Arial Cyr"/>
      <charset val="204"/>
    </font>
    <font>
      <vertAlign val="superscript"/>
      <sz val="20"/>
      <color rgb="FFFF0000"/>
      <name val="Times New Roman"/>
      <family val="1"/>
      <charset val="204"/>
    </font>
    <font>
      <sz val="20"/>
      <color rgb="FFFF0000"/>
      <name val="Arial Cyr"/>
      <charset val="204"/>
    </font>
    <font>
      <sz val="9"/>
      <color rgb="FFFF0000"/>
      <name val="Times New Roman CYR"/>
      <charset val="204"/>
    </font>
    <font>
      <sz val="11"/>
      <color rgb="FFFF0000"/>
      <name val="Times New Roman Cyr"/>
      <family val="1"/>
      <charset val="204"/>
    </font>
    <font>
      <b/>
      <sz val="11"/>
      <color rgb="FFFF0000"/>
      <name val="Times New Roman Cyr"/>
      <family val="1"/>
      <charset val="204"/>
    </font>
    <font>
      <i/>
      <sz val="11"/>
      <color rgb="FFFF0000"/>
      <name val="Times New Roman Cyr"/>
      <family val="1"/>
      <charset val="204"/>
    </font>
    <font>
      <sz val="11"/>
      <color rgb="FFFF0000"/>
      <name val="Times New Roman Cyr"/>
      <charset val="204"/>
    </font>
    <font>
      <sz val="72"/>
      <color rgb="FFFF0000"/>
      <name val="Arial Cyr"/>
      <charset val="204"/>
    </font>
    <font>
      <sz val="22"/>
      <color rgb="FFFF0000"/>
      <name val="Arial Cyr"/>
      <charset val="204"/>
    </font>
    <font>
      <b/>
      <sz val="28"/>
      <color rgb="FFFF0000"/>
      <name val="Arial Cyr"/>
      <charset val="204"/>
    </font>
    <font>
      <b/>
      <sz val="28"/>
      <color rgb="FFFF0000"/>
      <name val="Times New Roman"/>
      <family val="1"/>
      <charset val="204"/>
    </font>
    <font>
      <sz val="14"/>
      <color rgb="FFFF0000"/>
      <name val="Times New Roman"/>
      <family val="1"/>
      <charset val="204"/>
    </font>
    <font>
      <sz val="48"/>
      <color rgb="FFFF0000"/>
      <name val="Times New Roman"/>
      <family val="1"/>
      <charset val="204"/>
    </font>
    <font>
      <sz val="34"/>
      <color rgb="FFFF0000"/>
      <name val="Times New Roman"/>
      <family val="1"/>
      <charset val="204"/>
    </font>
    <font>
      <sz val="72"/>
      <color rgb="FFFF0000"/>
      <name val="Times New Roman"/>
      <family val="1"/>
      <charset val="204"/>
    </font>
    <font>
      <b/>
      <sz val="72"/>
      <color rgb="FFFF0000"/>
      <name val="Times New Roman"/>
      <family val="1"/>
      <charset val="204"/>
    </font>
    <font>
      <sz val="36"/>
      <color rgb="FFFF0000"/>
      <name val="Times New Roman Cyr"/>
      <family val="1"/>
      <charset val="204"/>
    </font>
    <font>
      <b/>
      <sz val="36"/>
      <color rgb="FFFF0000"/>
      <name val="Times New Roman Cyr"/>
      <family val="1"/>
      <charset val="204"/>
    </font>
    <font>
      <b/>
      <sz val="10"/>
      <color rgb="FFFF0000"/>
      <name val="Times New Roman Cyr"/>
      <family val="1"/>
      <charset val="204"/>
    </font>
    <font>
      <sz val="50"/>
      <color rgb="FFFF0000"/>
      <name val="Arial Cyr"/>
      <charset val="204"/>
    </font>
    <font>
      <sz val="12.5"/>
      <color rgb="FFFF0000"/>
      <name val="Times New Roman"/>
      <family val="1"/>
      <charset val="204"/>
    </font>
    <font>
      <b/>
      <i/>
      <sz val="10"/>
      <color rgb="FFFF0000"/>
      <name val="Arial"/>
      <family val="2"/>
      <charset val="204"/>
    </font>
    <font>
      <sz val="11"/>
      <name val="Times New Roman"/>
      <family val="1"/>
      <charset val="204"/>
    </font>
    <font>
      <b/>
      <i/>
      <sz val="11"/>
      <name val="Times New Roman"/>
      <family val="1"/>
      <charset val="204"/>
    </font>
    <font>
      <b/>
      <sz val="11"/>
      <name val="Times New Roman"/>
      <family val="1"/>
      <charset val="204"/>
    </font>
    <font>
      <sz val="11"/>
      <name val="Arial Cyr"/>
      <charset val="204"/>
    </font>
    <font>
      <sz val="14"/>
      <name val="Times New Roman"/>
      <family val="1"/>
      <charset val="204"/>
    </font>
    <font>
      <sz val="11"/>
      <color rgb="FF000000"/>
      <name val="Times New Roman"/>
      <family val="1"/>
      <charset val="204"/>
    </font>
    <font>
      <b/>
      <i/>
      <sz val="12.5"/>
      <color rgb="FFFF0000"/>
      <name val="Times New Roman"/>
      <family val="1"/>
      <charset val="204"/>
    </font>
    <font>
      <sz val="20"/>
      <name val="Times New Roman"/>
      <family val="1"/>
      <charset val="204"/>
    </font>
    <font>
      <vertAlign val="superscript"/>
      <sz val="10"/>
      <name val="Times New Roman"/>
      <family val="1"/>
      <charset val="204"/>
    </font>
    <font>
      <b/>
      <sz val="48"/>
      <color rgb="FFCCFF99"/>
      <name val="Times New Roman Cyr"/>
      <family val="1"/>
      <charset val="204"/>
    </font>
    <font>
      <sz val="36"/>
      <color rgb="FFCCFF99"/>
      <name val="Times New Roman Cyr"/>
      <family val="1"/>
      <charset val="204"/>
    </font>
    <font>
      <b/>
      <sz val="16"/>
      <color rgb="FFCCFF99"/>
      <name val="Times New Roman"/>
      <family val="1"/>
      <charset val="204"/>
    </font>
    <font>
      <sz val="11"/>
      <color rgb="FFFF0000"/>
      <name val="Arial Cyr"/>
      <charset val="204"/>
    </font>
    <font>
      <b/>
      <sz val="18"/>
      <color rgb="FFFF0000"/>
      <name val="Times New Roman"/>
      <family val="1"/>
      <charset val="204"/>
    </font>
    <font>
      <b/>
      <sz val="16"/>
      <name val="Times New Roman"/>
      <family val="1"/>
      <charset val="204"/>
    </font>
    <font>
      <b/>
      <u/>
      <sz val="16"/>
      <name val="Times New Roman"/>
      <family val="1"/>
      <charset val="204"/>
    </font>
    <font>
      <u/>
      <sz val="10"/>
      <name val="Arial Cyr"/>
      <charset val="204"/>
    </font>
    <font>
      <b/>
      <sz val="12"/>
      <name val="Times New Roman"/>
      <family val="1"/>
      <charset val="204"/>
    </font>
    <font>
      <sz val="12"/>
      <name val="Arial Cyr"/>
      <charset val="204"/>
    </font>
    <font>
      <sz val="8"/>
      <name val="Times New Roman"/>
      <family val="1"/>
      <charset val="204"/>
    </font>
    <font>
      <b/>
      <sz val="10"/>
      <name val="Times New Roman"/>
      <family val="1"/>
      <charset val="204"/>
    </font>
    <font>
      <b/>
      <u/>
      <sz val="10"/>
      <name val="Times New Roman"/>
      <family val="1"/>
      <charset val="204"/>
    </font>
    <font>
      <b/>
      <sz val="14"/>
      <name val="Times New Roman"/>
      <family val="1"/>
      <charset val="204"/>
    </font>
    <font>
      <u/>
      <sz val="9"/>
      <name val="Times New Roman"/>
      <family val="1"/>
      <charset val="204"/>
    </font>
    <font>
      <u/>
      <sz val="9"/>
      <name val="Arial Cyr"/>
      <charset val="204"/>
    </font>
    <font>
      <sz val="9"/>
      <name val="Times New Roman"/>
      <family val="1"/>
      <charset val="204"/>
    </font>
    <font>
      <sz val="9"/>
      <name val="Arial Cyr"/>
      <charset val="204"/>
    </font>
    <font>
      <b/>
      <sz val="9"/>
      <name val="Times New Roman"/>
      <family val="1"/>
      <charset val="204"/>
    </font>
    <font>
      <u/>
      <sz val="36"/>
      <name val="Times New Roman"/>
      <family val="1"/>
      <charset val="204"/>
    </font>
    <font>
      <u/>
      <sz val="36"/>
      <name val="Arial Cyr"/>
      <charset val="204"/>
    </font>
    <font>
      <sz val="10"/>
      <name val="Times New Roman CYR"/>
      <charset val="204"/>
    </font>
    <font>
      <u/>
      <sz val="10"/>
      <name val="Times New Roman"/>
      <family val="1"/>
      <charset val="204"/>
    </font>
    <font>
      <b/>
      <sz val="10"/>
      <name val="Times New Roman CYR"/>
      <charset val="204"/>
    </font>
    <font>
      <sz val="22"/>
      <name val="Times New Roman"/>
      <family val="1"/>
      <charset val="204"/>
    </font>
    <font>
      <b/>
      <sz val="18"/>
      <name val="Times New Roman"/>
      <family val="1"/>
      <charset val="204"/>
    </font>
    <font>
      <sz val="12"/>
      <name val="Arial"/>
      <family val="2"/>
      <charset val="204"/>
    </font>
    <font>
      <b/>
      <sz val="12.5"/>
      <name val="Times New Roman"/>
      <family val="1"/>
      <charset val="204"/>
    </font>
    <font>
      <sz val="37"/>
      <color theme="1"/>
      <name val="Times New Roman"/>
      <family val="1"/>
      <charset val="204"/>
    </font>
    <font>
      <b/>
      <i/>
      <sz val="37"/>
      <color rgb="FF00FFCC"/>
      <name val="Times New Roman"/>
      <family val="1"/>
      <charset val="204"/>
    </font>
    <font>
      <i/>
      <sz val="36"/>
      <color theme="1"/>
      <name val="Times New Roman"/>
      <family val="1"/>
      <charset val="204"/>
    </font>
    <font>
      <i/>
      <sz val="37"/>
      <color theme="1"/>
      <name val="Times New Roman"/>
      <family val="1"/>
      <charset val="204"/>
    </font>
    <font>
      <sz val="11"/>
      <color theme="1"/>
      <name val="Times New Roman"/>
      <family val="1"/>
      <charset val="204"/>
    </font>
    <font>
      <b/>
      <i/>
      <sz val="37"/>
      <color theme="1"/>
      <name val="Times New Roman"/>
      <family val="1"/>
      <charset val="204"/>
    </font>
    <font>
      <b/>
      <i/>
      <sz val="36"/>
      <color theme="1"/>
      <name val="Times New Roman"/>
      <family val="1"/>
      <charset val="204"/>
    </font>
    <font>
      <i/>
      <sz val="36"/>
      <name val="Times New Roman"/>
      <family val="1"/>
      <charset val="204"/>
    </font>
    <font>
      <b/>
      <sz val="11"/>
      <color theme="1"/>
      <name val="Times New Roman"/>
      <family val="1"/>
      <charset val="204"/>
    </font>
    <font>
      <b/>
      <i/>
      <sz val="11"/>
      <color theme="1"/>
      <name val="Times New Roman"/>
      <family val="1"/>
      <charset val="204"/>
    </font>
    <font>
      <b/>
      <i/>
      <sz val="37"/>
      <color rgb="FFCCFF66"/>
      <name val="Times New Roman"/>
      <family val="1"/>
      <charset val="204"/>
    </font>
    <font>
      <b/>
      <sz val="37"/>
      <color rgb="FFCCFF66"/>
      <name val="Times New Roman"/>
      <family val="1"/>
      <charset val="204"/>
    </font>
    <font>
      <sz val="12"/>
      <color theme="1"/>
      <name val="Times New Roman"/>
      <family val="1"/>
      <charset val="204"/>
    </font>
    <font>
      <b/>
      <sz val="12"/>
      <color rgb="FFCCFF66"/>
      <name val="Times New Roman"/>
      <family val="1"/>
      <charset val="204"/>
    </font>
    <font>
      <sz val="10"/>
      <color theme="1"/>
      <name val="Times New Roman"/>
      <family val="1"/>
      <charset val="204"/>
    </font>
    <font>
      <b/>
      <i/>
      <sz val="10"/>
      <color theme="1"/>
      <name val="Times New Roman"/>
      <family val="1"/>
      <charset val="204"/>
    </font>
    <font>
      <b/>
      <sz val="10"/>
      <color theme="1"/>
      <name val="Times New Roman"/>
      <family val="1"/>
      <charset val="204"/>
    </font>
    <font>
      <i/>
      <sz val="10"/>
      <color theme="1"/>
      <name val="Times New Roman"/>
      <family val="1"/>
      <charset val="204"/>
    </font>
    <font>
      <i/>
      <sz val="11"/>
      <color theme="1"/>
      <name val="Times New Roman"/>
      <family val="1"/>
      <charset val="204"/>
    </font>
    <font>
      <sz val="12.5"/>
      <name val="Times New Roman"/>
      <family val="1"/>
      <charset val="204"/>
    </font>
    <font>
      <b/>
      <i/>
      <sz val="12.5"/>
      <name val="Times New Roman"/>
      <family val="1"/>
      <charset val="204"/>
    </font>
    <font>
      <b/>
      <sz val="14"/>
      <color rgb="FFCCFF66"/>
      <name val="Times New Roman"/>
      <family val="1"/>
      <charset val="204"/>
    </font>
    <font>
      <sz val="10"/>
      <color rgb="FF00FFCC"/>
      <name val="Times New Roman"/>
      <family val="1"/>
      <charset val="204"/>
    </font>
    <font>
      <b/>
      <sz val="28"/>
      <color rgb="FFCCFF66"/>
      <name val="Times New Roman"/>
      <family val="1"/>
      <charset val="204"/>
    </font>
    <font>
      <b/>
      <sz val="36"/>
      <color rgb="FFCCFF66"/>
      <name val="Times New Roman"/>
      <family val="1"/>
      <charset val="204"/>
    </font>
    <font>
      <i/>
      <sz val="11"/>
      <name val="Times New Roman"/>
      <family val="1"/>
      <charset val="204"/>
    </font>
    <font>
      <b/>
      <sz val="12"/>
      <color rgb="FFCCFF66"/>
      <name val="Times New Roman CYR"/>
      <charset val="204"/>
    </font>
    <font>
      <b/>
      <sz val="72"/>
      <color rgb="FFCCFF66"/>
      <name val="Times New Roman"/>
      <family val="1"/>
      <charset val="204"/>
    </font>
    <font>
      <b/>
      <i/>
      <sz val="10"/>
      <name val="Times New Roman"/>
      <family val="1"/>
      <charset val="204"/>
    </font>
    <font>
      <b/>
      <sz val="48"/>
      <color rgb="FFCCFF66"/>
      <name val="Times New Roman Cyr"/>
      <family val="1"/>
      <charset val="204"/>
    </font>
    <font>
      <b/>
      <sz val="10"/>
      <color rgb="FFCCFF66"/>
      <name val="Times New Roman"/>
      <family val="1"/>
      <charset val="204"/>
    </font>
    <font>
      <i/>
      <sz val="10"/>
      <name val="Times New Roman"/>
      <family val="1"/>
      <charset val="204"/>
    </font>
    <font>
      <sz val="10"/>
      <color theme="1"/>
      <name val="Arial Cyr"/>
      <charset val="204"/>
    </font>
  </fonts>
  <fills count="43">
    <fill>
      <patternFill patternType="none"/>
    </fill>
    <fill>
      <patternFill patternType="gray125"/>
    </fill>
    <fill>
      <patternFill patternType="solid">
        <fgColor indexed="47"/>
      </patternFill>
    </fill>
    <fill>
      <patternFill patternType="solid">
        <fgColor indexed="27"/>
      </patternFill>
    </fill>
    <fill>
      <patternFill patternType="solid">
        <fgColor indexed="43"/>
      </patternFill>
    </fill>
    <fill>
      <patternFill patternType="solid">
        <fgColor indexed="55"/>
      </patternFill>
    </fill>
    <fill>
      <patternFill patternType="solid">
        <fgColor indexed="45"/>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26"/>
      </patternFill>
    </fill>
    <fill>
      <patternFill patternType="solid">
        <fgColor rgb="FFFF0000"/>
        <bgColor indexed="64"/>
      </patternFill>
    </fill>
    <fill>
      <patternFill patternType="solid">
        <fgColor rgb="FF66FF99"/>
        <bgColor indexed="64"/>
      </patternFill>
    </fill>
    <fill>
      <patternFill patternType="solid">
        <fgColor rgb="FF00FF99"/>
        <bgColor indexed="64"/>
      </patternFill>
    </fill>
    <fill>
      <patternFill patternType="solid">
        <fgColor rgb="FF00FF99"/>
        <bgColor auto="1"/>
      </patternFill>
    </fill>
    <fill>
      <gradientFill degree="225">
        <stop position="0">
          <color theme="0"/>
        </stop>
        <stop position="1">
          <color rgb="FFFFFF99"/>
        </stop>
      </gradientFill>
    </fill>
    <fill>
      <gradientFill degree="270">
        <stop position="0">
          <color theme="0"/>
        </stop>
        <stop position="1">
          <color rgb="FF00FFCC"/>
        </stop>
      </gradientFill>
    </fill>
    <fill>
      <patternFill patternType="solid">
        <fgColor theme="0"/>
        <bgColor indexed="64"/>
      </patternFill>
    </fill>
    <fill>
      <patternFill patternType="solid">
        <fgColor theme="9" tint="-0.249977111117893"/>
        <bgColor indexed="64"/>
      </patternFill>
    </fill>
    <fill>
      <patternFill patternType="solid">
        <fgColor rgb="FF00FFCC"/>
        <bgColor indexed="64"/>
      </patternFill>
    </fill>
    <fill>
      <gradientFill degree="90">
        <stop position="0">
          <color theme="0"/>
        </stop>
        <stop position="0.5">
          <color rgb="FFCCECFF"/>
        </stop>
        <stop position="1">
          <color theme="0"/>
        </stop>
      </gradientFill>
    </fill>
    <fill>
      <patternFill patternType="solid">
        <fgColor rgb="FFFFFF00"/>
        <bgColor indexed="64"/>
      </patternFill>
    </fill>
    <fill>
      <gradientFill type="path" left="0.5" right="0.5" top="0.5" bottom="0.5">
        <stop position="0">
          <color theme="0"/>
        </stop>
        <stop position="1">
          <color rgb="FFCCFF66"/>
        </stop>
      </gradientFill>
    </fill>
    <fill>
      <gradientFill degree="90">
        <stop position="0">
          <color theme="0"/>
        </stop>
        <stop position="0.5">
          <color rgb="FFFFCC00"/>
        </stop>
        <stop position="1">
          <color theme="0"/>
        </stop>
      </gradientFill>
    </fill>
    <fill>
      <patternFill patternType="solid">
        <fgColor rgb="FFFFAFAF"/>
        <bgColor indexed="64"/>
      </patternFill>
    </fill>
    <fill>
      <gradientFill type="path" left="0.5" right="0.5" top="0.5" bottom="0.5">
        <stop position="0">
          <color theme="0"/>
        </stop>
        <stop position="1">
          <color rgb="FFFFC000"/>
        </stop>
      </gradientFill>
    </fill>
    <fill>
      <gradientFill degree="90">
        <stop position="0">
          <color rgb="FFFFC000"/>
        </stop>
        <stop position="1">
          <color auto="1"/>
        </stop>
      </gradientFill>
    </fill>
    <fill>
      <patternFill patternType="solid">
        <fgColor rgb="FFCCFF66"/>
        <bgColor indexed="64"/>
      </patternFill>
    </fill>
    <fill>
      <gradientFill degree="90">
        <stop position="0">
          <color theme="0"/>
        </stop>
        <stop position="0.5">
          <color rgb="FFCCFF66"/>
        </stop>
        <stop position="1">
          <color theme="0"/>
        </stop>
      </gradientFill>
    </fill>
  </fills>
  <borders count="29">
    <border>
      <left/>
      <right/>
      <top/>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style="thin">
        <color indexed="64"/>
      </right>
      <top/>
      <bottom/>
      <diagonal/>
    </border>
    <border>
      <left style="double">
        <color theme="0" tint="-0.499984740745262"/>
      </left>
      <right style="double">
        <color theme="0" tint="-0.499984740745262"/>
      </right>
      <top style="double">
        <color theme="0" tint="-0.499984740745262"/>
      </top>
      <bottom style="double">
        <color theme="0" tint="-0.499984740745262"/>
      </bottom>
      <diagonal/>
    </border>
    <border>
      <left style="double">
        <color theme="0" tint="-0.499984740745262"/>
      </left>
      <right style="double">
        <color theme="0" tint="-0.499984740745262"/>
      </right>
      <top style="double">
        <color theme="0" tint="-0.499984740745262"/>
      </top>
      <bottom/>
      <diagonal/>
    </border>
    <border>
      <left style="double">
        <color theme="0" tint="-0.499984740745262"/>
      </left>
      <right style="double">
        <color theme="0" tint="-0.499984740745262"/>
      </right>
      <top/>
      <bottom style="double">
        <color theme="0" tint="-0.499984740745262"/>
      </bottom>
      <diagonal/>
    </border>
    <border>
      <left style="double">
        <color theme="0" tint="-0.499984740745262"/>
      </left>
      <right style="double">
        <color theme="0" tint="-0.499984740745262"/>
      </right>
      <top/>
      <bottom/>
      <diagonal/>
    </border>
    <border>
      <left style="double">
        <color theme="0" tint="-0.499984740745262"/>
      </left>
      <right/>
      <top style="double">
        <color theme="0" tint="-0.499984740745262"/>
      </top>
      <bottom style="double">
        <color theme="0" tint="-0.499984740745262"/>
      </bottom>
      <diagonal/>
    </border>
    <border>
      <left/>
      <right/>
      <top style="double">
        <color theme="0" tint="-0.499984740745262"/>
      </top>
      <bottom style="double">
        <color theme="0" tint="-0.499984740745262"/>
      </bottom>
      <diagonal/>
    </border>
    <border>
      <left/>
      <right style="double">
        <color theme="0" tint="-0.499984740745262"/>
      </right>
      <top style="double">
        <color theme="0" tint="-0.499984740745262"/>
      </top>
      <bottom style="double">
        <color theme="0" tint="-0.499984740745262"/>
      </bottom>
      <diagonal/>
    </border>
    <border>
      <left style="double">
        <color theme="0" tint="-0.499984740745262"/>
      </left>
      <right/>
      <top/>
      <bottom/>
      <diagonal/>
    </border>
    <border>
      <left style="double">
        <color indexed="64"/>
      </left>
      <right style="double">
        <color indexed="64"/>
      </right>
      <top style="double">
        <color indexed="64"/>
      </top>
      <bottom style="double">
        <color indexed="64"/>
      </bottom>
      <diagonal/>
    </border>
    <border>
      <left/>
      <right/>
      <top/>
      <bottom style="double">
        <color indexed="10"/>
      </bottom>
      <diagonal/>
    </border>
    <border>
      <left style="double">
        <color theme="0" tint="-0.499984740745262"/>
      </left>
      <right/>
      <top style="double">
        <color theme="0" tint="-0.499984740745262"/>
      </top>
      <bottom/>
      <diagonal/>
    </border>
    <border>
      <left/>
      <right style="double">
        <color theme="0" tint="-0.499984740745262"/>
      </right>
      <top style="double">
        <color theme="0" tint="-0.499984740745262"/>
      </top>
      <bottom/>
      <diagonal/>
    </border>
    <border>
      <left/>
      <right/>
      <top style="double">
        <color theme="0" tint="-0.499984740745262"/>
      </top>
      <bottom/>
      <diagonal/>
    </border>
    <border>
      <left/>
      <right/>
      <top/>
      <bottom style="double">
        <color theme="0" tint="-0.499984740745262"/>
      </bottom>
      <diagonal/>
    </border>
  </borders>
  <cellStyleXfs count="188">
    <xf numFmtId="0" fontId="0" fillId="0" borderId="0"/>
    <xf numFmtId="0" fontId="10" fillId="0" borderId="0"/>
    <xf numFmtId="0" fontId="17" fillId="2" borderId="1" applyNumberFormat="0" applyAlignment="0" applyProtection="0"/>
    <xf numFmtId="0" fontId="25" fillId="3" borderId="0" applyNumberFormat="0" applyBorder="0" applyAlignment="0" applyProtection="0"/>
    <xf numFmtId="0" fontId="18" fillId="0" borderId="2" applyNumberFormat="0" applyFill="0" applyAlignment="0" applyProtection="0"/>
    <xf numFmtId="0" fontId="19" fillId="0" borderId="3" applyNumberFormat="0" applyFill="0" applyAlignment="0" applyProtection="0"/>
    <xf numFmtId="0" fontId="20" fillId="0" borderId="4" applyNumberFormat="0" applyFill="0" applyAlignment="0" applyProtection="0"/>
    <xf numFmtId="0" fontId="20" fillId="0" borderId="0" applyNumberFormat="0" applyFill="0" applyBorder="0" applyAlignment="0" applyProtection="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10" fillId="0" borderId="0"/>
    <xf numFmtId="0" fontId="35" fillId="0" borderId="0"/>
    <xf numFmtId="0" fontId="27" fillId="0" borderId="0"/>
    <xf numFmtId="0" fontId="10" fillId="0" borderId="0"/>
    <xf numFmtId="0" fontId="35" fillId="0" borderId="0"/>
    <xf numFmtId="0" fontId="10" fillId="0" borderId="0"/>
    <xf numFmtId="0" fontId="35" fillId="0" borderId="0"/>
    <xf numFmtId="0" fontId="27" fillId="0" borderId="0"/>
    <xf numFmtId="0" fontId="27" fillId="0" borderId="0"/>
    <xf numFmtId="0" fontId="27" fillId="0" borderId="0"/>
    <xf numFmtId="0" fontId="27" fillId="0" borderId="0"/>
    <xf numFmtId="0" fontId="27" fillId="0" borderId="0"/>
    <xf numFmtId="0" fontId="34" fillId="0" borderId="0">
      <alignment vertical="top"/>
    </xf>
    <xf numFmtId="0" fontId="21" fillId="5" borderId="5" applyNumberFormat="0" applyAlignment="0" applyProtection="0"/>
    <xf numFmtId="0" fontId="22" fillId="0" borderId="0" applyNumberFormat="0" applyFill="0" applyBorder="0" applyAlignment="0" applyProtection="0"/>
    <xf numFmtId="0" fontId="10" fillId="0" borderId="0"/>
    <xf numFmtId="0" fontId="35" fillId="0" borderId="0"/>
    <xf numFmtId="0" fontId="12" fillId="0" borderId="0"/>
    <xf numFmtId="0" fontId="38" fillId="0" borderId="0" applyNumberFormat="0" applyFont="0" applyFill="0" applyBorder="0" applyAlignment="0" applyProtection="0">
      <alignment vertical="top"/>
    </xf>
    <xf numFmtId="0" fontId="26" fillId="0" borderId="0"/>
    <xf numFmtId="0" fontId="11" fillId="0" borderId="0" applyNumberFormat="0" applyFont="0" applyFill="0" applyBorder="0" applyAlignment="0" applyProtection="0">
      <alignment vertical="top"/>
    </xf>
    <xf numFmtId="0" fontId="12" fillId="0" borderId="0"/>
    <xf numFmtId="0" fontId="23" fillId="0" borderId="6" applyNumberFormat="0" applyFill="0" applyAlignment="0" applyProtection="0"/>
    <xf numFmtId="0" fontId="28" fillId="4" borderId="0" applyNumberFormat="0" applyBorder="0" applyAlignment="0" applyProtection="0"/>
    <xf numFmtId="0" fontId="26" fillId="0" borderId="0"/>
    <xf numFmtId="0" fontId="24" fillId="0" borderId="0" applyNumberFormat="0" applyFill="0" applyBorder="0" applyAlignment="0" applyProtection="0"/>
    <xf numFmtId="0" fontId="41" fillId="7" borderId="0" applyNumberFormat="0" applyBorder="0" applyAlignment="0" applyProtection="0"/>
    <xf numFmtId="0" fontId="41" fillId="8" borderId="0" applyNumberFormat="0" applyBorder="0" applyAlignment="0" applyProtection="0"/>
    <xf numFmtId="0" fontId="41" fillId="9" borderId="0" applyNumberFormat="0" applyBorder="0" applyAlignment="0" applyProtection="0"/>
    <xf numFmtId="0" fontId="41" fillId="10" borderId="0" applyNumberFormat="0" applyBorder="0" applyAlignment="0" applyProtection="0"/>
    <xf numFmtId="0" fontId="41" fillId="3" borderId="0" applyNumberFormat="0" applyBorder="0" applyAlignment="0" applyProtection="0"/>
    <xf numFmtId="0" fontId="41" fillId="2" borderId="0" applyNumberFormat="0" applyBorder="0" applyAlignment="0" applyProtection="0"/>
    <xf numFmtId="0" fontId="41" fillId="11" borderId="0" applyNumberFormat="0" applyBorder="0" applyAlignment="0" applyProtection="0"/>
    <xf numFmtId="0" fontId="41" fillId="12" borderId="0" applyNumberFormat="0" applyBorder="0" applyAlignment="0" applyProtection="0"/>
    <xf numFmtId="0" fontId="41" fillId="13" borderId="0" applyNumberFormat="0" applyBorder="0" applyAlignment="0" applyProtection="0"/>
    <xf numFmtId="0" fontId="41" fillId="10" borderId="0" applyNumberFormat="0" applyBorder="0" applyAlignment="0" applyProtection="0"/>
    <xf numFmtId="0" fontId="41" fillId="11" borderId="0" applyNumberFormat="0" applyBorder="0" applyAlignment="0" applyProtection="0"/>
    <xf numFmtId="0" fontId="41" fillId="14" borderId="0" applyNumberFormat="0" applyBorder="0" applyAlignment="0" applyProtection="0"/>
    <xf numFmtId="0" fontId="42" fillId="15" borderId="0" applyNumberFormat="0" applyBorder="0" applyAlignment="0" applyProtection="0"/>
    <xf numFmtId="0" fontId="42" fillId="12" borderId="0" applyNumberFormat="0" applyBorder="0" applyAlignment="0" applyProtection="0"/>
    <xf numFmtId="0" fontId="42" fillId="13" borderId="0" applyNumberFormat="0" applyBorder="0" applyAlignment="0" applyProtection="0"/>
    <xf numFmtId="0" fontId="42" fillId="16" borderId="0" applyNumberFormat="0" applyBorder="0" applyAlignment="0" applyProtection="0"/>
    <xf numFmtId="0" fontId="42" fillId="17" borderId="0" applyNumberFormat="0" applyBorder="0" applyAlignment="0" applyProtection="0"/>
    <xf numFmtId="0" fontId="42" fillId="18" borderId="0" applyNumberFormat="0" applyBorder="0" applyAlignment="0" applyProtection="0"/>
    <xf numFmtId="0" fontId="42" fillId="19" borderId="0" applyNumberFormat="0" applyBorder="0" applyAlignment="0" applyProtection="0"/>
    <xf numFmtId="0" fontId="42" fillId="20" borderId="0" applyNumberFormat="0" applyBorder="0" applyAlignment="0" applyProtection="0"/>
    <xf numFmtId="0" fontId="42" fillId="21" borderId="0" applyNumberFormat="0" applyBorder="0" applyAlignment="0" applyProtection="0"/>
    <xf numFmtId="0" fontId="42" fillId="16" borderId="0" applyNumberFormat="0" applyBorder="0" applyAlignment="0" applyProtection="0"/>
    <xf numFmtId="0" fontId="42" fillId="17" borderId="0" applyNumberFormat="0" applyBorder="0" applyAlignment="0" applyProtection="0"/>
    <xf numFmtId="0" fontId="42" fillId="22" borderId="0" applyNumberFormat="0" applyBorder="0" applyAlignment="0" applyProtection="0"/>
    <xf numFmtId="0" fontId="17" fillId="2" borderId="1" applyNumberFormat="0" applyAlignment="0" applyProtection="0"/>
    <xf numFmtId="0" fontId="43" fillId="23" borderId="11" applyNumberFormat="0" applyAlignment="0" applyProtection="0"/>
    <xf numFmtId="0" fontId="44" fillId="23" borderId="1" applyNumberFormat="0" applyAlignment="0" applyProtection="0"/>
    <xf numFmtId="0" fontId="40" fillId="0" borderId="0" applyNumberFormat="0" applyFill="0" applyBorder="0" applyAlignment="0" applyProtection="0">
      <alignment vertical="top"/>
      <protection locked="0"/>
    </xf>
    <xf numFmtId="0" fontId="45" fillId="0" borderId="12" applyNumberFormat="0" applyFill="0" applyAlignment="0" applyProtection="0"/>
    <xf numFmtId="0" fontId="21" fillId="5" borderId="5" applyNumberFormat="0" applyAlignment="0" applyProtection="0"/>
    <xf numFmtId="0" fontId="22" fillId="0" borderId="0" applyNumberFormat="0" applyFill="0" applyBorder="0" applyAlignment="0" applyProtection="0"/>
    <xf numFmtId="0" fontId="46" fillId="4" borderId="0" applyNumberFormat="0" applyBorder="0" applyAlignment="0" applyProtection="0"/>
    <xf numFmtId="0" fontId="47" fillId="8" borderId="0" applyNumberFormat="0" applyBorder="0" applyAlignment="0" applyProtection="0"/>
    <xf numFmtId="0" fontId="48" fillId="0" borderId="0" applyNumberFormat="0" applyFill="0" applyBorder="0" applyAlignment="0" applyProtection="0"/>
    <xf numFmtId="0" fontId="41" fillId="24" borderId="13" applyNumberFormat="0" applyFont="0" applyAlignment="0" applyProtection="0"/>
    <xf numFmtId="0" fontId="23" fillId="0" borderId="6" applyNumberFormat="0" applyFill="0" applyAlignment="0" applyProtection="0"/>
    <xf numFmtId="0" fontId="24" fillId="0" borderId="0" applyNumberFormat="0" applyFill="0" applyBorder="0" applyAlignment="0" applyProtection="0"/>
    <xf numFmtId="0" fontId="25" fillId="9" borderId="0" applyNumberFormat="0" applyBorder="0" applyAlignment="0" applyProtection="0"/>
    <xf numFmtId="0" fontId="52" fillId="0" borderId="0"/>
    <xf numFmtId="0" fontId="10" fillId="0" borderId="0"/>
    <xf numFmtId="0" fontId="9" fillId="0" borderId="0"/>
    <xf numFmtId="0" fontId="8" fillId="0" borderId="0"/>
    <xf numFmtId="0" fontId="10" fillId="0" borderId="0"/>
    <xf numFmtId="0" fontId="10" fillId="0" borderId="0"/>
    <xf numFmtId="0" fontId="10" fillId="0" borderId="0"/>
    <xf numFmtId="0" fontId="10" fillId="0" borderId="0"/>
    <xf numFmtId="0" fontId="7" fillId="0" borderId="0"/>
    <xf numFmtId="0" fontId="55" fillId="0" borderId="0"/>
    <xf numFmtId="0" fontId="6" fillId="0" borderId="0"/>
    <xf numFmtId="0" fontId="5" fillId="0" borderId="0"/>
    <xf numFmtId="0" fontId="5" fillId="0" borderId="0"/>
    <xf numFmtId="0" fontId="4" fillId="0" borderId="0"/>
    <xf numFmtId="0" fontId="4" fillId="0" borderId="0"/>
    <xf numFmtId="0" fontId="3" fillId="0" borderId="0"/>
    <xf numFmtId="0" fontId="3" fillId="0" borderId="0"/>
    <xf numFmtId="0" fontId="41" fillId="0" borderId="0"/>
    <xf numFmtId="0" fontId="17" fillId="4" borderId="1" applyNumberFormat="0" applyAlignment="0" applyProtection="0"/>
    <xf numFmtId="0" fontId="18" fillId="0" borderId="2" applyNumberFormat="0" applyFill="0" applyAlignment="0" applyProtection="0"/>
    <xf numFmtId="0" fontId="19" fillId="0" borderId="3" applyNumberFormat="0" applyFill="0" applyAlignment="0" applyProtection="0"/>
    <xf numFmtId="0" fontId="20" fillId="0" borderId="4" applyNumberFormat="0" applyFill="0" applyAlignment="0" applyProtection="0"/>
    <xf numFmtId="0" fontId="20" fillId="0" borderId="0" applyNumberFormat="0" applyFill="0" applyBorder="0" applyAlignment="0" applyProtection="0"/>
    <xf numFmtId="0" fontId="24" fillId="0" borderId="24" applyNumberFormat="0" applyFill="0" applyAlignment="0" applyProtection="0"/>
    <xf numFmtId="0" fontId="88" fillId="0" borderId="0" applyNumberFormat="0" applyFill="0" applyBorder="0" applyAlignment="0" applyProtection="0"/>
    <xf numFmtId="0" fontId="34" fillId="0" borderId="0"/>
    <xf numFmtId="0" fontId="41" fillId="0" borderId="0"/>
    <xf numFmtId="0" fontId="55" fillId="0" borderId="0"/>
    <xf numFmtId="0" fontId="38" fillId="0" borderId="0"/>
    <xf numFmtId="0" fontId="2" fillId="0" borderId="0"/>
    <xf numFmtId="0" fontId="2" fillId="0" borderId="0"/>
    <xf numFmtId="0" fontId="38" fillId="0" borderId="0"/>
    <xf numFmtId="0" fontId="52" fillId="0" borderId="0"/>
    <xf numFmtId="0" fontId="38" fillId="0" borderId="0"/>
    <xf numFmtId="0" fontId="52" fillId="0" borderId="0"/>
    <xf numFmtId="0" fontId="12" fillId="0" borderId="0"/>
    <xf numFmtId="0" fontId="16" fillId="0" borderId="0"/>
    <xf numFmtId="0" fontId="38" fillId="0" borderId="0"/>
    <xf numFmtId="0" fontId="41" fillId="0" borderId="0"/>
    <xf numFmtId="0" fontId="41" fillId="0" borderId="0"/>
    <xf numFmtId="0" fontId="16" fillId="0" borderId="0"/>
    <xf numFmtId="0" fontId="16" fillId="0" borderId="0"/>
    <xf numFmtId="0" fontId="41" fillId="0" borderId="0"/>
    <xf numFmtId="0" fontId="10" fillId="0" borderId="0"/>
    <xf numFmtId="0" fontId="2" fillId="0" borderId="0"/>
    <xf numFmtId="0" fontId="2" fillId="0" borderId="0"/>
    <xf numFmtId="0" fontId="52" fillId="0" borderId="0"/>
    <xf numFmtId="0" fontId="87" fillId="0" borderId="0"/>
    <xf numFmtId="164" fontId="10"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8" fillId="0" borderId="0"/>
    <xf numFmtId="0" fontId="2" fillId="0" borderId="0"/>
    <xf numFmtId="0" fontId="2" fillId="0" borderId="0"/>
    <xf numFmtId="0" fontId="8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1" fillId="0" borderId="0"/>
    <xf numFmtId="0" fontId="2" fillId="0" borderId="0"/>
    <xf numFmtId="0" fontId="2" fillId="0" borderId="0"/>
    <xf numFmtId="0" fontId="2" fillId="0" borderId="0"/>
    <xf numFmtId="0" fontId="2" fillId="0" borderId="0"/>
    <xf numFmtId="0" fontId="2" fillId="0" borderId="0"/>
    <xf numFmtId="168" fontId="52" fillId="0" borderId="0" applyBorder="0" applyProtection="0"/>
    <xf numFmtId="0" fontId="2" fillId="0" borderId="0"/>
    <xf numFmtId="0" fontId="2" fillId="0" borderId="0"/>
    <xf numFmtId="0" fontId="2" fillId="0" borderId="0"/>
    <xf numFmtId="0" fontId="2" fillId="0" borderId="0"/>
    <xf numFmtId="0" fontId="2" fillId="0" borderId="0"/>
    <xf numFmtId="0" fontId="2" fillId="0" borderId="0"/>
    <xf numFmtId="0" fontId="17" fillId="2" borderId="1" applyNumberFormat="0" applyAlignment="0" applyProtection="0"/>
    <xf numFmtId="0" fontId="2" fillId="0" borderId="0"/>
    <xf numFmtId="0" fontId="2" fillId="0" borderId="0"/>
    <xf numFmtId="0" fontId="23" fillId="0" borderId="6" applyNumberFormat="0" applyFill="0" applyAlignment="0" applyProtection="0"/>
    <xf numFmtId="0" fontId="21" fillId="5" borderId="5" applyNumberFormat="0" applyAlignment="0" applyProtection="0"/>
    <xf numFmtId="0" fontId="22" fillId="0" borderId="0" applyNumberFormat="0" applyFill="0" applyBorder="0" applyAlignment="0" applyProtection="0"/>
    <xf numFmtId="0" fontId="87" fillId="0" borderId="0"/>
    <xf numFmtId="0" fontId="10" fillId="0" borderId="0"/>
    <xf numFmtId="0" fontId="12" fillId="0" borderId="0"/>
    <xf numFmtId="0" fontId="24" fillId="0" borderId="0" applyNumberFormat="0" applyFill="0" applyBorder="0" applyAlignment="0" applyProtection="0"/>
    <xf numFmtId="0" fontId="1" fillId="0" borderId="0"/>
  </cellStyleXfs>
  <cellXfs count="918">
    <xf numFmtId="0" fontId="0" fillId="0" borderId="0" xfId="0"/>
    <xf numFmtId="0" fontId="16" fillId="0" borderId="0" xfId="39" applyFont="1"/>
    <xf numFmtId="0" fontId="30" fillId="0" borderId="0" xfId="0" applyFont="1" applyAlignment="1">
      <alignment horizontal="left" vertical="center"/>
    </xf>
    <xf numFmtId="0" fontId="30" fillId="0" borderId="0" xfId="39" applyFont="1"/>
    <xf numFmtId="0" fontId="59" fillId="0" borderId="0" xfId="0" applyFont="1"/>
    <xf numFmtId="0" fontId="67" fillId="0" borderId="0" xfId="0" applyFont="1"/>
    <xf numFmtId="0" fontId="68" fillId="0" borderId="0" xfId="0" applyFont="1"/>
    <xf numFmtId="0" fontId="73" fillId="0" borderId="0" xfId="35" applyFont="1"/>
    <xf numFmtId="0" fontId="74" fillId="0" borderId="0" xfId="35" applyFont="1" applyAlignment="1">
      <alignment horizontal="center" vertical="center"/>
    </xf>
    <xf numFmtId="0" fontId="62" fillId="0" borderId="0" xfId="0" applyFont="1"/>
    <xf numFmtId="2" fontId="76" fillId="0" borderId="0" xfId="36" applyNumberFormat="1" applyFont="1" applyFill="1" applyAlignment="1">
      <alignment horizontal="center" vertical="top"/>
    </xf>
    <xf numFmtId="0" fontId="72" fillId="0" borderId="0" xfId="35" applyFont="1" applyAlignment="1">
      <alignment horizontal="center" vertical="center"/>
    </xf>
    <xf numFmtId="0" fontId="62" fillId="0" borderId="0" xfId="36" applyFont="1">
      <alignment vertical="top"/>
    </xf>
    <xf numFmtId="0" fontId="58" fillId="0" borderId="0" xfId="0" applyFont="1"/>
    <xf numFmtId="0" fontId="50" fillId="0" borderId="0" xfId="0" applyFont="1" applyAlignment="1">
      <alignment horizontal="left" vertical="center"/>
    </xf>
    <xf numFmtId="0" fontId="51" fillId="0" borderId="0" xfId="0" applyFont="1" applyAlignment="1">
      <alignment horizontal="left" vertical="center"/>
    </xf>
    <xf numFmtId="0" fontId="13" fillId="27" borderId="0" xfId="0" applyFont="1" applyFill="1" applyAlignment="1">
      <alignment vertical="center"/>
    </xf>
    <xf numFmtId="0" fontId="30" fillId="27" borderId="0" xfId="0" applyFont="1" applyFill="1" applyAlignment="1">
      <alignment vertical="center"/>
    </xf>
    <xf numFmtId="0" fontId="58" fillId="27" borderId="0" xfId="0" applyFont="1" applyFill="1"/>
    <xf numFmtId="0" fontId="0" fillId="27" borderId="0" xfId="0" applyFill="1"/>
    <xf numFmtId="0" fontId="30" fillId="27" borderId="0" xfId="0" applyFont="1" applyFill="1" applyAlignment="1">
      <alignment horizontal="right" vertical="center"/>
    </xf>
    <xf numFmtId="0" fontId="61" fillId="27" borderId="0" xfId="38" applyFont="1" applyFill="1" applyBorder="1" applyAlignment="1" applyProtection="1">
      <alignment horizontal="center" vertical="center" wrapText="1"/>
      <protection locked="0"/>
    </xf>
    <xf numFmtId="0" fontId="15" fillId="27" borderId="0" xfId="0" applyFont="1" applyFill="1"/>
    <xf numFmtId="0" fontId="59" fillId="27" borderId="0" xfId="0" applyFont="1" applyFill="1"/>
    <xf numFmtId="4" fontId="29" fillId="27" borderId="0" xfId="0" applyNumberFormat="1" applyFont="1" applyFill="1" applyAlignment="1">
      <alignment horizontal="left" vertical="center"/>
    </xf>
    <xf numFmtId="4" fontId="66" fillId="27" borderId="0" xfId="0" applyNumberFormat="1" applyFont="1" applyFill="1" applyAlignment="1">
      <alignment horizontal="left" vertical="center"/>
    </xf>
    <xf numFmtId="0" fontId="84" fillId="27" borderId="0" xfId="0" applyFont="1" applyFill="1"/>
    <xf numFmtId="4" fontId="71" fillId="27" borderId="0" xfId="0" applyNumberFormat="1" applyFont="1" applyFill="1" applyAlignment="1">
      <alignment horizontal="left" vertical="center"/>
    </xf>
    <xf numFmtId="4" fontId="57" fillId="27" borderId="0" xfId="0" applyNumberFormat="1" applyFont="1" applyFill="1" applyAlignment="1">
      <alignment horizontal="left" vertical="center"/>
    </xf>
    <xf numFmtId="4" fontId="60" fillId="27" borderId="0" xfId="0" applyNumberFormat="1" applyFont="1" applyFill="1" applyAlignment="1">
      <alignment horizontal="left" vertical="center"/>
    </xf>
    <xf numFmtId="4" fontId="86" fillId="27" borderId="0" xfId="0" applyNumberFormat="1" applyFont="1" applyFill="1" applyAlignment="1">
      <alignment horizontal="left" vertical="center"/>
    </xf>
    <xf numFmtId="0" fontId="36" fillId="27" borderId="0" xfId="0" applyFont="1" applyFill="1"/>
    <xf numFmtId="4" fontId="78" fillId="27" borderId="0" xfId="0" applyNumberFormat="1" applyFont="1" applyFill="1" applyAlignment="1">
      <alignment horizontal="left" vertical="center"/>
    </xf>
    <xf numFmtId="4" fontId="61" fillId="27" borderId="0" xfId="0" applyNumberFormat="1" applyFont="1" applyFill="1" applyAlignment="1">
      <alignment horizontal="left" vertical="center"/>
    </xf>
    <xf numFmtId="0" fontId="67" fillId="27" borderId="0" xfId="0" applyFont="1" applyFill="1"/>
    <xf numFmtId="4" fontId="30" fillId="27" borderId="0" xfId="0" applyNumberFormat="1" applyFont="1" applyFill="1" applyAlignment="1">
      <alignment horizontal="left" vertical="center"/>
    </xf>
    <xf numFmtId="4" fontId="39" fillId="27" borderId="0" xfId="0" applyNumberFormat="1" applyFont="1" applyFill="1"/>
    <xf numFmtId="4" fontId="69" fillId="27" borderId="0" xfId="0" applyNumberFormat="1" applyFont="1" applyFill="1" applyAlignment="1">
      <alignment horizontal="left" vertical="center"/>
    </xf>
    <xf numFmtId="4" fontId="85" fillId="27" borderId="0" xfId="0" applyNumberFormat="1" applyFont="1" applyFill="1" applyAlignment="1">
      <alignment horizontal="left" vertical="center"/>
    </xf>
    <xf numFmtId="49" fontId="61" fillId="27" borderId="15" xfId="0" applyNumberFormat="1" applyFont="1" applyFill="1" applyBorder="1" applyAlignment="1">
      <alignment horizontal="center" vertical="center" wrapText="1"/>
    </xf>
    <xf numFmtId="4" fontId="65" fillId="27" borderId="15" xfId="0" applyNumberFormat="1" applyFont="1" applyFill="1" applyBorder="1" applyAlignment="1">
      <alignment horizontal="center" vertical="center" wrapText="1"/>
    </xf>
    <xf numFmtId="4" fontId="62" fillId="27" borderId="15" xfId="0" applyNumberFormat="1" applyFont="1" applyFill="1" applyBorder="1" applyAlignment="1">
      <alignment horizontal="center" vertical="center" wrapText="1"/>
    </xf>
    <xf numFmtId="4" fontId="62" fillId="27" borderId="15" xfId="0" applyNumberFormat="1" applyFont="1" applyFill="1" applyBorder="1" applyAlignment="1">
      <alignment horizontal="center" vertical="center"/>
    </xf>
    <xf numFmtId="4" fontId="31" fillId="27" borderId="0" xfId="0" applyNumberFormat="1" applyFont="1" applyFill="1" applyAlignment="1">
      <alignment horizontal="center" vertical="center" wrapText="1"/>
    </xf>
    <xf numFmtId="4" fontId="31" fillId="27" borderId="0" xfId="0" applyNumberFormat="1" applyFont="1" applyFill="1" applyAlignment="1">
      <alignment horizontal="left" vertical="center" wrapText="1"/>
    </xf>
    <xf numFmtId="4" fontId="65" fillId="27" borderId="0" xfId="0" applyNumberFormat="1" applyFont="1" applyFill="1" applyAlignment="1">
      <alignment horizontal="center" vertical="center" wrapText="1"/>
    </xf>
    <xf numFmtId="4" fontId="32" fillId="27" borderId="0" xfId="0" applyNumberFormat="1" applyFont="1" applyFill="1" applyAlignment="1">
      <alignment horizontal="left" vertical="center" wrapText="1"/>
    </xf>
    <xf numFmtId="4" fontId="32" fillId="27" borderId="0" xfId="0" applyNumberFormat="1" applyFont="1" applyFill="1" applyAlignment="1">
      <alignment horizontal="center" vertical="center" wrapText="1"/>
    </xf>
    <xf numFmtId="4" fontId="65" fillId="27" borderId="0" xfId="0" applyNumberFormat="1" applyFont="1" applyFill="1" applyAlignment="1">
      <alignment horizontal="left" vertical="center" wrapText="1"/>
    </xf>
    <xf numFmtId="4" fontId="77" fillId="27" borderId="0" xfId="0" applyNumberFormat="1" applyFont="1" applyFill="1" applyAlignment="1">
      <alignment horizontal="left" vertical="center" wrapText="1"/>
    </xf>
    <xf numFmtId="4" fontId="83" fillId="27" borderId="0" xfId="0" applyNumberFormat="1" applyFont="1" applyFill="1" applyAlignment="1">
      <alignment horizontal="left" vertical="center" wrapText="1"/>
    </xf>
    <xf numFmtId="4" fontId="79" fillId="27" borderId="0" xfId="0" applyNumberFormat="1" applyFont="1" applyFill="1" applyAlignment="1">
      <alignment horizontal="left" vertical="center" wrapText="1"/>
    </xf>
    <xf numFmtId="4" fontId="80" fillId="27" borderId="0" xfId="0" applyNumberFormat="1" applyFont="1" applyFill="1" applyAlignment="1">
      <alignment horizontal="center" vertical="center" wrapText="1"/>
    </xf>
    <xf numFmtId="4" fontId="49" fillId="27" borderId="0" xfId="0" applyNumberFormat="1" applyFont="1" applyFill="1" applyAlignment="1">
      <alignment vertical="center"/>
    </xf>
    <xf numFmtId="4" fontId="61" fillId="27" borderId="0" xfId="0" applyNumberFormat="1" applyFont="1" applyFill="1" applyAlignment="1">
      <alignment horizontal="center" vertical="center"/>
    </xf>
    <xf numFmtId="0" fontId="14" fillId="27" borderId="0" xfId="0" applyFont="1" applyFill="1" applyAlignment="1">
      <alignment vertical="center"/>
    </xf>
    <xf numFmtId="0" fontId="81" fillId="27" borderId="0" xfId="0" applyFont="1" applyFill="1" applyAlignment="1">
      <alignment vertical="center"/>
    </xf>
    <xf numFmtId="4" fontId="14" fillId="27" borderId="0" xfId="0" applyNumberFormat="1" applyFont="1" applyFill="1" applyAlignment="1">
      <alignment vertical="center"/>
    </xf>
    <xf numFmtId="4" fontId="13" fillId="27" borderId="0" xfId="0" applyNumberFormat="1" applyFont="1" applyFill="1" applyAlignment="1">
      <alignment vertical="center"/>
    </xf>
    <xf numFmtId="0" fontId="82" fillId="27" borderId="0" xfId="0" applyFont="1" applyFill="1" applyAlignment="1">
      <alignment vertical="center"/>
    </xf>
    <xf numFmtId="4" fontId="53" fillId="27" borderId="0" xfId="0" applyNumberFormat="1" applyFont="1" applyFill="1" applyAlignment="1">
      <alignment vertical="center"/>
    </xf>
    <xf numFmtId="167" fontId="37" fillId="27" borderId="0" xfId="0" applyNumberFormat="1" applyFont="1" applyFill="1" applyAlignment="1">
      <alignment vertical="center"/>
    </xf>
    <xf numFmtId="4" fontId="29" fillId="28" borderId="0" xfId="36" applyNumberFormat="1" applyFont="1" applyFill="1" applyBorder="1" applyAlignment="1">
      <alignment horizontal="center" vertical="center" wrapText="1"/>
    </xf>
    <xf numFmtId="4" fontId="70" fillId="27" borderId="0" xfId="0" applyNumberFormat="1" applyFont="1" applyFill="1" applyAlignment="1">
      <alignment vertical="center"/>
    </xf>
    <xf numFmtId="0" fontId="29" fillId="27" borderId="0" xfId="0" applyFont="1" applyFill="1" applyAlignment="1">
      <alignment horizontal="right" vertical="center"/>
    </xf>
    <xf numFmtId="0" fontId="53" fillId="27" borderId="0" xfId="0" applyFont="1" applyFill="1" applyAlignment="1">
      <alignment vertical="center"/>
    </xf>
    <xf numFmtId="4" fontId="56" fillId="27" borderId="0" xfId="0" applyNumberFormat="1" applyFont="1" applyFill="1" applyAlignment="1">
      <alignment vertical="center"/>
    </xf>
    <xf numFmtId="4" fontId="37" fillId="27" borderId="0" xfId="0" applyNumberFormat="1" applyFont="1" applyFill="1" applyAlignment="1">
      <alignment vertical="center"/>
    </xf>
    <xf numFmtId="0" fontId="54" fillId="27" borderId="0" xfId="0" applyFont="1" applyFill="1"/>
    <xf numFmtId="10" fontId="37" fillId="27" borderId="0" xfId="0" applyNumberFormat="1" applyFont="1" applyFill="1" applyAlignment="1">
      <alignment vertical="center"/>
    </xf>
    <xf numFmtId="0" fontId="37" fillId="27" borderId="0" xfId="0" applyFont="1" applyFill="1" applyAlignment="1">
      <alignment vertical="center"/>
    </xf>
    <xf numFmtId="4" fontId="61" fillId="27" borderId="15" xfId="0" applyNumberFormat="1" applyFont="1" applyFill="1" applyBorder="1" applyAlignment="1">
      <alignment horizontal="center" vertical="center" wrapText="1"/>
    </xf>
    <xf numFmtId="2" fontId="75" fillId="27" borderId="0" xfId="36" applyNumberFormat="1" applyFont="1" applyFill="1" applyAlignment="1">
      <alignment horizontal="center" vertical="top"/>
    </xf>
    <xf numFmtId="0" fontId="13" fillId="0" borderId="0" xfId="0" applyFont="1" applyAlignment="1">
      <alignment vertical="center"/>
    </xf>
    <xf numFmtId="0" fontId="30" fillId="0" borderId="0" xfId="0" applyFont="1" applyAlignment="1">
      <alignment vertical="center"/>
    </xf>
    <xf numFmtId="0" fontId="29" fillId="0" borderId="0" xfId="0" applyFont="1" applyAlignment="1">
      <alignment horizontal="center" vertical="center"/>
    </xf>
    <xf numFmtId="0" fontId="30" fillId="0" borderId="0" xfId="0" applyFont="1" applyAlignment="1">
      <alignment horizontal="center" vertical="center"/>
    </xf>
    <xf numFmtId="4" fontId="90" fillId="27" borderId="0" xfId="0" applyNumberFormat="1" applyFont="1" applyFill="1" applyAlignment="1">
      <alignment vertical="center"/>
    </xf>
    <xf numFmtId="0" fontId="89" fillId="0" borderId="0" xfId="0" applyFont="1"/>
    <xf numFmtId="0" fontId="89" fillId="27" borderId="0" xfId="0" applyFont="1" applyFill="1"/>
    <xf numFmtId="4" fontId="92" fillId="27" borderId="0" xfId="0" applyNumberFormat="1" applyFont="1" applyFill="1"/>
    <xf numFmtId="4" fontId="91" fillId="27" borderId="0" xfId="0" applyNumberFormat="1" applyFont="1" applyFill="1" applyAlignment="1">
      <alignment horizontal="center" vertical="center"/>
    </xf>
    <xf numFmtId="4" fontId="93" fillId="28" borderId="15" xfId="0" applyNumberFormat="1" applyFont="1" applyFill="1" applyBorder="1" applyAlignment="1">
      <alignment horizontal="center" vertical="center"/>
    </xf>
    <xf numFmtId="4" fontId="94" fillId="27" borderId="0" xfId="0" applyNumberFormat="1" applyFont="1" applyFill="1" applyAlignment="1">
      <alignment vertical="center"/>
    </xf>
    <xf numFmtId="4" fontId="95" fillId="27" borderId="0" xfId="0" applyNumberFormat="1" applyFont="1" applyFill="1" applyAlignment="1">
      <alignment vertical="center"/>
    </xf>
    <xf numFmtId="0" fontId="96" fillId="27" borderId="0" xfId="0" applyFont="1" applyFill="1" applyAlignment="1">
      <alignment vertical="center"/>
    </xf>
    <xf numFmtId="0" fontId="97" fillId="27" borderId="0" xfId="0" applyFont="1" applyFill="1" applyAlignment="1">
      <alignment vertical="center"/>
    </xf>
    <xf numFmtId="165" fontId="98" fillId="27" borderId="0" xfId="0" applyNumberFormat="1" applyFont="1" applyFill="1" applyAlignment="1">
      <alignment horizontal="right" vertical="center" wrapText="1"/>
    </xf>
    <xf numFmtId="165" fontId="99" fillId="27" borderId="0" xfId="0" applyNumberFormat="1" applyFont="1" applyFill="1" applyAlignment="1">
      <alignment horizontal="right" vertical="center" wrapText="1"/>
    </xf>
    <xf numFmtId="0" fontId="99" fillId="27" borderId="0" xfId="0" applyFont="1" applyFill="1" applyAlignment="1">
      <alignment vertical="center"/>
    </xf>
    <xf numFmtId="0" fontId="98" fillId="27" borderId="0" xfId="0" applyFont="1" applyFill="1" applyAlignment="1">
      <alignment vertical="center"/>
    </xf>
    <xf numFmtId="4" fontId="98" fillId="27" borderId="0" xfId="0" applyNumberFormat="1" applyFont="1" applyFill="1" applyAlignment="1">
      <alignment vertical="center"/>
    </xf>
    <xf numFmtId="2" fontId="100" fillId="27" borderId="0" xfId="0" applyNumberFormat="1" applyFont="1" applyFill="1" applyAlignment="1">
      <alignment horizontal="center" vertical="center"/>
    </xf>
    <xf numFmtId="0" fontId="75" fillId="0" borderId="0" xfId="36" applyFont="1">
      <alignment vertical="top"/>
    </xf>
    <xf numFmtId="49" fontId="30" fillId="0" borderId="15" xfId="0" applyNumberFormat="1" applyFont="1" applyBorder="1" applyAlignment="1">
      <alignment horizontal="center" vertical="center" wrapText="1"/>
    </xf>
    <xf numFmtId="0" fontId="72" fillId="0" borderId="0" xfId="39" applyFont="1"/>
    <xf numFmtId="0" fontId="64" fillId="0" borderId="0" xfId="39" applyFont="1" applyAlignment="1">
      <alignment wrapText="1"/>
    </xf>
    <xf numFmtId="0" fontId="104" fillId="0" borderId="0" xfId="39" applyFont="1" applyAlignment="1">
      <alignment wrapText="1"/>
    </xf>
    <xf numFmtId="0" fontId="105" fillId="0" borderId="0" xfId="39" applyFont="1" applyAlignment="1">
      <alignment wrapText="1"/>
    </xf>
    <xf numFmtId="0" fontId="72" fillId="0" borderId="0" xfId="39" applyFont="1" applyAlignment="1">
      <alignment wrapText="1"/>
    </xf>
    <xf numFmtId="0" fontId="108" fillId="0" borderId="0" xfId="39" applyFont="1" applyAlignment="1">
      <alignment wrapText="1"/>
    </xf>
    <xf numFmtId="4" fontId="106" fillId="27" borderId="23" xfId="39" applyNumberFormat="1" applyFont="1" applyFill="1" applyBorder="1" applyAlignment="1">
      <alignment horizontal="center" vertical="center" wrapText="1"/>
    </xf>
    <xf numFmtId="4" fontId="107" fillId="27" borderId="23" xfId="39" applyNumberFormat="1" applyFont="1" applyFill="1" applyBorder="1" applyAlignment="1">
      <alignment horizontal="center" vertical="center" wrapText="1"/>
    </xf>
    <xf numFmtId="0" fontId="72" fillId="0" borderId="0" xfId="39" applyFont="1" applyAlignment="1">
      <alignment vertical="center"/>
    </xf>
    <xf numFmtId="4" fontId="72" fillId="0" borderId="0" xfId="39" applyNumberFormat="1" applyFont="1"/>
    <xf numFmtId="0" fontId="101" fillId="0" borderId="0" xfId="0" applyFont="1" applyAlignment="1">
      <alignment horizontal="justify" vertical="center"/>
    </xf>
    <xf numFmtId="0" fontId="102" fillId="0" borderId="0" xfId="39" applyFont="1"/>
    <xf numFmtId="4" fontId="58" fillId="27" borderId="0" xfId="0" applyNumberFormat="1" applyFont="1" applyFill="1"/>
    <xf numFmtId="4" fontId="58" fillId="0" borderId="0" xfId="0" applyNumberFormat="1" applyFont="1"/>
    <xf numFmtId="0" fontId="72" fillId="27" borderId="23" xfId="0" applyFont="1" applyFill="1" applyBorder="1" applyAlignment="1">
      <alignment horizontal="center" vertical="center" wrapText="1"/>
    </xf>
    <xf numFmtId="0" fontId="72" fillId="27" borderId="23" xfId="0" applyFont="1" applyFill="1" applyBorder="1" applyAlignment="1">
      <alignment horizontal="left" vertical="center" wrapText="1"/>
    </xf>
    <xf numFmtId="4" fontId="72" fillId="27" borderId="23" xfId="0" applyNumberFormat="1" applyFont="1" applyFill="1" applyBorder="1" applyAlignment="1">
      <alignment horizontal="center" vertical="center" wrapText="1"/>
    </xf>
    <xf numFmtId="4" fontId="59" fillId="27" borderId="0" xfId="0" applyNumberFormat="1" applyFont="1" applyFill="1"/>
    <xf numFmtId="4" fontId="59" fillId="0" borderId="0" xfId="0" applyNumberFormat="1" applyFont="1"/>
    <xf numFmtId="0" fontId="72" fillId="0" borderId="0" xfId="0" applyFont="1"/>
    <xf numFmtId="0" fontId="61" fillId="0" borderId="0" xfId="0" applyFont="1"/>
    <xf numFmtId="49" fontId="57" fillId="0" borderId="15" xfId="0" applyNumberFormat="1" applyFont="1" applyBorder="1" applyAlignment="1">
      <alignment horizontal="center" vertical="center" wrapText="1"/>
    </xf>
    <xf numFmtId="49" fontId="61" fillId="27" borderId="0" xfId="0" applyNumberFormat="1" applyFont="1" applyFill="1" applyAlignment="1">
      <alignment horizontal="center" vertical="center" wrapText="1"/>
    </xf>
    <xf numFmtId="4" fontId="65" fillId="0" borderId="15" xfId="0" applyNumberFormat="1" applyFont="1" applyBorder="1" applyAlignment="1">
      <alignment horizontal="center" vertical="center" wrapText="1"/>
    </xf>
    <xf numFmtId="49" fontId="61" fillId="0" borderId="15" xfId="0" applyNumberFormat="1" applyFont="1" applyBorder="1" applyAlignment="1">
      <alignment horizontal="center" vertical="center" wrapText="1"/>
    </xf>
    <xf numFmtId="4" fontId="62" fillId="0" borderId="15" xfId="38" applyNumberFormat="1" applyFont="1" applyFill="1" applyBorder="1" applyAlignment="1" applyProtection="1">
      <alignment horizontal="center" vertical="center" wrapText="1"/>
      <protection locked="0"/>
    </xf>
    <xf numFmtId="4" fontId="62" fillId="0" borderId="15" xfId="38" applyNumberFormat="1" applyFont="1" applyFill="1" applyBorder="1" applyAlignment="1">
      <alignment horizontal="center" vertical="center" wrapText="1"/>
    </xf>
    <xf numFmtId="4" fontId="65" fillId="0" borderId="15" xfId="38" applyNumberFormat="1" applyFont="1" applyFill="1" applyBorder="1" applyAlignment="1">
      <alignment horizontal="center" vertical="center" wrapText="1"/>
    </xf>
    <xf numFmtId="4" fontId="62" fillId="0" borderId="15" xfId="0" applyNumberFormat="1" applyFont="1" applyBorder="1" applyAlignment="1">
      <alignment horizontal="center" vertical="center"/>
    </xf>
    <xf numFmtId="0" fontId="103" fillId="27" borderId="0" xfId="0" applyFont="1" applyFill="1"/>
    <xf numFmtId="4" fontId="62" fillId="0" borderId="15" xfId="0" applyNumberFormat="1" applyFont="1" applyBorder="1" applyAlignment="1">
      <alignment horizontal="center" vertical="center" wrapText="1"/>
    </xf>
    <xf numFmtId="0" fontId="106" fillId="27" borderId="0" xfId="0" applyFont="1" applyFill="1"/>
    <xf numFmtId="49" fontId="60" fillId="0" borderId="15" xfId="0" applyNumberFormat="1" applyFont="1" applyBorder="1" applyAlignment="1">
      <alignment horizontal="center" vertical="center" wrapText="1"/>
    </xf>
    <xf numFmtId="4" fontId="77" fillId="0" borderId="15" xfId="0" applyNumberFormat="1" applyFont="1" applyBorder="1" applyAlignment="1">
      <alignment horizontal="center" vertical="center" wrapText="1"/>
    </xf>
    <xf numFmtId="0" fontId="107" fillId="27" borderId="0" xfId="0" applyFont="1" applyFill="1"/>
    <xf numFmtId="0" fontId="72" fillId="27" borderId="0" xfId="0" applyFont="1" applyFill="1"/>
    <xf numFmtId="49" fontId="86" fillId="0" borderId="15" xfId="0" applyNumberFormat="1" applyFont="1" applyBorder="1" applyAlignment="1">
      <alignment horizontal="center" vertical="center" wrapText="1"/>
    </xf>
    <xf numFmtId="4" fontId="109" fillId="0" borderId="15" xfId="0" applyNumberFormat="1" applyFont="1" applyBorder="1" applyAlignment="1">
      <alignment horizontal="center" vertical="center" wrapText="1"/>
    </xf>
    <xf numFmtId="4" fontId="110" fillId="27" borderId="0" xfId="0" applyNumberFormat="1" applyFont="1" applyFill="1" applyAlignment="1">
      <alignment horizontal="center" vertical="center"/>
    </xf>
    <xf numFmtId="4" fontId="68" fillId="27" borderId="0" xfId="0" applyNumberFormat="1" applyFont="1" applyFill="1"/>
    <xf numFmtId="49" fontId="86" fillId="27" borderId="15" xfId="0" applyNumberFormat="1" applyFont="1" applyFill="1" applyBorder="1" applyAlignment="1">
      <alignment horizontal="center" vertical="center" wrapText="1"/>
    </xf>
    <xf numFmtId="4" fontId="109" fillId="27" borderId="15" xfId="0" applyNumberFormat="1" applyFont="1" applyFill="1" applyBorder="1" applyAlignment="1">
      <alignment horizontal="center" vertical="center" wrapText="1"/>
    </xf>
    <xf numFmtId="49" fontId="57" fillId="27" borderId="15" xfId="0" applyNumberFormat="1" applyFont="1" applyFill="1" applyBorder="1" applyAlignment="1">
      <alignment horizontal="center" vertical="center" wrapText="1"/>
    </xf>
    <xf numFmtId="49" fontId="60" fillId="27" borderId="15" xfId="0" applyNumberFormat="1" applyFont="1" applyFill="1" applyBorder="1" applyAlignment="1">
      <alignment horizontal="center" vertical="center" wrapText="1"/>
    </xf>
    <xf numFmtId="4" fontId="77" fillId="27" borderId="15" xfId="0" applyNumberFormat="1" applyFont="1" applyFill="1" applyBorder="1" applyAlignment="1">
      <alignment horizontal="center" vertical="center" wrapText="1"/>
    </xf>
    <xf numFmtId="0" fontId="112" fillId="27" borderId="0" xfId="0" applyFont="1" applyFill="1"/>
    <xf numFmtId="4" fontId="62" fillId="27" borderId="0" xfId="0" applyNumberFormat="1" applyFont="1" applyFill="1" applyAlignment="1">
      <alignment horizontal="center" vertical="center" wrapText="1"/>
    </xf>
    <xf numFmtId="0" fontId="61" fillId="0" borderId="15" xfId="0" applyFont="1" applyBorder="1" applyAlignment="1">
      <alignment horizontal="center" vertical="center" wrapText="1"/>
    </xf>
    <xf numFmtId="4" fontId="65" fillId="0" borderId="15" xfId="38" applyNumberFormat="1" applyFont="1" applyFill="1" applyBorder="1" applyAlignment="1" applyProtection="1">
      <alignment horizontal="center" vertical="center" wrapText="1"/>
      <protection locked="0"/>
    </xf>
    <xf numFmtId="0" fontId="86" fillId="0" borderId="15" xfId="38" applyFont="1" applyFill="1" applyBorder="1" applyAlignment="1" applyProtection="1">
      <alignment horizontal="center" vertical="center" wrapText="1"/>
      <protection locked="0"/>
    </xf>
    <xf numFmtId="0" fontId="61" fillId="0" borderId="0" xfId="38" applyFont="1" applyFill="1" applyBorder="1" applyAlignment="1" applyProtection="1">
      <alignment horizontal="center" wrapText="1"/>
      <protection locked="0"/>
    </xf>
    <xf numFmtId="0" fontId="61" fillId="0" borderId="17" xfId="38" applyFont="1" applyFill="1" applyBorder="1" applyAlignment="1" applyProtection="1">
      <alignment horizontal="center" vertical="top" wrapText="1"/>
      <protection locked="0"/>
    </xf>
    <xf numFmtId="4" fontId="109" fillId="27" borderId="0" xfId="0" applyNumberFormat="1" applyFont="1" applyFill="1" applyAlignment="1">
      <alignment horizontal="center" vertical="center" wrapText="1"/>
    </xf>
    <xf numFmtId="4" fontId="109" fillId="0" borderId="15" xfId="38" applyNumberFormat="1" applyFont="1" applyFill="1" applyBorder="1" applyAlignment="1" applyProtection="1">
      <alignment horizontal="center" vertical="center" wrapText="1"/>
      <protection locked="0"/>
    </xf>
    <xf numFmtId="4" fontId="77" fillId="0" borderId="15" xfId="38" applyNumberFormat="1" applyFont="1" applyFill="1" applyBorder="1" applyAlignment="1" applyProtection="1">
      <alignment horizontal="center" vertical="center" wrapText="1"/>
      <protection locked="0"/>
    </xf>
    <xf numFmtId="4" fontId="65" fillId="27" borderId="15" xfId="38" applyNumberFormat="1" applyFont="1" applyFill="1" applyBorder="1" applyAlignment="1" applyProtection="1">
      <alignment horizontal="center" vertical="center" wrapText="1"/>
      <protection locked="0"/>
    </xf>
    <xf numFmtId="4" fontId="62" fillId="27" borderId="15" xfId="38" applyNumberFormat="1" applyFont="1" applyFill="1" applyBorder="1" applyAlignment="1" applyProtection="1">
      <alignment horizontal="center" vertical="center" wrapText="1"/>
      <protection locked="0"/>
    </xf>
    <xf numFmtId="0" fontId="101" fillId="27" borderId="0" xfId="0" applyFont="1" applyFill="1"/>
    <xf numFmtId="0" fontId="61" fillId="27" borderId="0" xfId="38" applyFont="1" applyFill="1" applyBorder="1" applyAlignment="1" applyProtection="1">
      <alignment horizontal="center" wrapText="1"/>
      <protection locked="0"/>
    </xf>
    <xf numFmtId="0" fontId="61" fillId="27" borderId="17" xfId="38" applyFont="1" applyFill="1" applyBorder="1" applyAlignment="1" applyProtection="1">
      <alignment horizontal="center" vertical="top" wrapText="1"/>
      <protection locked="0"/>
    </xf>
    <xf numFmtId="4" fontId="60" fillId="0" borderId="15" xfId="38" applyNumberFormat="1" applyFont="1" applyFill="1" applyBorder="1" applyAlignment="1" applyProtection="1">
      <alignment horizontal="center" vertical="center" wrapText="1"/>
      <protection locked="0"/>
    </xf>
    <xf numFmtId="0" fontId="60" fillId="0" borderId="15" xfId="0" applyFont="1" applyBorder="1" applyAlignment="1">
      <alignment horizontal="center" vertical="center" wrapText="1"/>
    </xf>
    <xf numFmtId="0" fontId="86" fillId="0" borderId="15" xfId="0" applyFont="1" applyBorder="1" applyAlignment="1">
      <alignment horizontal="center" vertical="center" wrapText="1"/>
    </xf>
    <xf numFmtId="0" fontId="113" fillId="0" borderId="0" xfId="0" applyFont="1" applyAlignment="1">
      <alignment horizontal="left" vertical="center"/>
    </xf>
    <xf numFmtId="0" fontId="114" fillId="0" borderId="0" xfId="0" applyFont="1" applyAlignment="1">
      <alignment horizontal="left" vertical="center"/>
    </xf>
    <xf numFmtId="0" fontId="72" fillId="0" borderId="0" xfId="35" applyFont="1"/>
    <xf numFmtId="0" fontId="73" fillId="0" borderId="9" xfId="35" applyFont="1" applyBorder="1"/>
    <xf numFmtId="0" fontId="73" fillId="0" borderId="10" xfId="35" applyFont="1" applyBorder="1"/>
    <xf numFmtId="0" fontId="105" fillId="0" borderId="0" xfId="35" applyFont="1"/>
    <xf numFmtId="0" fontId="115" fillId="0" borderId="0" xfId="35" applyFont="1"/>
    <xf numFmtId="0" fontId="64" fillId="0" borderId="0" xfId="35" applyFont="1" applyAlignment="1">
      <alignment horizontal="center" vertical="center" wrapText="1"/>
    </xf>
    <xf numFmtId="4" fontId="104" fillId="0" borderId="0" xfId="35" applyNumberFormat="1" applyFont="1" applyAlignment="1">
      <alignment horizontal="center" vertical="center"/>
    </xf>
    <xf numFmtId="0" fontId="116" fillId="0" borderId="0" xfId="0" applyFont="1" applyAlignment="1">
      <alignment vertical="center"/>
    </xf>
    <xf numFmtId="4" fontId="117" fillId="0" borderId="0" xfId="0" applyNumberFormat="1" applyFont="1" applyAlignment="1">
      <alignment vertical="center"/>
    </xf>
    <xf numFmtId="4" fontId="118" fillId="0" borderId="0" xfId="0" applyNumberFormat="1" applyFont="1" applyAlignment="1">
      <alignment vertical="center"/>
    </xf>
    <xf numFmtId="0" fontId="118" fillId="0" borderId="0" xfId="0" applyFont="1" applyAlignment="1">
      <alignment vertical="center"/>
    </xf>
    <xf numFmtId="4" fontId="116" fillId="0" borderId="0" xfId="0" applyNumberFormat="1" applyFont="1" applyAlignment="1">
      <alignment vertical="center"/>
    </xf>
    <xf numFmtId="0" fontId="117" fillId="0" borderId="0" xfId="0" applyFont="1" applyAlignment="1">
      <alignment vertical="center"/>
    </xf>
    <xf numFmtId="0" fontId="119" fillId="0" borderId="0" xfId="35" applyFont="1"/>
    <xf numFmtId="0" fontId="62" fillId="0" borderId="0" xfId="35" applyFont="1"/>
    <xf numFmtId="0" fontId="120" fillId="0" borderId="0" xfId="35" applyFont="1"/>
    <xf numFmtId="0" fontId="81" fillId="0" borderId="0" xfId="0" applyFont="1" applyAlignment="1">
      <alignment vertical="center"/>
    </xf>
    <xf numFmtId="0" fontId="121" fillId="26" borderId="0" xfId="0" applyFont="1" applyFill="1"/>
    <xf numFmtId="0" fontId="58" fillId="26" borderId="0" xfId="0" applyFont="1" applyFill="1"/>
    <xf numFmtId="0" fontId="59" fillId="26" borderId="0" xfId="0" applyFont="1" applyFill="1"/>
    <xf numFmtId="4" fontId="61" fillId="0" borderId="15" xfId="0" applyNumberFormat="1" applyFont="1" applyBorder="1" applyAlignment="1">
      <alignment horizontal="center" vertical="center" wrapText="1"/>
    </xf>
    <xf numFmtId="0" fontId="122" fillId="26" borderId="0" xfId="0" applyFont="1" applyFill="1"/>
    <xf numFmtId="49" fontId="61" fillId="26" borderId="15" xfId="0" applyNumberFormat="1" applyFont="1" applyFill="1" applyBorder="1" applyAlignment="1">
      <alignment horizontal="center" vertical="center" wrapText="1"/>
    </xf>
    <xf numFmtId="4" fontId="61" fillId="26" borderId="15" xfId="0" applyNumberFormat="1" applyFont="1" applyFill="1" applyBorder="1" applyAlignment="1">
      <alignment horizontal="center" vertical="center" wrapText="1"/>
    </xf>
    <xf numFmtId="49" fontId="61" fillId="26" borderId="15" xfId="0" applyNumberFormat="1" applyFont="1" applyFill="1" applyBorder="1" applyAlignment="1">
      <alignment horizontal="left" vertical="center" wrapText="1"/>
    </xf>
    <xf numFmtId="0" fontId="61" fillId="0" borderId="0" xfId="39" applyFont="1"/>
    <xf numFmtId="0" fontId="61" fillId="0" borderId="0" xfId="0" applyFont="1" applyAlignment="1">
      <alignment horizontal="left" vertical="center"/>
    </xf>
    <xf numFmtId="0" fontId="68" fillId="26" borderId="0" xfId="0" applyFont="1" applyFill="1"/>
    <xf numFmtId="0" fontId="81" fillId="26" borderId="0" xfId="0" applyFont="1" applyFill="1" applyAlignment="1">
      <alignment vertical="center"/>
    </xf>
    <xf numFmtId="0" fontId="72" fillId="27" borderId="0" xfId="35" applyFont="1" applyFill="1"/>
    <xf numFmtId="4" fontId="64" fillId="0" borderId="15" xfId="0" applyNumberFormat="1" applyFont="1" applyBorder="1" applyAlignment="1">
      <alignment horizontal="center" vertical="center" wrapText="1"/>
    </xf>
    <xf numFmtId="9" fontId="64" fillId="0" borderId="15" xfId="0" applyNumberFormat="1" applyFont="1" applyBorder="1" applyAlignment="1">
      <alignment horizontal="center" vertical="center" wrapText="1"/>
    </xf>
    <xf numFmtId="0" fontId="101" fillId="0" borderId="0" xfId="35" applyFont="1"/>
    <xf numFmtId="0" fontId="72" fillId="6" borderId="0" xfId="35" applyFont="1" applyFill="1"/>
    <xf numFmtId="0" fontId="72" fillId="25" borderId="0" xfId="35" applyFont="1" applyFill="1" applyAlignment="1">
      <alignment horizontal="center" vertical="center"/>
    </xf>
    <xf numFmtId="4" fontId="77" fillId="28" borderId="14" xfId="0" applyNumberFormat="1" applyFont="1" applyFill="1" applyBorder="1" applyAlignment="1">
      <alignment horizontal="center" vertical="center" wrapText="1"/>
    </xf>
    <xf numFmtId="165" fontId="61" fillId="0" borderId="15" xfId="30" applyNumberFormat="1" applyFont="1" applyBorder="1" applyAlignment="1">
      <alignment horizontal="center" vertical="center" wrapText="1"/>
    </xf>
    <xf numFmtId="4" fontId="61" fillId="0" borderId="15" xfId="38" applyNumberFormat="1" applyFont="1" applyFill="1" applyBorder="1" applyAlignment="1" applyProtection="1">
      <alignment horizontal="center" vertical="center" wrapText="1"/>
      <protection locked="0"/>
    </xf>
    <xf numFmtId="4" fontId="77" fillId="28" borderId="0" xfId="0" applyNumberFormat="1" applyFont="1" applyFill="1" applyAlignment="1">
      <alignment horizontal="center" vertical="center" wrapText="1"/>
    </xf>
    <xf numFmtId="165" fontId="61" fillId="27" borderId="15" xfId="30" applyNumberFormat="1" applyFont="1" applyFill="1" applyBorder="1" applyAlignment="1">
      <alignment horizontal="center" vertical="center" wrapText="1"/>
    </xf>
    <xf numFmtId="4" fontId="61" fillId="27" borderId="15" xfId="38" applyNumberFormat="1" applyFont="1" applyFill="1" applyBorder="1" applyAlignment="1" applyProtection="1">
      <alignment horizontal="center" vertical="center" wrapText="1"/>
      <protection locked="0"/>
    </xf>
    <xf numFmtId="4" fontId="125" fillId="27" borderId="0" xfId="0" applyNumberFormat="1" applyFont="1" applyFill="1" applyAlignment="1">
      <alignment horizontal="center" vertical="center" wrapText="1"/>
    </xf>
    <xf numFmtId="4" fontId="77" fillId="28" borderId="8" xfId="0" applyNumberFormat="1" applyFont="1" applyFill="1" applyBorder="1" applyAlignment="1">
      <alignment horizontal="center" vertical="center" wrapText="1"/>
    </xf>
    <xf numFmtId="0" fontId="77" fillId="27" borderId="0" xfId="0" applyFont="1" applyFill="1" applyAlignment="1">
      <alignment horizontal="center" vertical="center"/>
    </xf>
    <xf numFmtId="0" fontId="61" fillId="27" borderId="15" xfId="0" applyFont="1" applyFill="1" applyBorder="1" applyAlignment="1">
      <alignment horizontal="center" vertical="center" wrapText="1"/>
    </xf>
    <xf numFmtId="165" fontId="61" fillId="27" borderId="0" xfId="30" applyNumberFormat="1" applyFont="1" applyFill="1" applyAlignment="1">
      <alignment horizontal="center" vertical="center" wrapText="1"/>
    </xf>
    <xf numFmtId="165" fontId="61" fillId="25" borderId="15" xfId="30" applyNumberFormat="1" applyFont="1" applyFill="1" applyBorder="1" applyAlignment="1">
      <alignment horizontal="center" vertical="center" wrapText="1"/>
    </xf>
    <xf numFmtId="4" fontId="61" fillId="25" borderId="15" xfId="0" applyNumberFormat="1" applyFont="1" applyFill="1" applyBorder="1" applyAlignment="1">
      <alignment horizontal="center" vertical="center" wrapText="1"/>
    </xf>
    <xf numFmtId="4" fontId="61" fillId="27" borderId="0" xfId="30" applyNumberFormat="1" applyFont="1" applyFill="1" applyAlignment="1">
      <alignment horizontal="center" vertical="center" wrapText="1"/>
    </xf>
    <xf numFmtId="4" fontId="126" fillId="0" borderId="15" xfId="0" applyNumberFormat="1" applyFont="1" applyBorder="1" applyAlignment="1">
      <alignment horizontal="center" vertical="center" wrapText="1"/>
    </xf>
    <xf numFmtId="4" fontId="61" fillId="0" borderId="16" xfId="0" applyNumberFormat="1" applyFont="1" applyBorder="1" applyAlignment="1">
      <alignment horizontal="center" vertical="center" wrapText="1"/>
    </xf>
    <xf numFmtId="4" fontId="126" fillId="27" borderId="15" xfId="0" applyNumberFormat="1" applyFont="1" applyFill="1" applyBorder="1" applyAlignment="1">
      <alignment horizontal="center" vertical="center" wrapText="1"/>
    </xf>
    <xf numFmtId="4" fontId="61" fillId="27" borderId="16" xfId="0" applyNumberFormat="1" applyFont="1" applyFill="1" applyBorder="1" applyAlignment="1">
      <alignment horizontal="center" vertical="center" wrapText="1"/>
    </xf>
    <xf numFmtId="4" fontId="60" fillId="27" borderId="0" xfId="38" applyNumberFormat="1" applyFont="1" applyFill="1" applyBorder="1" applyAlignment="1" applyProtection="1">
      <alignment horizontal="center" vertical="center" wrapText="1"/>
      <protection locked="0"/>
    </xf>
    <xf numFmtId="4" fontId="61" fillId="0" borderId="15" xfId="38" applyNumberFormat="1" applyFont="1" applyFill="1" applyBorder="1" applyAlignment="1">
      <alignment horizontal="center" vertical="center" wrapText="1"/>
    </xf>
    <xf numFmtId="4" fontId="61" fillId="27" borderId="15" xfId="38" applyNumberFormat="1" applyFont="1" applyFill="1" applyBorder="1" applyAlignment="1">
      <alignment horizontal="center" vertical="center" wrapText="1"/>
    </xf>
    <xf numFmtId="4" fontId="61" fillId="0" borderId="16" xfId="38" applyNumberFormat="1" applyFont="1" applyFill="1" applyBorder="1" applyAlignment="1" applyProtection="1">
      <alignment horizontal="center" vertical="center" wrapText="1"/>
      <protection locked="0"/>
    </xf>
    <xf numFmtId="4" fontId="61" fillId="0" borderId="16" xfId="38" applyNumberFormat="1" applyFont="1" applyFill="1" applyBorder="1" applyAlignment="1">
      <alignment horizontal="center" vertical="center" wrapText="1"/>
    </xf>
    <xf numFmtId="0" fontId="127" fillId="27" borderId="0" xfId="0" applyFont="1" applyFill="1" applyAlignment="1">
      <alignment horizontal="center" vertical="center"/>
    </xf>
    <xf numFmtId="0" fontId="128" fillId="27" borderId="0" xfId="0" applyFont="1" applyFill="1"/>
    <xf numFmtId="4" fontId="57" fillId="0" borderId="0" xfId="36" applyNumberFormat="1" applyFont="1" applyFill="1" applyBorder="1" applyAlignment="1">
      <alignment horizontal="center" vertical="center" wrapText="1"/>
    </xf>
    <xf numFmtId="4" fontId="129" fillId="0" borderId="0" xfId="0" applyNumberFormat="1" applyFont="1" applyAlignment="1">
      <alignment vertical="center"/>
    </xf>
    <xf numFmtId="4" fontId="130" fillId="0" borderId="0" xfId="0" applyNumberFormat="1" applyFont="1" applyAlignment="1">
      <alignment vertical="center"/>
    </xf>
    <xf numFmtId="0" fontId="129" fillId="0" borderId="0" xfId="0" applyFont="1" applyAlignment="1">
      <alignment vertical="center"/>
    </xf>
    <xf numFmtId="4" fontId="131" fillId="0" borderId="0" xfId="0" applyNumberFormat="1" applyFont="1" applyAlignment="1">
      <alignment vertical="center"/>
    </xf>
    <xf numFmtId="4" fontId="81" fillId="0" borderId="0" xfId="0" applyNumberFormat="1" applyFont="1" applyAlignment="1">
      <alignment vertical="center"/>
    </xf>
    <xf numFmtId="0" fontId="131" fillId="0" borderId="0" xfId="0" applyFont="1" applyAlignment="1">
      <alignment vertical="center"/>
    </xf>
    <xf numFmtId="0" fontId="132" fillId="0" borderId="0" xfId="0" applyFont="1"/>
    <xf numFmtId="0" fontId="130" fillId="0" borderId="0" xfId="0" applyFont="1" applyAlignment="1">
      <alignment vertical="center"/>
    </xf>
    <xf numFmtId="2" fontId="75" fillId="0" borderId="0" xfId="36" applyNumberFormat="1" applyFont="1" applyAlignment="1">
      <alignment horizontal="center" vertical="top"/>
    </xf>
    <xf numFmtId="2" fontId="101" fillId="0" borderId="15" xfId="36" applyNumberFormat="1" applyFont="1" applyFill="1" applyBorder="1" applyAlignment="1">
      <alignment horizontal="center" vertical="center" wrapText="1"/>
    </xf>
    <xf numFmtId="2" fontId="75" fillId="0" borderId="0" xfId="36" applyNumberFormat="1" applyFont="1" applyFill="1" applyAlignment="1">
      <alignment horizontal="center" vertical="top"/>
    </xf>
    <xf numFmtId="0" fontId="124" fillId="0" borderId="0" xfId="36" applyFont="1">
      <alignment vertical="top"/>
    </xf>
    <xf numFmtId="2" fontId="124" fillId="0" borderId="0" xfId="36" applyNumberFormat="1" applyFont="1">
      <alignment vertical="top"/>
    </xf>
    <xf numFmtId="0" fontId="133" fillId="0" borderId="0" xfId="36" applyFont="1" applyAlignment="1">
      <alignment horizontal="center" vertical="top" wrapText="1"/>
    </xf>
    <xf numFmtId="2" fontId="133" fillId="0" borderId="0" xfId="36" applyNumberFormat="1" applyFont="1" applyAlignment="1">
      <alignment horizontal="center" vertical="top" wrapText="1"/>
    </xf>
    <xf numFmtId="166" fontId="101" fillId="0" borderId="0" xfId="36" applyNumberFormat="1" applyFont="1" applyAlignment="1">
      <alignment horizontal="center" vertical="top"/>
    </xf>
    <xf numFmtId="0" fontId="134" fillId="0" borderId="0" xfId="38" applyFont="1" applyAlignment="1" applyProtection="1">
      <alignment horizontal="left" vertical="center" wrapText="1"/>
      <protection locked="0"/>
    </xf>
    <xf numFmtId="0" fontId="133" fillId="0" borderId="0" xfId="36" applyFont="1" applyAlignment="1">
      <alignment horizontal="left" vertical="top" wrapText="1"/>
    </xf>
    <xf numFmtId="0" fontId="120" fillId="0" borderId="0" xfId="36" applyFont="1">
      <alignment vertical="top"/>
    </xf>
    <xf numFmtId="0" fontId="102" fillId="0" borderId="0" xfId="0" applyFont="1"/>
    <xf numFmtId="0" fontId="120" fillId="0" borderId="0" xfId="0" applyFont="1"/>
    <xf numFmtId="49" fontId="29" fillId="0" borderId="15" xfId="0" applyNumberFormat="1" applyFont="1" applyBorder="1" applyAlignment="1">
      <alignment horizontal="center" vertical="center" wrapText="1"/>
    </xf>
    <xf numFmtId="0" fontId="33" fillId="0" borderId="0" xfId="0" applyFont="1"/>
    <xf numFmtId="0" fontId="12" fillId="0" borderId="0" xfId="35" applyAlignment="1">
      <alignment horizontal="center" vertical="center"/>
    </xf>
    <xf numFmtId="0" fontId="135" fillId="0" borderId="0" xfId="35" applyFont="1" applyAlignment="1">
      <alignment horizontal="center" vertical="center" wrapText="1"/>
    </xf>
    <xf numFmtId="0" fontId="135" fillId="0" borderId="15" xfId="0" applyFont="1" applyBorder="1" applyAlignment="1">
      <alignment horizontal="center" vertical="center" wrapText="1"/>
    </xf>
    <xf numFmtId="0" fontId="12" fillId="0" borderId="0" xfId="35"/>
    <xf numFmtId="0" fontId="135" fillId="0" borderId="0" xfId="39" applyFont="1"/>
    <xf numFmtId="0" fontId="138" fillId="0" borderId="0" xfId="0" applyFont="1"/>
    <xf numFmtId="0" fontId="135" fillId="0" borderId="0" xfId="0" applyFont="1" applyAlignment="1">
      <alignment horizontal="left" vertical="center"/>
    </xf>
    <xf numFmtId="0" fontId="135" fillId="0" borderId="0" xfId="0" applyFont="1"/>
    <xf numFmtId="4" fontId="103" fillId="0" borderId="23" xfId="0" applyNumberFormat="1" applyFont="1" applyBorder="1" applyAlignment="1">
      <alignment horizontal="center" vertical="center" wrapText="1"/>
    </xf>
    <xf numFmtId="4" fontId="72" fillId="0" borderId="23" xfId="0" applyNumberFormat="1" applyFont="1" applyBorder="1" applyAlignment="1">
      <alignment horizontal="center" vertical="center" wrapText="1"/>
    </xf>
    <xf numFmtId="0" fontId="30" fillId="0" borderId="0" xfId="39" applyFont="1" applyAlignment="1">
      <alignment vertical="center"/>
    </xf>
    <xf numFmtId="4" fontId="123" fillId="26" borderId="15" xfId="0" applyNumberFormat="1" applyFont="1" applyFill="1" applyBorder="1" applyAlignment="1">
      <alignment horizontal="center" vertical="center" wrapText="1"/>
    </xf>
    <xf numFmtId="0" fontId="140" fillId="0" borderId="0" xfId="0" applyFont="1" applyAlignment="1">
      <alignment horizontal="left" vertical="center"/>
    </xf>
    <xf numFmtId="49" fontId="61" fillId="0" borderId="16" xfId="0" applyNumberFormat="1" applyFont="1" applyBorder="1" applyAlignment="1">
      <alignment horizontal="center" vertical="center" wrapText="1"/>
    </xf>
    <xf numFmtId="0" fontId="103" fillId="0" borderId="23" xfId="39" applyFont="1" applyBorder="1" applyAlignment="1">
      <alignment horizontal="center" vertical="center" wrapText="1"/>
    </xf>
    <xf numFmtId="4" fontId="103" fillId="0" borderId="23" xfId="39" applyNumberFormat="1" applyFont="1" applyBorder="1" applyAlignment="1">
      <alignment horizontal="center" vertical="center" wrapText="1"/>
    </xf>
    <xf numFmtId="4" fontId="106" fillId="0" borderId="23" xfId="39" applyNumberFormat="1" applyFont="1" applyBorder="1" applyAlignment="1">
      <alignment horizontal="center" vertical="center" wrapText="1"/>
    </xf>
    <xf numFmtId="0" fontId="72" fillId="0" borderId="23" xfId="39" applyFont="1" applyBorder="1" applyAlignment="1">
      <alignment horizontal="center" vertical="center" wrapText="1"/>
    </xf>
    <xf numFmtId="0" fontId="72" fillId="0" borderId="23" xfId="39" applyFont="1" applyBorder="1" applyAlignment="1">
      <alignment vertical="center" wrapText="1"/>
    </xf>
    <xf numFmtId="4" fontId="72" fillId="0" borderId="23" xfId="39" applyNumberFormat="1" applyFont="1" applyBorder="1" applyAlignment="1">
      <alignment horizontal="center" vertical="center" wrapText="1"/>
    </xf>
    <xf numFmtId="0" fontId="72" fillId="0" borderId="23" xfId="37" applyFont="1" applyBorder="1" applyAlignment="1">
      <alignment horizontal="justify" vertical="center" wrapText="1"/>
    </xf>
    <xf numFmtId="4" fontId="107" fillId="0" borderId="23" xfId="39" applyNumberFormat="1" applyFont="1" applyBorder="1" applyAlignment="1">
      <alignment horizontal="center" vertical="center" wrapText="1"/>
    </xf>
    <xf numFmtId="0" fontId="72" fillId="27" borderId="23" xfId="39" applyFont="1" applyFill="1" applyBorder="1" applyAlignment="1">
      <alignment horizontal="center" vertical="center" wrapText="1"/>
    </xf>
    <xf numFmtId="0" fontId="72" fillId="27" borderId="23" xfId="39" applyFont="1" applyFill="1" applyBorder="1" applyAlignment="1">
      <alignment vertical="center" wrapText="1"/>
    </xf>
    <xf numFmtId="4" fontId="103" fillId="27" borderId="23" xfId="39" applyNumberFormat="1" applyFont="1" applyFill="1" applyBorder="1" applyAlignment="1">
      <alignment horizontal="center" vertical="center" wrapText="1"/>
    </xf>
    <xf numFmtId="4" fontId="72" fillId="27" borderId="23" xfId="39" applyNumberFormat="1" applyFont="1" applyFill="1" applyBorder="1" applyAlignment="1">
      <alignment horizontal="center" vertical="center" wrapText="1"/>
    </xf>
    <xf numFmtId="0" fontId="107" fillId="27" borderId="23" xfId="39" applyFont="1" applyFill="1" applyBorder="1" applyAlignment="1">
      <alignment vertical="center" wrapText="1"/>
    </xf>
    <xf numFmtId="0" fontId="101" fillId="0" borderId="0" xfId="0" applyFont="1" applyAlignment="1">
      <alignment horizontal="left" vertical="center"/>
    </xf>
    <xf numFmtId="0" fontId="101" fillId="0" borderId="0" xfId="39" applyFont="1"/>
    <xf numFmtId="4" fontId="103" fillId="27" borderId="0" xfId="0" applyNumberFormat="1" applyFont="1" applyFill="1"/>
    <xf numFmtId="4" fontId="106" fillId="0" borderId="23" xfId="0" applyNumberFormat="1" applyFont="1" applyBorder="1" applyAlignment="1">
      <alignment horizontal="center" vertical="center" wrapText="1"/>
    </xf>
    <xf numFmtId="0" fontId="72" fillId="0" borderId="23" xfId="0" applyFont="1" applyBorder="1" applyAlignment="1">
      <alignment horizontal="center" vertical="center" wrapText="1"/>
    </xf>
    <xf numFmtId="0" fontId="72" fillId="0" borderId="23" xfId="0" applyFont="1" applyBorder="1" applyAlignment="1">
      <alignment horizontal="left" vertical="center" wrapText="1"/>
    </xf>
    <xf numFmtId="0" fontId="107" fillId="0" borderId="23" xfId="0" applyFont="1" applyBorder="1" applyAlignment="1">
      <alignment horizontal="center" vertical="center" wrapText="1"/>
    </xf>
    <xf numFmtId="4" fontId="107" fillId="0" borderId="23" xfId="0" applyNumberFormat="1" applyFont="1" applyBorder="1" applyAlignment="1">
      <alignment horizontal="center" vertical="center" wrapText="1"/>
    </xf>
    <xf numFmtId="0" fontId="107" fillId="0" borderId="23" xfId="0" applyFont="1" applyBorder="1" applyAlignment="1">
      <alignment horizontal="left" vertical="center" wrapText="1"/>
    </xf>
    <xf numFmtId="0" fontId="61" fillId="0" borderId="16" xfId="38" applyFont="1" applyFill="1" applyBorder="1" applyAlignment="1" applyProtection="1">
      <alignment horizontal="center" wrapText="1"/>
      <protection locked="0"/>
    </xf>
    <xf numFmtId="0" fontId="61" fillId="0" borderId="0" xfId="38" applyFont="1" applyFill="1" applyBorder="1" applyAlignment="1" applyProtection="1">
      <alignment horizontal="center" vertical="top" wrapText="1"/>
      <protection locked="0"/>
    </xf>
    <xf numFmtId="0" fontId="61" fillId="0" borderId="15" xfId="38" applyFont="1" applyFill="1" applyBorder="1" applyAlignment="1" applyProtection="1">
      <alignment horizontal="center" vertical="center" wrapText="1"/>
      <protection locked="0"/>
    </xf>
    <xf numFmtId="49" fontId="61" fillId="27" borderId="16" xfId="0" applyNumberFormat="1" applyFont="1" applyFill="1" applyBorder="1" applyAlignment="1">
      <alignment horizontal="center" wrapText="1"/>
    </xf>
    <xf numFmtId="49" fontId="61" fillId="27" borderId="17" xfId="0" applyNumberFormat="1" applyFont="1" applyFill="1" applyBorder="1" applyAlignment="1">
      <alignment horizontal="center" vertical="top" wrapText="1"/>
    </xf>
    <xf numFmtId="0" fontId="57" fillId="0" borderId="15" xfId="38" applyFont="1" applyFill="1" applyBorder="1" applyAlignment="1" applyProtection="1">
      <alignment horizontal="center" vertical="center" wrapText="1"/>
      <protection locked="0"/>
    </xf>
    <xf numFmtId="49" fontId="86" fillId="0" borderId="15" xfId="0" applyNumberFormat="1" applyFont="1" applyBorder="1" applyAlignment="1">
      <alignment horizontal="center" vertical="center"/>
    </xf>
    <xf numFmtId="49" fontId="61" fillId="0" borderId="15" xfId="0" applyNumberFormat="1" applyFont="1" applyBorder="1" applyAlignment="1">
      <alignment horizontal="center" vertical="center"/>
    </xf>
    <xf numFmtId="49" fontId="64" fillId="0" borderId="15" xfId="35" applyNumberFormat="1" applyFont="1" applyBorder="1" applyAlignment="1">
      <alignment horizontal="center" vertical="center" wrapText="1"/>
    </xf>
    <xf numFmtId="0" fontId="64" fillId="0" borderId="15" xfId="35" applyFont="1" applyBorder="1" applyAlignment="1">
      <alignment horizontal="center" vertical="center" wrapText="1"/>
    </xf>
    <xf numFmtId="4" fontId="64" fillId="0" borderId="15" xfId="35" applyNumberFormat="1" applyFont="1" applyBorder="1" applyAlignment="1">
      <alignment horizontal="center" vertical="center"/>
    </xf>
    <xf numFmtId="0" fontId="104" fillId="0" borderId="0" xfId="0" applyFont="1" applyAlignment="1">
      <alignment horizontal="center" vertical="center"/>
    </xf>
    <xf numFmtId="0" fontId="104" fillId="0" borderId="0" xfId="0" applyFont="1" applyAlignment="1">
      <alignment horizontal="left" vertical="center"/>
    </xf>
    <xf numFmtId="4" fontId="104" fillId="0" borderId="0" xfId="0" applyNumberFormat="1" applyFont="1" applyAlignment="1">
      <alignment horizontal="center" vertical="center"/>
    </xf>
    <xf numFmtId="0" fontId="64" fillId="0" borderId="0" xfId="0" applyFont="1" applyAlignment="1">
      <alignment horizontal="left" vertical="center"/>
    </xf>
    <xf numFmtId="0" fontId="64" fillId="0" borderId="0" xfId="39" applyFont="1"/>
    <xf numFmtId="49" fontId="61" fillId="0" borderId="19" xfId="0" applyNumberFormat="1" applyFont="1" applyBorder="1" applyAlignment="1">
      <alignment horizontal="center" vertical="center" wrapText="1"/>
    </xf>
    <xf numFmtId="4" fontId="57" fillId="0" borderId="21" xfId="0" applyNumberFormat="1" applyFont="1" applyBorder="1" applyAlignment="1">
      <alignment horizontal="center" vertical="center" wrapText="1"/>
    </xf>
    <xf numFmtId="49" fontId="61" fillId="0" borderId="19" xfId="0" applyNumberFormat="1" applyFont="1" applyBorder="1" applyAlignment="1">
      <alignment horizontal="left" vertical="center" wrapText="1"/>
    </xf>
    <xf numFmtId="4" fontId="61" fillId="0" borderId="21" xfId="0" applyNumberFormat="1" applyFont="1" applyBorder="1" applyAlignment="1">
      <alignment horizontal="center" vertical="center" wrapText="1"/>
    </xf>
    <xf numFmtId="4" fontId="61" fillId="26" borderId="21" xfId="0" applyNumberFormat="1" applyFont="1" applyFill="1" applyBorder="1" applyAlignment="1">
      <alignment horizontal="center" vertical="center" wrapText="1"/>
    </xf>
    <xf numFmtId="49" fontId="61" fillId="0" borderId="15" xfId="0" applyNumberFormat="1" applyFont="1" applyBorder="1" applyAlignment="1">
      <alignment horizontal="left" vertical="center" wrapText="1"/>
    </xf>
    <xf numFmtId="4" fontId="61" fillId="0" borderId="19" xfId="0" applyNumberFormat="1" applyFont="1" applyBorder="1" applyAlignment="1">
      <alignment horizontal="center" vertical="center" wrapText="1"/>
    </xf>
    <xf numFmtId="0" fontId="122" fillId="0" borderId="0" xfId="0" applyFont="1"/>
    <xf numFmtId="4" fontId="61" fillId="0" borderId="21" xfId="38" applyNumberFormat="1" applyFont="1" applyFill="1" applyBorder="1" applyAlignment="1" applyProtection="1">
      <alignment horizontal="center" vertical="center" wrapText="1"/>
      <protection locked="0"/>
    </xf>
    <xf numFmtId="165" fontId="61" fillId="0" borderId="16" xfId="30" applyNumberFormat="1" applyFont="1" applyBorder="1" applyAlignment="1">
      <alignment horizontal="center" vertical="center" wrapText="1"/>
    </xf>
    <xf numFmtId="165" fontId="61" fillId="32" borderId="15" xfId="30" applyNumberFormat="1" applyFont="1" applyFill="1" applyBorder="1" applyAlignment="1">
      <alignment horizontal="center" vertical="center" wrapText="1"/>
    </xf>
    <xf numFmtId="4" fontId="61" fillId="32" borderId="15" xfId="0" applyNumberFormat="1" applyFont="1" applyFill="1" applyBorder="1" applyAlignment="1">
      <alignment horizontal="center" vertical="center" wrapText="1"/>
    </xf>
    <xf numFmtId="4" fontId="141" fillId="0" borderId="15" xfId="36" applyNumberFormat="1" applyFont="1" applyFill="1" applyBorder="1" applyAlignment="1">
      <alignment horizontal="center" vertical="center" wrapText="1"/>
    </xf>
    <xf numFmtId="0" fontId="16" fillId="0" borderId="0" xfId="39" applyFont="1" applyAlignment="1">
      <alignment vertical="center" wrapText="1"/>
    </xf>
    <xf numFmtId="4" fontId="29" fillId="29" borderId="7" xfId="36" applyNumberFormat="1" applyFont="1" applyFill="1" applyBorder="1" applyAlignment="1">
      <alignment horizontal="center" vertical="center" wrapText="1"/>
    </xf>
    <xf numFmtId="0" fontId="12" fillId="0" borderId="0" xfId="39"/>
    <xf numFmtId="4" fontId="144" fillId="27" borderId="0" xfId="0" applyNumberFormat="1" applyFont="1" applyFill="1" applyAlignment="1">
      <alignment vertical="center"/>
    </xf>
    <xf numFmtId="10" fontId="145" fillId="27" borderId="0" xfId="0" applyNumberFormat="1" applyFont="1" applyFill="1" applyAlignment="1">
      <alignment vertical="center"/>
    </xf>
    <xf numFmtId="165" fontId="144" fillId="27" borderId="0" xfId="0" applyNumberFormat="1" applyFont="1" applyFill="1" applyAlignment="1">
      <alignment horizontal="right" vertical="center" wrapText="1"/>
    </xf>
    <xf numFmtId="4" fontId="146" fillId="27" borderId="15" xfId="35" applyNumberFormat="1" applyFont="1" applyFill="1" applyBorder="1" applyAlignment="1">
      <alignment horizontal="left" vertical="center"/>
    </xf>
    <xf numFmtId="0" fontId="67" fillId="35" borderId="0" xfId="0" applyFont="1" applyFill="1"/>
    <xf numFmtId="4" fontId="69" fillId="35" borderId="0" xfId="0" applyNumberFormat="1" applyFont="1" applyFill="1" applyAlignment="1">
      <alignment horizontal="left" vertical="center"/>
    </xf>
    <xf numFmtId="0" fontId="36" fillId="35" borderId="0" xfId="0" applyFont="1" applyFill="1"/>
    <xf numFmtId="4" fontId="101" fillId="0" borderId="15" xfId="36" applyNumberFormat="1" applyFont="1" applyFill="1" applyBorder="1" applyAlignment="1">
      <alignment horizontal="center" vertical="center"/>
    </xf>
    <xf numFmtId="49" fontId="61" fillId="0" borderId="16" xfId="0" applyNumberFormat="1" applyFont="1" applyBorder="1" applyAlignment="1">
      <alignment vertical="center" wrapText="1"/>
    </xf>
    <xf numFmtId="49" fontId="61" fillId="33" borderId="15" xfId="0" applyNumberFormat="1" applyFont="1" applyFill="1" applyBorder="1" applyAlignment="1">
      <alignment horizontal="center" vertical="center" wrapText="1"/>
    </xf>
    <xf numFmtId="49" fontId="61" fillId="33" borderId="16" xfId="0" applyNumberFormat="1" applyFont="1" applyFill="1" applyBorder="1" applyAlignment="1">
      <alignment vertical="center" wrapText="1"/>
    </xf>
    <xf numFmtId="4" fontId="61" fillId="33" borderId="15" xfId="38" applyNumberFormat="1" applyFont="1" applyFill="1" applyBorder="1" applyAlignment="1" applyProtection="1">
      <alignment horizontal="center" vertical="center" wrapText="1"/>
      <protection locked="0"/>
    </xf>
    <xf numFmtId="4" fontId="61" fillId="33" borderId="15" xfId="38" applyNumberFormat="1" applyFont="1" applyFill="1" applyBorder="1" applyAlignment="1">
      <alignment horizontal="center" vertical="center" wrapText="1"/>
    </xf>
    <xf numFmtId="49" fontId="61" fillId="30" borderId="15" xfId="0" applyNumberFormat="1" applyFont="1" applyFill="1" applyBorder="1" applyAlignment="1">
      <alignment horizontal="center" vertical="center" wrapText="1"/>
    </xf>
    <xf numFmtId="4" fontId="61" fillId="30" borderId="21" xfId="0" applyNumberFormat="1" applyFont="1" applyFill="1" applyBorder="1" applyAlignment="1">
      <alignment horizontal="center" vertical="center" wrapText="1"/>
    </xf>
    <xf numFmtId="4" fontId="61" fillId="30" borderId="15" xfId="0" applyNumberFormat="1" applyFont="1" applyFill="1" applyBorder="1" applyAlignment="1">
      <alignment horizontal="center" vertical="center" wrapText="1"/>
    </xf>
    <xf numFmtId="49" fontId="86" fillId="0" borderId="16" xfId="0" applyNumberFormat="1" applyFont="1" applyBorder="1" applyAlignment="1">
      <alignment horizontal="center" vertical="center" wrapText="1"/>
    </xf>
    <xf numFmtId="4" fontId="109" fillId="0" borderId="16" xfId="0" applyNumberFormat="1" applyFont="1" applyBorder="1" applyAlignment="1">
      <alignment horizontal="center" vertical="center" wrapText="1"/>
    </xf>
    <xf numFmtId="49" fontId="61" fillId="0" borderId="16" xfId="0" applyNumberFormat="1" applyFont="1" applyBorder="1" applyAlignment="1">
      <alignment horizontal="center" wrapText="1"/>
    </xf>
    <xf numFmtId="49" fontId="61" fillId="0" borderId="0" xfId="0" applyNumberFormat="1" applyFont="1" applyAlignment="1">
      <alignment horizontal="center" vertical="center" wrapText="1"/>
    </xf>
    <xf numFmtId="49" fontId="61" fillId="0" borderId="17" xfId="0" applyNumberFormat="1" applyFont="1" applyBorder="1" applyAlignment="1">
      <alignment horizontal="center" vertical="top" wrapText="1"/>
    </xf>
    <xf numFmtId="0" fontId="106" fillId="0" borderId="23" xfId="0" applyFont="1" applyBorder="1" applyAlignment="1">
      <alignment horizontal="center" vertical="center" wrapText="1"/>
    </xf>
    <xf numFmtId="0" fontId="106" fillId="0" borderId="23" xfId="0" applyFont="1" applyBorder="1" applyAlignment="1">
      <alignment horizontal="left" vertical="center" wrapText="1"/>
    </xf>
    <xf numFmtId="0" fontId="106" fillId="0" borderId="23" xfId="39" applyFont="1" applyBorder="1" applyAlignment="1">
      <alignment horizontal="center" vertical="center" wrapText="1"/>
    </xf>
    <xf numFmtId="0" fontId="106" fillId="0" borderId="23" xfId="37" applyFont="1" applyBorder="1" applyAlignment="1">
      <alignment horizontal="justify" vertical="center" wrapText="1"/>
    </xf>
    <xf numFmtId="49" fontId="135" fillId="0" borderId="15" xfId="0" applyNumberFormat="1" applyFont="1" applyBorder="1" applyAlignment="1">
      <alignment horizontal="center" vertical="center" wrapText="1"/>
    </xf>
    <xf numFmtId="2" fontId="29" fillId="37" borderId="15" xfId="0" applyNumberFormat="1" applyFont="1" applyFill="1" applyBorder="1" applyAlignment="1">
      <alignment horizontal="center" vertical="center"/>
    </xf>
    <xf numFmtId="4" fontId="31" fillId="37" borderId="15" xfId="0" applyNumberFormat="1" applyFont="1" applyFill="1" applyBorder="1" applyAlignment="1">
      <alignment horizontal="center" vertical="center"/>
    </xf>
    <xf numFmtId="4" fontId="135" fillId="34" borderId="15" xfId="0" applyNumberFormat="1" applyFont="1" applyFill="1" applyBorder="1" applyAlignment="1">
      <alignment horizontal="center" vertical="center"/>
    </xf>
    <xf numFmtId="4" fontId="61" fillId="35" borderId="15" xfId="0" applyNumberFormat="1" applyFont="1" applyFill="1" applyBorder="1" applyAlignment="1">
      <alignment horizontal="center" vertical="center" wrapText="1"/>
    </xf>
    <xf numFmtId="0" fontId="0" fillId="0" borderId="0" xfId="0" applyAlignment="1">
      <alignment vertical="center"/>
    </xf>
    <xf numFmtId="4" fontId="65" fillId="33" borderId="15" xfId="0" applyNumberFormat="1" applyFont="1" applyFill="1" applyBorder="1" applyAlignment="1">
      <alignment horizontal="center" vertical="center" wrapText="1"/>
    </xf>
    <xf numFmtId="4" fontId="62" fillId="33" borderId="15" xfId="0" applyNumberFormat="1" applyFont="1" applyFill="1" applyBorder="1" applyAlignment="1">
      <alignment horizontal="center" vertical="center" wrapText="1"/>
    </xf>
    <xf numFmtId="4" fontId="62" fillId="33" borderId="15" xfId="0" applyNumberFormat="1" applyFont="1" applyFill="1" applyBorder="1" applyAlignment="1">
      <alignment horizontal="center" vertical="center"/>
    </xf>
    <xf numFmtId="4" fontId="65" fillId="33" borderId="0" xfId="0" applyNumberFormat="1" applyFont="1" applyFill="1" applyAlignment="1">
      <alignment horizontal="center" vertical="center" wrapText="1"/>
    </xf>
    <xf numFmtId="4" fontId="65" fillId="33" borderId="0" xfId="0" applyNumberFormat="1" applyFont="1" applyFill="1" applyAlignment="1">
      <alignment horizontal="left" vertical="center" wrapText="1"/>
    </xf>
    <xf numFmtId="0" fontId="0" fillId="33" borderId="0" xfId="0" applyFill="1"/>
    <xf numFmtId="0" fontId="30" fillId="0" borderId="0" xfId="39" applyFont="1" applyAlignment="1">
      <alignment horizontal="left" vertical="center" wrapText="1"/>
    </xf>
    <xf numFmtId="0" fontId="135" fillId="0" borderId="0" xfId="39" applyFont="1" applyAlignment="1">
      <alignment horizontal="left" vertical="center"/>
    </xf>
    <xf numFmtId="4" fontId="62" fillId="0" borderId="16" xfId="0" applyNumberFormat="1" applyFont="1" applyBorder="1" applyAlignment="1">
      <alignment horizontal="center" vertical="center" wrapText="1"/>
    </xf>
    <xf numFmtId="2" fontId="133" fillId="0" borderId="15" xfId="36" applyNumberFormat="1" applyFont="1" applyFill="1" applyBorder="1" applyAlignment="1">
      <alignment horizontal="center" vertical="center" wrapText="1"/>
    </xf>
    <xf numFmtId="0" fontId="58" fillId="0" borderId="15" xfId="0" applyFont="1" applyBorder="1" applyAlignment="1">
      <alignment horizontal="center"/>
    </xf>
    <xf numFmtId="0" fontId="135" fillId="0" borderId="0" xfId="39" applyFont="1" applyAlignment="1">
      <alignment horizontal="left" wrapText="1"/>
    </xf>
    <xf numFmtId="0" fontId="140" fillId="0" borderId="0" xfId="0" applyFont="1" applyAlignment="1">
      <alignment horizontal="justify"/>
    </xf>
    <xf numFmtId="0" fontId="140" fillId="0" borderId="0" xfId="0" applyFont="1" applyAlignment="1">
      <alignment horizontal="justify" vertical="center"/>
    </xf>
    <xf numFmtId="4" fontId="62" fillId="0" borderId="16" xfId="0" applyNumberFormat="1" applyFont="1" applyBorder="1" applyAlignment="1">
      <alignment horizontal="center" vertical="center"/>
    </xf>
    <xf numFmtId="49" fontId="86" fillId="0" borderId="0" xfId="0" applyNumberFormat="1" applyFont="1" applyAlignment="1">
      <alignment horizontal="center" vertical="center" wrapText="1"/>
    </xf>
    <xf numFmtId="49" fontId="60" fillId="38" borderId="15" xfId="0" applyNumberFormat="1" applyFont="1" applyFill="1" applyBorder="1" applyAlignment="1">
      <alignment horizontal="center" vertical="center" wrapText="1"/>
    </xf>
    <xf numFmtId="49" fontId="61" fillId="38" borderId="15" xfId="0" applyNumberFormat="1" applyFont="1" applyFill="1" applyBorder="1" applyAlignment="1">
      <alignment horizontal="center" vertical="center" wrapText="1"/>
    </xf>
    <xf numFmtId="4" fontId="86" fillId="0" borderId="15" xfId="38" applyNumberFormat="1" applyFont="1" applyFill="1" applyBorder="1" applyAlignment="1" applyProtection="1">
      <alignment horizontal="center" vertical="center" wrapText="1"/>
      <protection locked="0"/>
    </xf>
    <xf numFmtId="4" fontId="65" fillId="33" borderId="15" xfId="38" applyNumberFormat="1" applyFont="1" applyFill="1" applyBorder="1" applyAlignment="1" applyProtection="1">
      <alignment horizontal="center" vertical="center" wrapText="1"/>
      <protection locked="0"/>
    </xf>
    <xf numFmtId="4" fontId="62" fillId="33" borderId="15" xfId="38" applyNumberFormat="1" applyFont="1" applyFill="1" applyBorder="1" applyAlignment="1" applyProtection="1">
      <alignment horizontal="center" vertical="center" wrapText="1"/>
      <protection locked="0"/>
    </xf>
    <xf numFmtId="0" fontId="61" fillId="33" borderId="15" xfId="38" applyFont="1" applyFill="1" applyBorder="1" applyAlignment="1" applyProtection="1">
      <alignment horizontal="center" vertical="center" wrapText="1"/>
      <protection locked="0"/>
    </xf>
    <xf numFmtId="0" fontId="72" fillId="0" borderId="0" xfId="39" applyFont="1" applyAlignment="1">
      <alignment vertical="center" wrapText="1"/>
    </xf>
    <xf numFmtId="0" fontId="103" fillId="0" borderId="23" xfId="39" applyFont="1" applyBorder="1" applyAlignment="1">
      <alignment vertical="center" wrapText="1"/>
    </xf>
    <xf numFmtId="0" fontId="101" fillId="0" borderId="0" xfId="0" applyFont="1" applyAlignment="1">
      <alignment horizontal="justify" vertical="center" wrapText="1"/>
    </xf>
    <xf numFmtId="0" fontId="103" fillId="0" borderId="23" xfId="0" applyFont="1" applyBorder="1" applyAlignment="1">
      <alignment horizontal="center" vertical="center" wrapText="1"/>
    </xf>
    <xf numFmtId="0" fontId="103" fillId="0" borderId="23" xfId="0" applyFont="1" applyBorder="1" applyAlignment="1">
      <alignment horizontal="left" vertical="center" wrapText="1"/>
    </xf>
    <xf numFmtId="4" fontId="106" fillId="0" borderId="23" xfId="0" applyNumberFormat="1" applyFont="1" applyBorder="1" applyAlignment="1">
      <alignment horizontal="left" vertical="center" wrapText="1"/>
    </xf>
    <xf numFmtId="4" fontId="107" fillId="0" borderId="23" xfId="0" applyNumberFormat="1" applyFont="1" applyBorder="1" applyAlignment="1">
      <alignment horizontal="left" vertical="center" wrapText="1"/>
    </xf>
    <xf numFmtId="4" fontId="103" fillId="27" borderId="0" xfId="0" applyNumberFormat="1" applyFont="1" applyFill="1" applyAlignment="1">
      <alignment horizontal="center" vertical="center"/>
    </xf>
    <xf numFmtId="0" fontId="106" fillId="27" borderId="23" xfId="0" applyFont="1" applyFill="1" applyBorder="1" applyAlignment="1">
      <alignment horizontal="center" vertical="center" wrapText="1"/>
    </xf>
    <xf numFmtId="0" fontId="106" fillId="27" borderId="23" xfId="0" applyFont="1" applyFill="1" applyBorder="1" applyAlignment="1">
      <alignment horizontal="left" vertical="center" wrapText="1"/>
    </xf>
    <xf numFmtId="4" fontId="106" fillId="27" borderId="23" xfId="0" applyNumberFormat="1" applyFont="1" applyFill="1" applyBorder="1" applyAlignment="1">
      <alignment horizontal="center" vertical="center" wrapText="1"/>
    </xf>
    <xf numFmtId="0" fontId="101" fillId="0" borderId="0" xfId="0" applyFont="1"/>
    <xf numFmtId="0" fontId="101" fillId="0" borderId="0" xfId="0" applyFont="1" applyAlignment="1">
      <alignment horizontal="left" vertical="center" wrapText="1"/>
    </xf>
    <xf numFmtId="0" fontId="101" fillId="0" borderId="0" xfId="0" applyFont="1" applyAlignment="1">
      <alignment wrapText="1"/>
    </xf>
    <xf numFmtId="0" fontId="147" fillId="0" borderId="0" xfId="0" applyFont="1"/>
    <xf numFmtId="0" fontId="64" fillId="0" borderId="0" xfId="39" applyFont="1" applyAlignment="1">
      <alignment horizontal="left" vertical="center"/>
    </xf>
    <xf numFmtId="0" fontId="61" fillId="0" borderId="0" xfId="0" applyFont="1" applyAlignment="1">
      <alignment vertical="center"/>
    </xf>
    <xf numFmtId="4" fontId="123" fillId="0" borderId="0" xfId="0" applyNumberFormat="1" applyFont="1" applyAlignment="1">
      <alignment horizontal="center" vertical="center" wrapText="1"/>
    </xf>
    <xf numFmtId="4" fontId="57" fillId="26" borderId="15" xfId="0" applyNumberFormat="1" applyFont="1" applyFill="1" applyBorder="1" applyAlignment="1">
      <alignment horizontal="center" vertical="center" wrapText="1"/>
    </xf>
    <xf numFmtId="0" fontId="61" fillId="0" borderId="0" xfId="39" applyFont="1" applyAlignment="1">
      <alignment horizontal="left" vertical="center"/>
    </xf>
    <xf numFmtId="0" fontId="101" fillId="0" borderId="15" xfId="0" applyFont="1" applyBorder="1" applyAlignment="1">
      <alignment horizontal="center" vertical="center"/>
    </xf>
    <xf numFmtId="49" fontId="101" fillId="0" borderId="15" xfId="0" applyNumberFormat="1" applyFont="1" applyBorder="1" applyAlignment="1">
      <alignment horizontal="center" vertical="center" wrapText="1"/>
    </xf>
    <xf numFmtId="0" fontId="101" fillId="0" borderId="15" xfId="0" applyFont="1" applyBorder="1" applyAlignment="1">
      <alignment horizontal="center" vertical="center" wrapText="1"/>
    </xf>
    <xf numFmtId="4" fontId="101" fillId="0" borderId="21" xfId="0" applyNumberFormat="1" applyFont="1" applyBorder="1" applyAlignment="1">
      <alignment horizontal="center" vertical="center"/>
    </xf>
    <xf numFmtId="0" fontId="10" fillId="0" borderId="0" xfId="0" applyFont="1"/>
    <xf numFmtId="0" fontId="135" fillId="0" borderId="0" xfId="39" applyFont="1" applyAlignment="1">
      <alignment horizontal="center" vertical="center"/>
    </xf>
    <xf numFmtId="0" fontId="10" fillId="0" borderId="0" xfId="0" applyFont="1" applyAlignment="1">
      <alignment horizontal="center" vertical="center"/>
    </xf>
    <xf numFmtId="0" fontId="149" fillId="0" borderId="0" xfId="39" applyFont="1" applyAlignment="1">
      <alignment horizontal="center" vertical="center"/>
    </xf>
    <xf numFmtId="0" fontId="10" fillId="0" borderId="0" xfId="0" applyFont="1" applyAlignment="1">
      <alignment horizontal="center"/>
    </xf>
    <xf numFmtId="0" fontId="154" fillId="0" borderId="0" xfId="39" applyFont="1" applyAlignment="1">
      <alignment vertical="center"/>
    </xf>
    <xf numFmtId="0" fontId="12" fillId="0" borderId="0" xfId="39" applyAlignment="1">
      <alignment horizontal="right" vertical="center"/>
    </xf>
    <xf numFmtId="0" fontId="155" fillId="0" borderId="23" xfId="39" applyFont="1" applyBorder="1" applyAlignment="1">
      <alignment horizontal="center" vertical="center" wrapText="1"/>
    </xf>
    <xf numFmtId="0" fontId="157" fillId="0" borderId="0" xfId="0" applyFont="1" applyAlignment="1">
      <alignment horizontal="center" vertical="center" wrapText="1"/>
    </xf>
    <xf numFmtId="0" fontId="0" fillId="0" borderId="0" xfId="0" applyAlignment="1">
      <alignment horizontal="center"/>
    </xf>
    <xf numFmtId="0" fontId="0" fillId="0" borderId="0" xfId="0" applyAlignment="1">
      <alignment horizontal="left"/>
    </xf>
    <xf numFmtId="0" fontId="12" fillId="0" borderId="0" xfId="0" applyFont="1" applyAlignment="1">
      <alignment horizontal="right"/>
    </xf>
    <xf numFmtId="0" fontId="162" fillId="0" borderId="23" xfId="0" applyFont="1" applyBorder="1" applyAlignment="1">
      <alignment horizontal="center" vertical="center" wrapText="1"/>
    </xf>
    <xf numFmtId="0" fontId="154" fillId="0" borderId="23" xfId="0" applyFont="1" applyBorder="1" applyAlignment="1">
      <alignment horizontal="center" vertical="top" wrapText="1"/>
    </xf>
    <xf numFmtId="0" fontId="155" fillId="37" borderId="23" xfId="0" applyFont="1" applyFill="1" applyBorder="1" applyAlignment="1">
      <alignment horizontal="center" vertical="center" wrapText="1"/>
    </xf>
    <xf numFmtId="0" fontId="155" fillId="37" borderId="23" xfId="0" applyFont="1" applyFill="1" applyBorder="1" applyAlignment="1">
      <alignment horizontal="left" vertical="center" wrapText="1"/>
    </xf>
    <xf numFmtId="4" fontId="155" fillId="37" borderId="23" xfId="0" applyNumberFormat="1" applyFont="1" applyFill="1" applyBorder="1" applyAlignment="1">
      <alignment horizontal="center" vertical="center" wrapText="1"/>
    </xf>
    <xf numFmtId="0" fontId="16" fillId="0" borderId="0" xfId="0" applyFont="1" applyAlignment="1">
      <alignment horizontal="justify" vertical="center"/>
    </xf>
    <xf numFmtId="0" fontId="16" fillId="0" borderId="0" xfId="0" applyFont="1" applyAlignment="1">
      <alignment horizontal="left" vertical="center"/>
    </xf>
    <xf numFmtId="0" fontId="30" fillId="0" borderId="0" xfId="0" applyFont="1" applyAlignment="1">
      <alignment horizontal="center" vertical="top"/>
    </xf>
    <xf numFmtId="0" fontId="30" fillId="0" borderId="0" xfId="0" applyFont="1" applyAlignment="1">
      <alignment horizontal="right" vertical="center"/>
    </xf>
    <xf numFmtId="0" fontId="29" fillId="0" borderId="15" xfId="0" applyFont="1" applyBorder="1" applyAlignment="1">
      <alignment horizontal="center" vertical="top" wrapText="1"/>
    </xf>
    <xf numFmtId="0" fontId="61" fillId="38" borderId="15" xfId="38" applyFont="1" applyFill="1" applyBorder="1" applyAlignment="1" applyProtection="1">
      <alignment horizontal="center" vertical="center" wrapText="1"/>
      <protection locked="0"/>
    </xf>
    <xf numFmtId="49" fontId="57" fillId="38" borderId="15" xfId="0" applyNumberFormat="1" applyFont="1" applyFill="1" applyBorder="1" applyAlignment="1">
      <alignment horizontal="center" vertical="center" wrapText="1"/>
    </xf>
    <xf numFmtId="0" fontId="135" fillId="0" borderId="0" xfId="0" applyFont="1" applyAlignment="1">
      <alignment horizontal="justify" vertical="center"/>
    </xf>
    <xf numFmtId="0" fontId="135" fillId="0" borderId="0" xfId="39" applyFont="1" applyAlignment="1">
      <alignment vertical="center"/>
    </xf>
    <xf numFmtId="0" fontId="165" fillId="0" borderId="0" xfId="35" applyFont="1"/>
    <xf numFmtId="0" fontId="157" fillId="0" borderId="0" xfId="35" applyFont="1" applyAlignment="1">
      <alignment horizontal="center" vertical="center" wrapText="1"/>
    </xf>
    <xf numFmtId="0" fontId="154" fillId="0" borderId="0" xfId="35" applyFont="1" applyAlignment="1">
      <alignment horizontal="center" vertical="center" wrapText="1"/>
    </xf>
    <xf numFmtId="0" fontId="12" fillId="0" borderId="0" xfId="0" applyFont="1" applyAlignment="1">
      <alignment horizontal="center" vertical="center"/>
    </xf>
    <xf numFmtId="0" fontId="165" fillId="0" borderId="0" xfId="35" applyFont="1" applyAlignment="1">
      <alignment horizontal="center"/>
    </xf>
    <xf numFmtId="0" fontId="154" fillId="0" borderId="0" xfId="35" applyFont="1" applyAlignment="1">
      <alignment horizontal="right"/>
    </xf>
    <xf numFmtId="0" fontId="166" fillId="0" borderId="0" xfId="0" applyFont="1" applyAlignment="1">
      <alignment horizontal="center"/>
    </xf>
    <xf numFmtId="0" fontId="157" fillId="0" borderId="0" xfId="35" applyFont="1" applyAlignment="1">
      <alignment horizontal="center"/>
    </xf>
    <xf numFmtId="0" fontId="12" fillId="0" borderId="0" xfId="35" applyAlignment="1">
      <alignment horizontal="right" vertical="center"/>
    </xf>
    <xf numFmtId="0" fontId="155" fillId="0" borderId="15" xfId="35" applyFont="1" applyBorder="1" applyAlignment="1">
      <alignment horizontal="center" vertical="center" wrapText="1"/>
    </xf>
    <xf numFmtId="0" fontId="155" fillId="0" borderId="15" xfId="0" applyFont="1" applyBorder="1" applyAlignment="1">
      <alignment horizontal="center" vertical="center"/>
    </xf>
    <xf numFmtId="0" fontId="167" fillId="0" borderId="15" xfId="35" applyFont="1" applyBorder="1" applyAlignment="1">
      <alignment horizontal="center" vertical="top" wrapText="1"/>
    </xf>
    <xf numFmtId="2" fontId="137" fillId="37" borderId="15" xfId="0" applyNumberFormat="1" applyFont="1" applyFill="1" applyBorder="1" applyAlignment="1">
      <alignment horizontal="center" vertical="center"/>
    </xf>
    <xf numFmtId="4" fontId="137" fillId="37" borderId="15" xfId="0" applyNumberFormat="1" applyFont="1" applyFill="1" applyBorder="1" applyAlignment="1">
      <alignment horizontal="center" vertical="center"/>
    </xf>
    <xf numFmtId="0" fontId="168" fillId="0" borderId="0" xfId="0" applyFont="1" applyAlignment="1">
      <alignment vertical="center"/>
    </xf>
    <xf numFmtId="0" fontId="168" fillId="0" borderId="0" xfId="0" applyFont="1" applyAlignment="1">
      <alignment horizontal="center" vertical="center"/>
    </xf>
    <xf numFmtId="0" fontId="168" fillId="0" borderId="0" xfId="0" applyFont="1" applyAlignment="1">
      <alignment horizontal="center" vertical="center" wrapText="1"/>
    </xf>
    <xf numFmtId="4" fontId="30" fillId="0" borderId="15" xfId="0" applyNumberFormat="1" applyFont="1" applyBorder="1" applyAlignment="1">
      <alignment horizontal="center" vertical="center" wrapText="1"/>
    </xf>
    <xf numFmtId="0" fontId="29" fillId="0" borderId="15" xfId="0" applyFont="1" applyBorder="1" applyAlignment="1">
      <alignment horizontal="center" vertical="center" wrapText="1"/>
    </xf>
    <xf numFmtId="49" fontId="30" fillId="0" borderId="15" xfId="0" applyNumberFormat="1" applyFont="1" applyBorder="1" applyAlignment="1">
      <alignment horizontal="left" vertical="center" wrapText="1"/>
    </xf>
    <xf numFmtId="0" fontId="135" fillId="0" borderId="0" xfId="35" applyFont="1" applyAlignment="1">
      <alignment horizontal="right" vertical="center" wrapText="1"/>
    </xf>
    <xf numFmtId="0" fontId="166" fillId="0" borderId="0" xfId="0" applyFont="1"/>
    <xf numFmtId="0" fontId="12" fillId="0" borderId="28" xfId="0" applyFont="1" applyBorder="1" applyAlignment="1">
      <alignment vertical="top"/>
    </xf>
    <xf numFmtId="0" fontId="16" fillId="0" borderId="0" xfId="0" applyFont="1" applyAlignment="1">
      <alignment horizontal="center" vertical="center"/>
    </xf>
    <xf numFmtId="0" fontId="153" fillId="0" borderId="0" xfId="0" applyFont="1"/>
    <xf numFmtId="0" fontId="12" fillId="0" borderId="0" xfId="0" applyFont="1" applyAlignment="1">
      <alignment horizontal="center" vertical="top"/>
    </xf>
    <xf numFmtId="0" fontId="148" fillId="27" borderId="22" xfId="35" applyFont="1" applyFill="1" applyBorder="1" applyAlignment="1">
      <alignment horizontal="center" vertical="center"/>
    </xf>
    <xf numFmtId="10" fontId="148" fillId="27" borderId="22" xfId="35" applyNumberFormat="1" applyFont="1" applyFill="1" applyBorder="1" applyAlignment="1">
      <alignment horizontal="center" vertical="center"/>
    </xf>
    <xf numFmtId="0" fontId="135" fillId="0" borderId="15" xfId="35" applyFont="1" applyBorder="1" applyAlignment="1">
      <alignment horizontal="center" vertical="center" wrapText="1"/>
    </xf>
    <xf numFmtId="0" fontId="135" fillId="0" borderId="0" xfId="35" applyFont="1" applyAlignment="1">
      <alignment horizontal="center" vertical="center"/>
    </xf>
    <xf numFmtId="0" fontId="64" fillId="0" borderId="0" xfId="35" applyFont="1" applyAlignment="1">
      <alignment horizontal="center" vertical="center"/>
    </xf>
    <xf numFmtId="0" fontId="64" fillId="25" borderId="0" xfId="35" applyFont="1" applyFill="1" applyAlignment="1">
      <alignment horizontal="center" vertical="center"/>
    </xf>
    <xf numFmtId="0" fontId="30" fillId="0" borderId="15" xfId="0" applyFont="1" applyBorder="1" applyAlignment="1">
      <alignment horizontal="center" vertical="top" wrapText="1"/>
    </xf>
    <xf numFmtId="0" fontId="29" fillId="34" borderId="15" xfId="0" applyFont="1" applyFill="1" applyBorder="1" applyAlignment="1">
      <alignment horizontal="center" vertical="center"/>
    </xf>
    <xf numFmtId="0" fontId="29" fillId="34" borderId="15" xfId="0" applyFont="1" applyFill="1" applyBorder="1" applyAlignment="1">
      <alignment horizontal="left" vertical="center"/>
    </xf>
    <xf numFmtId="4" fontId="29" fillId="34" borderId="15" xfId="0" applyNumberFormat="1" applyFont="1" applyFill="1" applyBorder="1" applyAlignment="1">
      <alignment horizontal="center" vertical="center"/>
    </xf>
    <xf numFmtId="4" fontId="29" fillId="0" borderId="0" xfId="36" applyNumberFormat="1" applyFont="1" applyFill="1" applyBorder="1" applyAlignment="1">
      <alignment horizontal="center" vertical="center" wrapText="1"/>
    </xf>
    <xf numFmtId="0" fontId="30" fillId="0" borderId="0" xfId="39" applyFont="1" applyAlignment="1">
      <alignment horizontal="left" vertical="center"/>
    </xf>
    <xf numFmtId="0" fontId="53" fillId="0" borderId="0" xfId="0" applyFont="1" applyAlignment="1">
      <alignment vertical="center"/>
    </xf>
    <xf numFmtId="4" fontId="53" fillId="0" borderId="0" xfId="0" applyNumberFormat="1" applyFont="1" applyAlignment="1">
      <alignment vertical="center"/>
    </xf>
    <xf numFmtId="4" fontId="37" fillId="0" borderId="0" xfId="0" applyNumberFormat="1" applyFont="1" applyAlignment="1">
      <alignment vertical="center"/>
    </xf>
    <xf numFmtId="0" fontId="38" fillId="0" borderId="0" xfId="36" applyFont="1">
      <alignment vertical="top"/>
    </xf>
    <xf numFmtId="0" fontId="170" fillId="0" borderId="0" xfId="36" applyFont="1">
      <alignment vertical="top"/>
    </xf>
    <xf numFmtId="0" fontId="171" fillId="0" borderId="0" xfId="36" applyFont="1" applyAlignment="1">
      <alignment horizontal="center"/>
    </xf>
    <xf numFmtId="0" fontId="171" fillId="0" borderId="0" xfId="0" applyFont="1" applyAlignment="1">
      <alignment horizontal="center"/>
    </xf>
    <xf numFmtId="0" fontId="171" fillId="0" borderId="0" xfId="36" applyFont="1" applyAlignment="1">
      <alignment horizontal="center" vertical="center"/>
    </xf>
    <xf numFmtId="0" fontId="10" fillId="0" borderId="0" xfId="0" applyFont="1" applyAlignment="1">
      <alignment vertical="center"/>
    </xf>
    <xf numFmtId="0" fontId="171" fillId="0" borderId="0" xfId="36" applyFont="1" applyAlignment="1">
      <alignment horizontal="center" vertical="top"/>
    </xf>
    <xf numFmtId="0" fontId="10" fillId="0" borderId="0" xfId="0" applyFont="1" applyAlignment="1">
      <alignment vertical="top"/>
    </xf>
    <xf numFmtId="0" fontId="151" fillId="0" borderId="0" xfId="0" applyFont="1" applyAlignment="1">
      <alignment horizontal="center" vertical="center"/>
    </xf>
    <xf numFmtId="0" fontId="171" fillId="0" borderId="0" xfId="36" applyFont="1" applyFill="1" applyAlignment="1">
      <alignment horizontal="center" vertical="center"/>
    </xf>
    <xf numFmtId="0" fontId="171" fillId="27" borderId="0" xfId="36" applyFont="1" applyFill="1" applyAlignment="1">
      <alignment horizontal="center" vertical="top"/>
    </xf>
    <xf numFmtId="0" fontId="38" fillId="0" borderId="0" xfId="36" applyFont="1" applyFill="1" applyAlignment="1">
      <alignment vertical="center"/>
    </xf>
    <xf numFmtId="0" fontId="16" fillId="0" borderId="0" xfId="36" applyFont="1" applyFill="1" applyAlignment="1">
      <alignment horizontal="right" vertical="center"/>
    </xf>
    <xf numFmtId="0" fontId="152" fillId="27" borderId="0" xfId="36" applyFont="1" applyFill="1" applyAlignment="1">
      <alignment horizontal="center" vertical="top"/>
    </xf>
    <xf numFmtId="43" fontId="171" fillId="37" borderId="15" xfId="0" applyNumberFormat="1" applyFont="1" applyFill="1" applyBorder="1" applyAlignment="1">
      <alignment horizontal="center" vertical="center"/>
    </xf>
    <xf numFmtId="43" fontId="171" fillId="37" borderId="15" xfId="36" applyNumberFormat="1" applyFont="1" applyFill="1" applyBorder="1" applyAlignment="1">
      <alignment horizontal="center" vertical="center" wrapText="1"/>
    </xf>
    <xf numFmtId="2" fontId="171" fillId="36" borderId="15" xfId="36" applyNumberFormat="1" applyFont="1" applyFill="1" applyBorder="1" applyAlignment="1">
      <alignment horizontal="center" vertical="center" wrapText="1"/>
    </xf>
    <xf numFmtId="0" fontId="171" fillId="0" borderId="0" xfId="0" applyFont="1" applyAlignment="1">
      <alignment horizontal="center" vertical="center"/>
    </xf>
    <xf numFmtId="2" fontId="171" fillId="0" borderId="0" xfId="36" applyNumberFormat="1" applyFont="1" applyFill="1" applyBorder="1" applyAlignment="1">
      <alignment horizontal="left" vertical="center" wrapText="1"/>
    </xf>
    <xf numFmtId="4" fontId="171" fillId="0" borderId="0" xfId="36" applyNumberFormat="1" applyFont="1" applyFill="1" applyBorder="1" applyAlignment="1">
      <alignment horizontal="center" vertical="center" wrapText="1"/>
    </xf>
    <xf numFmtId="0" fontId="135" fillId="0" borderId="0" xfId="39" applyFont="1" applyAlignment="1">
      <alignment vertical="center" wrapText="1"/>
    </xf>
    <xf numFmtId="0" fontId="139" fillId="0" borderId="0" xfId="36" applyFont="1">
      <alignment vertical="top"/>
    </xf>
    <xf numFmtId="0" fontId="12" fillId="0" borderId="0" xfId="0" applyFont="1"/>
    <xf numFmtId="0" fontId="152" fillId="0" borderId="0" xfId="0" applyFont="1"/>
    <xf numFmtId="0" fontId="152" fillId="36" borderId="15" xfId="0" applyFont="1" applyFill="1" applyBorder="1" applyAlignment="1">
      <alignment horizontal="center" vertical="top" wrapText="1"/>
    </xf>
    <xf numFmtId="0" fontId="152" fillId="36" borderId="15" xfId="35" applyFont="1" applyFill="1" applyBorder="1" applyAlignment="1">
      <alignment horizontal="center" vertical="top" wrapText="1"/>
    </xf>
    <xf numFmtId="0" fontId="152" fillId="36" borderId="15" xfId="0" applyFont="1" applyFill="1" applyBorder="1" applyAlignment="1">
      <alignment horizontal="center" vertical="top"/>
    </xf>
    <xf numFmtId="2" fontId="152" fillId="37" borderId="15" xfId="0" applyNumberFormat="1" applyFont="1" applyFill="1" applyBorder="1" applyAlignment="1">
      <alignment horizontal="center" vertical="center"/>
    </xf>
    <xf numFmtId="4" fontId="152" fillId="37" borderId="15" xfId="0" applyNumberFormat="1" applyFont="1" applyFill="1" applyBorder="1" applyAlignment="1">
      <alignment horizontal="center" vertical="center"/>
    </xf>
    <xf numFmtId="0" fontId="152" fillId="0" borderId="0" xfId="0" applyFont="1" applyAlignment="1">
      <alignment horizontal="center" vertical="center"/>
    </xf>
    <xf numFmtId="4" fontId="152" fillId="0" borderId="0" xfId="0" applyNumberFormat="1" applyFont="1" applyAlignment="1">
      <alignment horizontal="center" vertical="center"/>
    </xf>
    <xf numFmtId="4" fontId="16" fillId="0" borderId="0" xfId="0" applyNumberFormat="1" applyFont="1" applyAlignment="1">
      <alignment horizontal="left" vertical="center"/>
    </xf>
    <xf numFmtId="0" fontId="16" fillId="0" borderId="0" xfId="0" applyFont="1" applyAlignment="1">
      <alignment horizontal="right" vertical="center"/>
    </xf>
    <xf numFmtId="4" fontId="16" fillId="0" borderId="0" xfId="0" applyNumberFormat="1" applyFont="1" applyAlignment="1">
      <alignment horizontal="center" vertical="center"/>
    </xf>
    <xf numFmtId="49" fontId="78" fillId="0" borderId="15" xfId="0" applyNumberFormat="1" applyFont="1" applyBorder="1" applyAlignment="1">
      <alignment horizontal="center" vertical="center" wrapText="1"/>
    </xf>
    <xf numFmtId="4" fontId="172" fillId="0" borderId="15" xfId="38" applyNumberFormat="1" applyFont="1" applyFill="1" applyBorder="1" applyAlignment="1" applyProtection="1">
      <alignment horizontal="center" vertical="center" wrapText="1"/>
      <protection locked="0"/>
    </xf>
    <xf numFmtId="4" fontId="80" fillId="0" borderId="15" xfId="38" applyNumberFormat="1" applyFont="1" applyFill="1" applyBorder="1" applyAlignment="1" applyProtection="1">
      <alignment horizontal="center" vertical="center" wrapText="1"/>
      <protection locked="0"/>
    </xf>
    <xf numFmtId="4" fontId="173" fillId="28" borderId="14" xfId="0" applyNumberFormat="1" applyFont="1" applyFill="1" applyBorder="1" applyAlignment="1">
      <alignment horizontal="center" vertical="center" wrapText="1"/>
    </xf>
    <xf numFmtId="4" fontId="78" fillId="0" borderId="15" xfId="38" applyNumberFormat="1" applyFont="1" applyFill="1" applyBorder="1" applyAlignment="1" applyProtection="1">
      <alignment horizontal="center" vertical="center" wrapText="1"/>
      <protection locked="0"/>
    </xf>
    <xf numFmtId="4" fontId="78" fillId="0" borderId="16" xfId="0" applyNumberFormat="1" applyFont="1" applyBorder="1" applyAlignment="1">
      <alignment horizontal="center" vertical="center" wrapText="1"/>
    </xf>
    <xf numFmtId="0" fontId="78" fillId="0" borderId="15" xfId="0" applyFont="1" applyBorder="1" applyAlignment="1">
      <alignment horizontal="center" vertical="center" wrapText="1"/>
    </xf>
    <xf numFmtId="49" fontId="78" fillId="0" borderId="16" xfId="0" applyNumberFormat="1" applyFont="1" applyBorder="1" applyAlignment="1">
      <alignment horizontal="center" vertical="center" wrapText="1"/>
    </xf>
    <xf numFmtId="165" fontId="78" fillId="0" borderId="15" xfId="30" applyNumberFormat="1" applyFont="1" applyBorder="1" applyAlignment="1">
      <alignment horizontal="center" vertical="center" wrapText="1"/>
    </xf>
    <xf numFmtId="4" fontId="78" fillId="0" borderId="15" xfId="0" applyNumberFormat="1" applyFont="1" applyBorder="1" applyAlignment="1">
      <alignment horizontal="center" vertical="center" wrapText="1"/>
    </xf>
    <xf numFmtId="4" fontId="78" fillId="0" borderId="21" xfId="38" applyNumberFormat="1" applyFont="1" applyFill="1" applyBorder="1" applyAlignment="1" applyProtection="1">
      <alignment horizontal="center" vertical="center" wrapText="1"/>
      <protection locked="0"/>
    </xf>
    <xf numFmtId="4" fontId="78" fillId="0" borderId="16" xfId="38" applyNumberFormat="1" applyFont="1" applyFill="1" applyBorder="1" applyAlignment="1" applyProtection="1">
      <alignment horizontal="center" vertical="center" wrapText="1"/>
      <protection locked="0"/>
    </xf>
    <xf numFmtId="49" fontId="174" fillId="0" borderId="15" xfId="0" applyNumberFormat="1" applyFont="1" applyBorder="1" applyAlignment="1">
      <alignment horizontal="center" vertical="center" wrapText="1"/>
    </xf>
    <xf numFmtId="4" fontId="175" fillId="0" borderId="15" xfId="0" applyNumberFormat="1" applyFont="1" applyBorder="1" applyAlignment="1">
      <alignment horizontal="center" vertical="center" wrapText="1"/>
    </xf>
    <xf numFmtId="49" fontId="71" fillId="0" borderId="15" xfId="0" applyNumberFormat="1" applyFont="1" applyBorder="1" applyAlignment="1">
      <alignment horizontal="center" vertical="center" wrapText="1"/>
    </xf>
    <xf numFmtId="0" fontId="71" fillId="0" borderId="15" xfId="38" applyFont="1" applyFill="1" applyBorder="1" applyAlignment="1" applyProtection="1">
      <alignment horizontal="center" vertical="center" wrapText="1"/>
      <protection locked="0"/>
    </xf>
    <xf numFmtId="4" fontId="80" fillId="0" borderId="15" xfId="0" applyNumberFormat="1" applyFont="1" applyBorder="1" applyAlignment="1">
      <alignment horizontal="center" vertical="center" wrapText="1"/>
    </xf>
    <xf numFmtId="0" fontId="78" fillId="0" borderId="15" xfId="38" applyFont="1" applyFill="1" applyBorder="1" applyAlignment="1" applyProtection="1">
      <alignment horizontal="center" vertical="center" wrapText="1"/>
      <protection locked="0"/>
    </xf>
    <xf numFmtId="4" fontId="172" fillId="0" borderId="15" xfId="0" applyNumberFormat="1" applyFont="1" applyBorder="1" applyAlignment="1">
      <alignment horizontal="center" vertical="center" wrapText="1"/>
    </xf>
    <xf numFmtId="4" fontId="172" fillId="0" borderId="15" xfId="0" applyNumberFormat="1" applyFont="1" applyBorder="1" applyAlignment="1">
      <alignment horizontal="center" vertical="center"/>
    </xf>
    <xf numFmtId="4" fontId="78" fillId="0" borderId="16" xfId="38" applyNumberFormat="1" applyFont="1" applyFill="1" applyBorder="1" applyAlignment="1">
      <alignment horizontal="center" vertical="center" wrapText="1"/>
    </xf>
    <xf numFmtId="49" fontId="176" fillId="0" borderId="15" xfId="0" applyNumberFormat="1" applyFont="1" applyBorder="1" applyAlignment="1">
      <alignment horizontal="center" vertical="center" wrapText="1"/>
    </xf>
    <xf numFmtId="0" fontId="176" fillId="0" borderId="15" xfId="38" applyFont="1" applyFill="1" applyBorder="1" applyAlignment="1" applyProtection="1">
      <alignment horizontal="center" vertical="center" wrapText="1"/>
      <protection locked="0"/>
    </xf>
    <xf numFmtId="4" fontId="176" fillId="0" borderId="15" xfId="30" applyNumberFormat="1" applyFont="1" applyBorder="1" applyAlignment="1">
      <alignment horizontal="center" vertical="center"/>
    </xf>
    <xf numFmtId="4" fontId="176" fillId="0" borderId="15" xfId="0" applyNumberFormat="1" applyFont="1" applyBorder="1" applyAlignment="1">
      <alignment horizontal="center" vertical="center" wrapText="1"/>
    </xf>
    <xf numFmtId="4" fontId="172" fillId="0" borderId="15" xfId="38" applyNumberFormat="1" applyFont="1" applyFill="1" applyBorder="1" applyAlignment="1">
      <alignment horizontal="center" vertical="center" wrapText="1"/>
    </xf>
    <xf numFmtId="4" fontId="177" fillId="0" borderId="15" xfId="0" applyNumberFormat="1" applyFont="1" applyBorder="1" applyAlignment="1">
      <alignment horizontal="center" vertical="center" wrapText="1"/>
    </xf>
    <xf numFmtId="49" fontId="178" fillId="0" borderId="15" xfId="0" applyNumberFormat="1" applyFont="1" applyBorder="1" applyAlignment="1">
      <alignment horizontal="center" vertical="center" wrapText="1"/>
    </xf>
    <xf numFmtId="0" fontId="178" fillId="0" borderId="17" xfId="38" applyFont="1" applyFill="1" applyBorder="1" applyAlignment="1" applyProtection="1">
      <alignment horizontal="center" vertical="center" wrapText="1"/>
      <protection locked="0"/>
    </xf>
    <xf numFmtId="4" fontId="173" fillId="31" borderId="8" xfId="0" applyNumberFormat="1" applyFont="1" applyFill="1" applyBorder="1" applyAlignment="1">
      <alignment horizontal="center" vertical="center" wrapText="1"/>
    </xf>
    <xf numFmtId="4" fontId="30" fillId="0" borderId="16" xfId="38" applyNumberFormat="1" applyFont="1" applyFill="1" applyBorder="1" applyAlignment="1">
      <alignment horizontal="center" vertical="center" wrapText="1"/>
    </xf>
    <xf numFmtId="4" fontId="30" fillId="0" borderId="15" xfId="38" applyNumberFormat="1" applyFont="1" applyFill="1" applyBorder="1" applyAlignment="1">
      <alignment horizontal="center" vertical="center" wrapText="1"/>
    </xf>
    <xf numFmtId="4" fontId="31" fillId="0" borderId="15" xfId="0" applyNumberFormat="1" applyFont="1" applyBorder="1" applyAlignment="1">
      <alignment horizontal="center" vertical="center" wrapText="1"/>
    </xf>
    <xf numFmtId="4" fontId="32" fillId="0" borderId="15" xfId="0" applyNumberFormat="1" applyFont="1" applyBorder="1" applyAlignment="1">
      <alignment horizontal="center" vertical="center"/>
    </xf>
    <xf numFmtId="4" fontId="30" fillId="0" borderId="15" xfId="38" applyNumberFormat="1" applyFont="1" applyFill="1" applyBorder="1" applyAlignment="1" applyProtection="1">
      <alignment horizontal="center" vertical="center" wrapText="1"/>
      <protection locked="0"/>
    </xf>
    <xf numFmtId="4" fontId="32" fillId="0" borderId="15" xfId="0" applyNumberFormat="1" applyFont="1" applyBorder="1" applyAlignment="1">
      <alignment horizontal="center" vertical="center" wrapText="1"/>
    </xf>
    <xf numFmtId="165" fontId="30" fillId="0" borderId="15" xfId="30" applyNumberFormat="1" applyFont="1" applyBorder="1" applyAlignment="1">
      <alignment horizontal="center" vertical="center" wrapText="1"/>
    </xf>
    <xf numFmtId="4" fontId="173" fillId="28" borderId="8" xfId="0" applyNumberFormat="1" applyFont="1" applyFill="1" applyBorder="1" applyAlignment="1">
      <alignment horizontal="center" vertical="center" wrapText="1"/>
    </xf>
    <xf numFmtId="0" fontId="30" fillId="0" borderId="15" xfId="38" applyFont="1" applyFill="1" applyBorder="1" applyAlignment="1" applyProtection="1">
      <alignment horizontal="center" vertical="center" wrapText="1"/>
      <protection locked="0"/>
    </xf>
    <xf numFmtId="49" fontId="66" fillId="0" borderId="15" xfId="0" applyNumberFormat="1" applyFont="1" applyBorder="1" applyAlignment="1">
      <alignment horizontal="center" vertical="center" wrapText="1"/>
    </xf>
    <xf numFmtId="4" fontId="66" fillId="0" borderId="15" xfId="38" applyNumberFormat="1" applyFont="1" applyFill="1" applyBorder="1" applyAlignment="1" applyProtection="1">
      <alignment horizontal="center" vertical="center" wrapText="1"/>
      <protection locked="0"/>
    </xf>
    <xf numFmtId="4" fontId="29" fillId="0" borderId="15" xfId="38" applyNumberFormat="1" applyFont="1" applyFill="1" applyBorder="1" applyAlignment="1" applyProtection="1">
      <alignment horizontal="center" vertical="center" wrapText="1"/>
      <protection locked="0"/>
    </xf>
    <xf numFmtId="49" fontId="29" fillId="39" borderId="15" xfId="0" applyNumberFormat="1" applyFont="1" applyFill="1" applyBorder="1" applyAlignment="1">
      <alignment horizontal="center" vertical="center" wrapText="1"/>
    </xf>
    <xf numFmtId="0" fontId="29" fillId="39" borderId="15" xfId="38" applyFont="1" applyFill="1" applyBorder="1" applyAlignment="1" applyProtection="1">
      <alignment horizontal="center" vertical="center" wrapText="1"/>
      <protection locked="0"/>
    </xf>
    <xf numFmtId="4" fontId="29" fillId="39" borderId="15" xfId="38" applyNumberFormat="1" applyFont="1" applyFill="1" applyBorder="1" applyAlignment="1" applyProtection="1">
      <alignment horizontal="center" vertical="center" wrapText="1"/>
      <protection locked="0"/>
    </xf>
    <xf numFmtId="49" fontId="66" fillId="40" borderId="15" xfId="0" applyNumberFormat="1" applyFont="1" applyFill="1" applyBorder="1" applyAlignment="1">
      <alignment horizontal="center" vertical="center" wrapText="1"/>
    </xf>
    <xf numFmtId="0" fontId="66" fillId="40" borderId="15" xfId="38" applyFont="1" applyFill="1" applyBorder="1" applyAlignment="1" applyProtection="1">
      <alignment horizontal="center" vertical="center" wrapText="1"/>
      <protection locked="0"/>
    </xf>
    <xf numFmtId="4" fontId="66" fillId="40" borderId="15" xfId="38" applyNumberFormat="1" applyFont="1" applyFill="1" applyBorder="1" applyAlignment="1" applyProtection="1">
      <alignment horizontal="center" vertical="center" wrapText="1"/>
      <protection locked="0"/>
    </xf>
    <xf numFmtId="4" fontId="66" fillId="40" borderId="15" xfId="0" applyNumberFormat="1" applyFont="1" applyFill="1" applyBorder="1" applyAlignment="1">
      <alignment horizontal="center" vertical="center" wrapText="1"/>
    </xf>
    <xf numFmtId="49" fontId="179" fillId="0" borderId="15" xfId="0" applyNumberFormat="1" applyFont="1" applyBorder="1" applyAlignment="1">
      <alignment horizontal="center" vertical="center" wrapText="1"/>
    </xf>
    <xf numFmtId="4" fontId="83" fillId="0" borderId="15" xfId="0" applyNumberFormat="1" applyFont="1" applyBorder="1" applyAlignment="1">
      <alignment horizontal="center" vertical="center" wrapText="1"/>
    </xf>
    <xf numFmtId="4" fontId="32" fillId="0" borderId="15" xfId="38" applyNumberFormat="1" applyFont="1" applyFill="1" applyBorder="1" applyAlignment="1" applyProtection="1">
      <alignment horizontal="center" vertical="center" wrapText="1"/>
      <protection locked="0"/>
    </xf>
    <xf numFmtId="4" fontId="31" fillId="0" borderId="15" xfId="38" applyNumberFormat="1" applyFont="1" applyFill="1" applyBorder="1" applyAlignment="1" applyProtection="1">
      <alignment horizontal="center" vertical="center" wrapText="1"/>
      <protection locked="0"/>
    </xf>
    <xf numFmtId="4" fontId="32" fillId="0" borderId="15" xfId="38" applyNumberFormat="1" applyFont="1" applyFill="1" applyBorder="1" applyAlignment="1">
      <alignment horizontal="center" vertical="center" wrapText="1"/>
    </xf>
    <xf numFmtId="4" fontId="135" fillId="0" borderId="15" xfId="0" applyNumberFormat="1" applyFont="1" applyBorder="1" applyAlignment="1">
      <alignment horizontal="center" vertical="center" wrapText="1"/>
    </xf>
    <xf numFmtId="4" fontId="79" fillId="0" borderId="15" xfId="0" applyNumberFormat="1" applyFont="1" applyBorder="1" applyAlignment="1">
      <alignment horizontal="center" vertical="center" wrapText="1"/>
    </xf>
    <xf numFmtId="4" fontId="30" fillId="0" borderId="16" xfId="0" applyNumberFormat="1" applyFont="1" applyBorder="1" applyAlignment="1">
      <alignment horizontal="center" vertical="center" wrapText="1"/>
    </xf>
    <xf numFmtId="0" fontId="135" fillId="0" borderId="15" xfId="38" applyFont="1" applyFill="1" applyBorder="1" applyAlignment="1" applyProtection="1">
      <alignment horizontal="center" vertical="center" wrapText="1"/>
      <protection locked="0"/>
    </xf>
    <xf numFmtId="0" fontId="30" fillId="0" borderId="15" xfId="0" applyFont="1" applyBorder="1" applyAlignment="1">
      <alignment horizontal="center" vertical="center" wrapText="1"/>
    </xf>
    <xf numFmtId="9" fontId="136" fillId="0" borderId="15" xfId="0" applyNumberFormat="1" applyFont="1" applyBorder="1" applyAlignment="1">
      <alignment horizontal="center" vertical="center" wrapText="1"/>
    </xf>
    <xf numFmtId="9" fontId="108" fillId="0" borderId="15" xfId="0" applyNumberFormat="1" applyFont="1" applyBorder="1" applyAlignment="1">
      <alignment horizontal="center" vertical="center" wrapText="1"/>
    </xf>
    <xf numFmtId="9" fontId="181" fillId="0" borderId="15" xfId="0" applyNumberFormat="1" applyFont="1" applyBorder="1" applyAlignment="1">
      <alignment horizontal="center" vertical="center" wrapText="1"/>
    </xf>
    <xf numFmtId="4" fontId="177" fillId="0" borderId="15" xfId="38" applyNumberFormat="1" applyFont="1" applyFill="1" applyBorder="1" applyAlignment="1" applyProtection="1">
      <alignment horizontal="center" vertical="center" wrapText="1"/>
      <protection locked="0"/>
    </xf>
    <xf numFmtId="4" fontId="78" fillId="0" borderId="15" xfId="38" applyNumberFormat="1" applyFont="1" applyFill="1" applyBorder="1" applyAlignment="1">
      <alignment horizontal="center" vertical="center" wrapText="1"/>
    </xf>
    <xf numFmtId="49" fontId="136" fillId="40" borderId="15" xfId="0" applyNumberFormat="1" applyFont="1" applyFill="1" applyBorder="1" applyAlignment="1">
      <alignment horizontal="center" vertical="center" wrapText="1"/>
    </xf>
    <xf numFmtId="4" fontId="136" fillId="40" borderId="15" xfId="0" applyNumberFormat="1" applyFont="1" applyFill="1" applyBorder="1" applyAlignment="1">
      <alignment horizontal="center" vertical="center" wrapText="1"/>
    </xf>
    <xf numFmtId="49" fontId="137" fillId="39" borderId="15" xfId="0" applyNumberFormat="1" applyFont="1" applyFill="1" applyBorder="1" applyAlignment="1">
      <alignment horizontal="center" vertical="center" wrapText="1"/>
    </xf>
    <xf numFmtId="0" fontId="137" fillId="39" borderId="15" xfId="38" applyFont="1" applyFill="1" applyBorder="1" applyAlignment="1" applyProtection="1">
      <alignment horizontal="center" vertical="center" wrapText="1"/>
      <protection locked="0"/>
    </xf>
    <xf numFmtId="4" fontId="137" fillId="39" borderId="15" xfId="0" applyNumberFormat="1" applyFont="1" applyFill="1" applyBorder="1" applyAlignment="1">
      <alignment horizontal="center" vertical="center" wrapText="1"/>
    </xf>
    <xf numFmtId="4" fontId="182" fillId="28" borderId="14" xfId="0" applyNumberFormat="1" applyFont="1" applyFill="1" applyBorder="1" applyAlignment="1">
      <alignment horizontal="center" vertical="center" wrapText="1"/>
    </xf>
    <xf numFmtId="4" fontId="182" fillId="28" borderId="8" xfId="0" applyNumberFormat="1" applyFont="1" applyFill="1" applyBorder="1" applyAlignment="1">
      <alignment horizontal="center" vertical="center" wrapText="1"/>
    </xf>
    <xf numFmtId="49" fontId="180" fillId="39" borderId="15" xfId="0" applyNumberFormat="1" applyFont="1" applyFill="1" applyBorder="1" applyAlignment="1">
      <alignment horizontal="center" vertical="center" wrapText="1"/>
    </xf>
    <xf numFmtId="4" fontId="135" fillId="0" borderId="15" xfId="30" applyNumberFormat="1" applyFont="1" applyBorder="1" applyAlignment="1">
      <alignment horizontal="center" vertical="center"/>
    </xf>
    <xf numFmtId="9" fontId="135" fillId="0" borderId="15" xfId="0" applyNumberFormat="1" applyFont="1" applyBorder="1" applyAlignment="1">
      <alignment horizontal="center" vertical="center" wrapText="1"/>
    </xf>
    <xf numFmtId="0" fontId="29" fillId="0" borderId="15" xfId="38" applyFont="1" applyFill="1" applyBorder="1" applyAlignment="1" applyProtection="1">
      <alignment horizontal="center" vertical="center" wrapText="1"/>
      <protection locked="0"/>
    </xf>
    <xf numFmtId="4" fontId="83" fillId="0" borderId="15" xfId="38" applyNumberFormat="1" applyFont="1" applyFill="1" applyBorder="1" applyAlignment="1" applyProtection="1">
      <alignment horizontal="center" vertical="center" wrapText="1"/>
      <protection locked="0"/>
    </xf>
    <xf numFmtId="0" fontId="29" fillId="0" borderId="17" xfId="38" applyFont="1" applyFill="1" applyBorder="1" applyAlignment="1" applyProtection="1">
      <alignment horizontal="center" vertical="center" wrapText="1"/>
      <protection locked="0"/>
    </xf>
    <xf numFmtId="0" fontId="66" fillId="0" borderId="17" xfId="38" applyFont="1" applyFill="1" applyBorder="1" applyAlignment="1" applyProtection="1">
      <alignment horizontal="center" vertical="center" wrapText="1"/>
      <protection locked="0"/>
    </xf>
    <xf numFmtId="4" fontId="183" fillId="27" borderId="0" xfId="0" applyNumberFormat="1" applyFont="1" applyFill="1" applyAlignment="1">
      <alignment horizontal="center" vertical="center" wrapText="1"/>
    </xf>
    <xf numFmtId="4" fontId="79" fillId="0" borderId="15" xfId="38" applyNumberFormat="1" applyFont="1" applyFill="1" applyBorder="1" applyAlignment="1" applyProtection="1">
      <alignment horizontal="center" vertical="center" wrapText="1"/>
      <protection locked="0"/>
    </xf>
    <xf numFmtId="4" fontId="185" fillId="27" borderId="15" xfId="0" applyNumberFormat="1" applyFont="1" applyFill="1" applyBorder="1" applyAlignment="1">
      <alignment horizontal="center" vertical="center"/>
    </xf>
    <xf numFmtId="0" fontId="178" fillId="0" borderId="15" xfId="0" applyFont="1" applyBorder="1" applyAlignment="1">
      <alignment horizontal="center" vertical="center" wrapText="1"/>
    </xf>
    <xf numFmtId="4" fontId="177" fillId="0" borderId="15" xfId="0" applyNumberFormat="1" applyFont="1" applyBorder="1" applyAlignment="1">
      <alignment horizontal="center" vertical="center"/>
    </xf>
    <xf numFmtId="0" fontId="186" fillId="0" borderId="23" xfId="0" applyFont="1" applyBorder="1" applyAlignment="1">
      <alignment horizontal="center" vertical="center" wrapText="1"/>
    </xf>
    <xf numFmtId="0" fontId="186" fillId="0" borderId="23" xfId="0" applyFont="1" applyBorder="1" applyAlignment="1">
      <alignment horizontal="left" vertical="center" wrapText="1"/>
    </xf>
    <xf numFmtId="4" fontId="186" fillId="0" borderId="23" xfId="0" applyNumberFormat="1" applyFont="1" applyBorder="1" applyAlignment="1">
      <alignment horizontal="center" vertical="center" wrapText="1"/>
    </xf>
    <xf numFmtId="0" fontId="187" fillId="0" borderId="23" xfId="0" applyFont="1" applyBorder="1" applyAlignment="1">
      <alignment horizontal="center" vertical="center" wrapText="1"/>
    </xf>
    <xf numFmtId="0" fontId="187" fillId="0" borderId="23" xfId="0" applyFont="1" applyBorder="1" applyAlignment="1">
      <alignment horizontal="left" vertical="center" wrapText="1"/>
    </xf>
    <xf numFmtId="4" fontId="187" fillId="0" borderId="23" xfId="0" applyNumberFormat="1" applyFont="1" applyBorder="1" applyAlignment="1">
      <alignment horizontal="center" vertical="center" wrapText="1"/>
    </xf>
    <xf numFmtId="0" fontId="188" fillId="0" borderId="23" xfId="0" applyFont="1" applyBorder="1" applyAlignment="1">
      <alignment horizontal="center" vertical="center" wrapText="1"/>
    </xf>
    <xf numFmtId="0" fontId="188" fillId="0" borderId="23" xfId="0" applyFont="1" applyBorder="1" applyAlignment="1">
      <alignment horizontal="left" vertical="center" wrapText="1"/>
    </xf>
    <xf numFmtId="4" fontId="188" fillId="0" borderId="23" xfId="0" applyNumberFormat="1" applyFont="1" applyBorder="1" applyAlignment="1">
      <alignment horizontal="center" vertical="center" wrapText="1"/>
    </xf>
    <xf numFmtId="0" fontId="189" fillId="0" borderId="23" xfId="0" applyFont="1" applyBorder="1" applyAlignment="1">
      <alignment horizontal="center" vertical="center" wrapText="1"/>
    </xf>
    <xf numFmtId="0" fontId="189" fillId="0" borderId="23" xfId="0" applyFont="1" applyBorder="1" applyAlignment="1">
      <alignment horizontal="left" vertical="center" wrapText="1"/>
    </xf>
    <xf numFmtId="4" fontId="189" fillId="0" borderId="23" xfId="0" applyNumberFormat="1" applyFont="1" applyBorder="1" applyAlignment="1">
      <alignment horizontal="center" vertical="center" wrapText="1"/>
    </xf>
    <xf numFmtId="49" fontId="180" fillId="0" borderId="15" xfId="0" applyNumberFormat="1" applyFont="1" applyBorder="1" applyAlignment="1">
      <alignment horizontal="center" vertical="center" wrapText="1"/>
    </xf>
    <xf numFmtId="0" fontId="180" fillId="0" borderId="15" xfId="38" applyFont="1" applyFill="1" applyBorder="1" applyAlignment="1" applyProtection="1">
      <alignment horizontal="center" vertical="center" wrapText="1"/>
      <protection locked="0"/>
    </xf>
    <xf numFmtId="49" fontId="181" fillId="0" borderId="15" xfId="0" applyNumberFormat="1" applyFont="1" applyBorder="1" applyAlignment="1">
      <alignment horizontal="center" vertical="center" wrapText="1"/>
    </xf>
    <xf numFmtId="0" fontId="181" fillId="0" borderId="15" xfId="38" applyFont="1" applyFill="1" applyBorder="1" applyAlignment="1" applyProtection="1">
      <alignment horizontal="center" vertical="center" wrapText="1"/>
      <protection locked="0"/>
    </xf>
    <xf numFmtId="49" fontId="176" fillId="0" borderId="15" xfId="35" applyNumberFormat="1" applyFont="1" applyBorder="1" applyAlignment="1">
      <alignment horizontal="center" vertical="center" wrapText="1"/>
    </xf>
    <xf numFmtId="49" fontId="190" fillId="0" borderId="15" xfId="0" applyNumberFormat="1" applyFont="1" applyBorder="1" applyAlignment="1">
      <alignment horizontal="center" vertical="center" wrapText="1"/>
    </xf>
    <xf numFmtId="0" fontId="190" fillId="0" borderId="15" xfId="38" applyFont="1" applyFill="1" applyBorder="1" applyAlignment="1" applyProtection="1">
      <alignment horizontal="center" vertical="center" wrapText="1"/>
      <protection locked="0"/>
    </xf>
    <xf numFmtId="0" fontId="176" fillId="0" borderId="15" xfId="35" applyFont="1" applyBorder="1" applyAlignment="1">
      <alignment horizontal="center" vertical="center" wrapText="1"/>
    </xf>
    <xf numFmtId="0" fontId="186" fillId="0" borderId="0" xfId="35" applyFont="1"/>
    <xf numFmtId="4" fontId="176" fillId="0" borderId="15" xfId="35" applyNumberFormat="1" applyFont="1" applyBorder="1" applyAlignment="1">
      <alignment horizontal="center" vertical="center"/>
    </xf>
    <xf numFmtId="4" fontId="190" fillId="0" borderId="15" xfId="0" applyNumberFormat="1" applyFont="1" applyBorder="1" applyAlignment="1">
      <alignment horizontal="center" vertical="center" wrapText="1"/>
    </xf>
    <xf numFmtId="4" fontId="181" fillId="0" borderId="15" xfId="0" applyNumberFormat="1" applyFont="1" applyBorder="1" applyAlignment="1">
      <alignment horizontal="center" vertical="center" wrapText="1"/>
    </xf>
    <xf numFmtId="4" fontId="180" fillId="0" borderId="15" xfId="0" applyNumberFormat="1" applyFont="1" applyBorder="1" applyAlignment="1">
      <alignment horizontal="center" vertical="center" wrapText="1"/>
    </xf>
    <xf numFmtId="0" fontId="136" fillId="40" borderId="15" xfId="38" applyFont="1" applyFill="1" applyBorder="1" applyAlignment="1" applyProtection="1">
      <alignment horizontal="center" vertical="center" wrapText="1"/>
      <protection locked="0"/>
    </xf>
    <xf numFmtId="4" fontId="136" fillId="40" borderId="15" xfId="38" applyNumberFormat="1" applyFont="1" applyFill="1" applyBorder="1" applyAlignment="1" applyProtection="1">
      <alignment horizontal="center" vertical="center" wrapText="1"/>
      <protection locked="0"/>
    </xf>
    <xf numFmtId="4" fontId="137" fillId="39" borderId="15" xfId="38" applyNumberFormat="1" applyFont="1" applyFill="1" applyBorder="1" applyAlignment="1" applyProtection="1">
      <alignment horizontal="center" vertical="center" wrapText="1"/>
      <protection locked="0"/>
    </xf>
    <xf numFmtId="4" fontId="80" fillId="0" borderId="15" xfId="38" applyNumberFormat="1" applyFont="1" applyFill="1" applyBorder="1" applyAlignment="1">
      <alignment horizontal="center" vertical="center" wrapText="1"/>
    </xf>
    <xf numFmtId="0" fontId="173" fillId="27" borderId="0" xfId="0" applyFont="1" applyFill="1" applyAlignment="1">
      <alignment horizontal="center" vertical="center"/>
    </xf>
    <xf numFmtId="0" fontId="30" fillId="0" borderId="16" xfId="38" applyFont="1" applyFill="1" applyBorder="1" applyAlignment="1" applyProtection="1">
      <alignment horizontal="center" vertical="center" wrapText="1"/>
      <protection locked="0"/>
    </xf>
    <xf numFmtId="49" fontId="179" fillId="0" borderId="16" xfId="0" applyNumberFormat="1" applyFont="1" applyBorder="1" applyAlignment="1">
      <alignment horizontal="center" vertical="center" wrapText="1"/>
    </xf>
    <xf numFmtId="4" fontId="32" fillId="0" borderId="16" xfId="0" applyNumberFormat="1" applyFont="1" applyBorder="1" applyAlignment="1">
      <alignment horizontal="center" vertical="center"/>
    </xf>
    <xf numFmtId="4" fontId="31" fillId="0" borderId="16" xfId="0" applyNumberFormat="1" applyFont="1" applyBorder="1" applyAlignment="1">
      <alignment horizontal="center" vertical="center" wrapText="1"/>
    </xf>
    <xf numFmtId="4" fontId="29" fillId="0" borderId="16" xfId="0" applyNumberFormat="1" applyFont="1" applyBorder="1" applyAlignment="1">
      <alignment horizontal="center" vertical="center" wrapText="1"/>
    </xf>
    <xf numFmtId="165" fontId="30" fillId="0" borderId="16" xfId="30" applyNumberFormat="1" applyFont="1" applyBorder="1" applyAlignment="1">
      <alignment horizontal="center" vertical="center" wrapText="1"/>
    </xf>
    <xf numFmtId="2" fontId="16" fillId="0" borderId="15" xfId="36" applyNumberFormat="1" applyFont="1" applyFill="1" applyBorder="1" applyAlignment="1">
      <alignment horizontal="center" vertical="center" wrapText="1"/>
    </xf>
    <xf numFmtId="4" fontId="16" fillId="0" borderId="15" xfId="36" applyNumberFormat="1" applyFont="1" applyFill="1" applyBorder="1" applyAlignment="1">
      <alignment horizontal="center" vertical="center"/>
    </xf>
    <xf numFmtId="4" fontId="192" fillId="0" borderId="15" xfId="36" applyNumberFormat="1" applyFont="1" applyFill="1" applyBorder="1" applyAlignment="1">
      <alignment horizontal="center" vertical="center" wrapText="1"/>
    </xf>
    <xf numFmtId="4" fontId="16" fillId="0" borderId="15" xfId="36" applyNumberFormat="1" applyFont="1" applyFill="1" applyBorder="1" applyAlignment="1">
      <alignment horizontal="center" vertical="center" wrapText="1"/>
    </xf>
    <xf numFmtId="2" fontId="193" fillId="27" borderId="0" xfId="36" applyNumberFormat="1" applyFont="1" applyFill="1" applyAlignment="1">
      <alignment horizontal="center" vertical="top"/>
    </xf>
    <xf numFmtId="4" fontId="195" fillId="41" borderId="15" xfId="0" applyNumberFormat="1" applyFont="1" applyFill="1" applyBorder="1" applyAlignment="1">
      <alignment horizontal="center" vertical="center" wrapText="1"/>
    </xf>
    <xf numFmtId="4" fontId="195" fillId="26" borderId="15" xfId="0" applyNumberFormat="1" applyFont="1" applyFill="1" applyBorder="1" applyAlignment="1">
      <alignment horizontal="center" vertical="center" wrapText="1"/>
    </xf>
    <xf numFmtId="4" fontId="93" fillId="28" borderId="14" xfId="0" applyNumberFormat="1" applyFont="1" applyFill="1" applyBorder="1" applyAlignment="1">
      <alignment horizontal="center" vertical="center" wrapText="1"/>
    </xf>
    <xf numFmtId="4" fontId="93" fillId="28" borderId="8" xfId="0" applyNumberFormat="1" applyFont="1" applyFill="1" applyBorder="1" applyAlignment="1">
      <alignment horizontal="center" vertical="center" wrapText="1"/>
    </xf>
    <xf numFmtId="0" fontId="182" fillId="27" borderId="0" xfId="0" applyFont="1" applyFill="1" applyAlignment="1">
      <alignment horizontal="center" vertical="center"/>
    </xf>
    <xf numFmtId="4" fontId="196" fillId="27" borderId="0" xfId="0" applyNumberFormat="1" applyFont="1" applyFill="1" applyAlignment="1">
      <alignment horizontal="left" vertical="center"/>
    </xf>
    <xf numFmtId="49" fontId="136" fillId="0" borderId="15" xfId="0" applyNumberFormat="1" applyFont="1" applyBorder="1" applyAlignment="1">
      <alignment horizontal="center" vertical="center" wrapText="1"/>
    </xf>
    <xf numFmtId="0" fontId="136" fillId="0" borderId="15" xfId="38" applyFont="1" applyFill="1" applyBorder="1" applyAlignment="1" applyProtection="1">
      <alignment horizontal="center" vertical="center" wrapText="1"/>
      <protection locked="0"/>
    </xf>
    <xf numFmtId="49" fontId="137" fillId="0" borderId="15" xfId="0" applyNumberFormat="1" applyFont="1" applyBorder="1" applyAlignment="1">
      <alignment horizontal="center" vertical="center" wrapText="1"/>
    </xf>
    <xf numFmtId="0" fontId="137" fillId="0" borderId="15" xfId="38" applyFont="1" applyFill="1" applyBorder="1" applyAlignment="1" applyProtection="1">
      <alignment horizontal="center" vertical="center" wrapText="1"/>
      <protection locked="0"/>
    </xf>
    <xf numFmtId="49" fontId="135" fillId="0" borderId="15" xfId="35" applyNumberFormat="1" applyFont="1" applyBorder="1" applyAlignment="1">
      <alignment horizontal="center" vertical="center" wrapText="1"/>
    </xf>
    <xf numFmtId="49" fontId="197" fillId="0" borderId="15" xfId="0" applyNumberFormat="1" applyFont="1" applyBorder="1" applyAlignment="1">
      <alignment horizontal="center" vertical="center" wrapText="1"/>
    </xf>
    <xf numFmtId="0" fontId="197" fillId="0" borderId="15" xfId="38" applyFont="1" applyFill="1" applyBorder="1" applyAlignment="1" applyProtection="1">
      <alignment horizontal="center" vertical="center" wrapText="1"/>
      <protection locked="0"/>
    </xf>
    <xf numFmtId="4" fontId="135" fillId="0" borderId="15" xfId="35" applyNumberFormat="1" applyFont="1" applyBorder="1" applyAlignment="1">
      <alignment horizontal="center" vertical="center"/>
    </xf>
    <xf numFmtId="4" fontId="197" fillId="0" borderId="15" xfId="0" applyNumberFormat="1" applyFont="1" applyBorder="1" applyAlignment="1">
      <alignment horizontal="center" vertical="center" wrapText="1"/>
    </xf>
    <xf numFmtId="4" fontId="136" fillId="0" borderId="15" xfId="0" applyNumberFormat="1" applyFont="1" applyBorder="1" applyAlignment="1">
      <alignment horizontal="center" vertical="center" wrapText="1"/>
    </xf>
    <xf numFmtId="4" fontId="137" fillId="0" borderId="15" xfId="0" applyNumberFormat="1" applyFont="1" applyBorder="1" applyAlignment="1">
      <alignment horizontal="center" vertical="center" wrapText="1"/>
    </xf>
    <xf numFmtId="0" fontId="198" fillId="0" borderId="0" xfId="35" applyFont="1" applyAlignment="1">
      <alignment horizontal="center" vertical="center"/>
    </xf>
    <xf numFmtId="49" fontId="30" fillId="0" borderId="15" xfId="0" applyNumberFormat="1" applyFont="1" applyBorder="1" applyAlignment="1">
      <alignment horizontal="center" vertical="center"/>
    </xf>
    <xf numFmtId="49" fontId="179" fillId="0" borderId="15" xfId="0" applyNumberFormat="1" applyFont="1" applyBorder="1" applyAlignment="1">
      <alignment horizontal="center" vertical="center"/>
    </xf>
    <xf numFmtId="4" fontId="199" fillId="33" borderId="0" xfId="0" applyNumberFormat="1" applyFont="1" applyFill="1"/>
    <xf numFmtId="0" fontId="199" fillId="33" borderId="0" xfId="0" applyFont="1" applyFill="1"/>
    <xf numFmtId="0" fontId="199" fillId="27" borderId="0" xfId="0" applyFont="1" applyFill="1"/>
    <xf numFmtId="4" fontId="195" fillId="0" borderId="15" xfId="0" applyNumberFormat="1" applyFont="1" applyBorder="1" applyAlignment="1">
      <alignment horizontal="center" vertical="center" wrapText="1"/>
    </xf>
    <xf numFmtId="0" fontId="12" fillId="0" borderId="23" xfId="39" applyBorder="1" applyAlignment="1">
      <alignment horizontal="center" vertical="center" wrapText="1"/>
    </xf>
    <xf numFmtId="0" fontId="12" fillId="0" borderId="23" xfId="39" applyBorder="1" applyAlignment="1">
      <alignment vertical="center" wrapText="1"/>
    </xf>
    <xf numFmtId="4" fontId="155" fillId="0" borderId="23" xfId="39" applyNumberFormat="1" applyFont="1" applyBorder="1" applyAlignment="1">
      <alignment horizontal="center" vertical="center" wrapText="1"/>
    </xf>
    <xf numFmtId="4" fontId="12" fillId="0" borderId="23" xfId="39" applyNumberFormat="1" applyBorder="1" applyAlignment="1">
      <alignment horizontal="center" vertical="center" wrapText="1"/>
    </xf>
    <xf numFmtId="0" fontId="200" fillId="0" borderId="23" xfId="39" applyFont="1" applyBorder="1" applyAlignment="1">
      <alignment horizontal="center" vertical="center" wrapText="1"/>
    </xf>
    <xf numFmtId="0" fontId="200" fillId="0" borderId="23" xfId="39" applyFont="1" applyBorder="1" applyAlignment="1">
      <alignment vertical="center" wrapText="1"/>
    </xf>
    <xf numFmtId="4" fontId="200" fillId="0" borderId="23" xfId="39" applyNumberFormat="1" applyFont="1" applyBorder="1" applyAlignment="1">
      <alignment horizontal="center" vertical="center" wrapText="1"/>
    </xf>
    <xf numFmtId="0" fontId="12" fillId="0" borderId="23" xfId="37" applyFont="1" applyBorder="1" applyAlignment="1">
      <alignment horizontal="justify" vertical="center" wrapText="1"/>
    </xf>
    <xf numFmtId="0" fontId="155" fillId="0" borderId="23" xfId="37" applyFont="1" applyBorder="1" applyAlignment="1">
      <alignment horizontal="center" vertical="center" wrapText="1"/>
    </xf>
    <xf numFmtId="0" fontId="200" fillId="0" borderId="23" xfId="37" applyFont="1" applyBorder="1" applyAlignment="1">
      <alignment horizontal="justify" vertical="center" wrapText="1"/>
    </xf>
    <xf numFmtId="0" fontId="12" fillId="0" borderId="23" xfId="37" applyFont="1" applyBorder="1" applyAlignment="1">
      <alignment horizontal="left" vertical="center" wrapText="1"/>
    </xf>
    <xf numFmtId="0" fontId="200" fillId="0" borderId="23" xfId="37" applyFont="1" applyBorder="1" applyAlignment="1">
      <alignment horizontal="left" vertical="center" wrapText="1"/>
    </xf>
    <xf numFmtId="0" fontId="155" fillId="0" borderId="23" xfId="37" applyFont="1" applyBorder="1" applyAlignment="1">
      <alignment horizontal="justify" vertical="center" wrapText="1"/>
    </xf>
    <xf numFmtId="0" fontId="155" fillId="39" borderId="23" xfId="39" applyFont="1" applyFill="1" applyBorder="1" applyAlignment="1">
      <alignment horizontal="center" vertical="center" wrapText="1"/>
    </xf>
    <xf numFmtId="4" fontId="155" fillId="39" borderId="23" xfId="39" applyNumberFormat="1" applyFont="1" applyFill="1" applyBorder="1" applyAlignment="1">
      <alignment horizontal="center" vertical="center" wrapText="1"/>
    </xf>
    <xf numFmtId="0" fontId="12" fillId="0" borderId="23" xfId="37" applyFont="1" applyBorder="1" applyAlignment="1">
      <alignment vertical="center" wrapText="1"/>
    </xf>
    <xf numFmtId="0" fontId="200" fillId="0" borderId="23" xfId="37" applyFont="1" applyBorder="1" applyAlignment="1">
      <alignment vertical="center" wrapText="1"/>
    </xf>
    <xf numFmtId="0" fontId="155" fillId="0" borderId="23" xfId="37" applyFont="1" applyBorder="1" applyAlignment="1">
      <alignment vertical="center" wrapText="1"/>
    </xf>
    <xf numFmtId="0" fontId="12" fillId="0" borderId="23" xfId="0" applyFont="1" applyBorder="1" applyAlignment="1">
      <alignment horizontal="justify" vertical="center"/>
    </xf>
    <xf numFmtId="0" fontId="155" fillId="0" borderId="23" xfId="39" applyFont="1" applyBorder="1" applyAlignment="1">
      <alignment vertical="center" wrapText="1"/>
    </xf>
    <xf numFmtId="4" fontId="188" fillId="42" borderId="23" xfId="39" applyNumberFormat="1" applyFont="1" applyFill="1" applyBorder="1" applyAlignment="1">
      <alignment horizontal="center" vertical="center" wrapText="1"/>
    </xf>
    <xf numFmtId="0" fontId="188" fillId="42" borderId="23" xfId="39" applyFont="1" applyFill="1" applyBorder="1" applyAlignment="1">
      <alignment horizontal="center" vertical="center" wrapText="1"/>
    </xf>
    <xf numFmtId="0" fontId="188" fillId="42" borderId="23" xfId="37" applyFont="1" applyFill="1" applyBorder="1" applyAlignment="1">
      <alignment horizontal="center" vertical="center" wrapText="1"/>
    </xf>
    <xf numFmtId="0" fontId="188" fillId="0" borderId="23" xfId="39" applyFont="1" applyBorder="1" applyAlignment="1">
      <alignment horizontal="center" vertical="center" wrapText="1"/>
    </xf>
    <xf numFmtId="0" fontId="188" fillId="0" borderId="23" xfId="37" applyFont="1" applyBorder="1" applyAlignment="1">
      <alignment horizontal="center" vertical="center" wrapText="1"/>
    </xf>
    <xf numFmtId="4" fontId="188" fillId="0" borderId="23" xfId="39" applyNumberFormat="1" applyFont="1" applyBorder="1" applyAlignment="1">
      <alignment horizontal="center" vertical="center" wrapText="1"/>
    </xf>
    <xf numFmtId="0" fontId="186" fillId="0" borderId="23" xfId="39" applyFont="1" applyBorder="1" applyAlignment="1">
      <alignment horizontal="center" vertical="center" wrapText="1"/>
    </xf>
    <xf numFmtId="0" fontId="186" fillId="0" borderId="23" xfId="37" applyFont="1" applyBorder="1" applyAlignment="1">
      <alignment horizontal="justify" vertical="center" wrapText="1"/>
    </xf>
    <xf numFmtId="4" fontId="186" fillId="0" borderId="23" xfId="39" applyNumberFormat="1" applyFont="1" applyBorder="1" applyAlignment="1">
      <alignment horizontal="center" vertical="center" wrapText="1"/>
    </xf>
    <xf numFmtId="0" fontId="186" fillId="0" borderId="23" xfId="39" applyFont="1" applyBorder="1" applyAlignment="1">
      <alignment vertical="center" wrapText="1"/>
    </xf>
    <xf numFmtId="0" fontId="189" fillId="0" borderId="23" xfId="39" applyFont="1" applyBorder="1" applyAlignment="1">
      <alignment vertical="center" wrapText="1"/>
    </xf>
    <xf numFmtId="4" fontId="187" fillId="0" borderId="23" xfId="39" applyNumberFormat="1" applyFont="1" applyBorder="1" applyAlignment="1">
      <alignment horizontal="center" vertical="center" wrapText="1"/>
    </xf>
    <xf numFmtId="4" fontId="189" fillId="0" borderId="23" xfId="39" applyNumberFormat="1" applyFont="1" applyBorder="1" applyAlignment="1">
      <alignment horizontal="center" vertical="center" wrapText="1"/>
    </xf>
    <xf numFmtId="0" fontId="188" fillId="0" borderId="23" xfId="39" applyFont="1" applyBorder="1" applyAlignment="1">
      <alignment vertical="center" wrapText="1"/>
    </xf>
    <xf numFmtId="4" fontId="185" fillId="0" borderId="0" xfId="39" applyNumberFormat="1" applyFont="1"/>
    <xf numFmtId="4" fontId="71" fillId="29" borderId="7" xfId="36" applyNumberFormat="1" applyFont="1" applyFill="1" applyBorder="1" applyAlignment="1">
      <alignment horizontal="center" vertical="center" wrapText="1"/>
    </xf>
    <xf numFmtId="4" fontId="201" fillId="27" borderId="0" xfId="0" applyNumberFormat="1" applyFont="1" applyFill="1" applyAlignment="1">
      <alignment vertical="center"/>
    </xf>
    <xf numFmtId="4" fontId="202" fillId="27" borderId="0" xfId="0" applyNumberFormat="1" applyFont="1" applyFill="1" applyAlignment="1">
      <alignment horizontal="center" vertical="center"/>
    </xf>
    <xf numFmtId="4" fontId="155" fillId="0" borderId="23" xfId="0" applyNumberFormat="1" applyFont="1" applyBorder="1" applyAlignment="1">
      <alignment horizontal="center" vertical="center" wrapText="1"/>
    </xf>
    <xf numFmtId="4" fontId="155" fillId="0" borderId="23" xfId="0" applyNumberFormat="1" applyFont="1" applyBorder="1" applyAlignment="1">
      <alignment horizontal="left" vertical="center" wrapText="1"/>
    </xf>
    <xf numFmtId="0" fontId="200" fillId="0" borderId="23" xfId="0" applyFont="1" applyBorder="1" applyAlignment="1">
      <alignment horizontal="center" vertical="center" wrapText="1"/>
    </xf>
    <xf numFmtId="4" fontId="200" fillId="0" borderId="23" xfId="0" applyNumberFormat="1" applyFont="1" applyBorder="1" applyAlignment="1">
      <alignment horizontal="left" vertical="center" wrapText="1"/>
    </xf>
    <xf numFmtId="4" fontId="200" fillId="0" borderId="23" xfId="0" applyNumberFormat="1" applyFont="1" applyBorder="1" applyAlignment="1">
      <alignment horizontal="center" vertical="center" wrapText="1"/>
    </xf>
    <xf numFmtId="0" fontId="200" fillId="0" borderId="23" xfId="0" applyFont="1" applyBorder="1" applyAlignment="1">
      <alignment horizontal="left" vertical="center" wrapText="1"/>
    </xf>
    <xf numFmtId="0" fontId="155" fillId="0" borderId="23" xfId="0" applyFont="1" applyBorder="1" applyAlignment="1">
      <alignment horizontal="center" vertical="center" wrapText="1"/>
    </xf>
    <xf numFmtId="0" fontId="155" fillId="0" borderId="23" xfId="0" applyFont="1" applyBorder="1" applyAlignment="1">
      <alignment horizontal="left" vertical="center" wrapText="1"/>
    </xf>
    <xf numFmtId="0" fontId="203" fillId="0" borderId="23" xfId="0" applyFont="1" applyBorder="1" applyAlignment="1">
      <alignment horizontal="center" vertical="center" wrapText="1"/>
    </xf>
    <xf numFmtId="0" fontId="203" fillId="0" borderId="23" xfId="0" applyFont="1" applyBorder="1" applyAlignment="1">
      <alignment horizontal="left" vertical="center" wrapText="1"/>
    </xf>
    <xf numFmtId="4" fontId="203" fillId="0" borderId="23" xfId="0" applyNumberFormat="1" applyFont="1" applyBorder="1" applyAlignment="1">
      <alignment horizontal="center" vertical="center" wrapText="1"/>
    </xf>
    <xf numFmtId="49" fontId="30" fillId="36" borderId="19" xfId="0" applyNumberFormat="1" applyFont="1" applyFill="1" applyBorder="1" applyAlignment="1">
      <alignment horizontal="center" vertical="center" wrapText="1"/>
    </xf>
    <xf numFmtId="49" fontId="30" fillId="36" borderId="19" xfId="0" applyNumberFormat="1" applyFont="1" applyFill="1" applyBorder="1" applyAlignment="1">
      <alignment horizontal="left" vertical="center" wrapText="1"/>
    </xf>
    <xf numFmtId="4" fontId="30" fillId="36" borderId="19" xfId="0" applyNumberFormat="1" applyFont="1" applyFill="1" applyBorder="1" applyAlignment="1">
      <alignment horizontal="center" vertical="center" wrapText="1"/>
    </xf>
    <xf numFmtId="4" fontId="30" fillId="0" borderId="21" xfId="0" applyNumberFormat="1" applyFont="1" applyBorder="1" applyAlignment="1">
      <alignment horizontal="center" vertical="center" wrapText="1"/>
    </xf>
    <xf numFmtId="4" fontId="29" fillId="0" borderId="21" xfId="0" applyNumberFormat="1" applyFont="1" applyBorder="1" applyAlignment="1">
      <alignment horizontal="center" vertical="center" wrapText="1"/>
    </xf>
    <xf numFmtId="0" fontId="184" fillId="0" borderId="0" xfId="0" applyFont="1" applyAlignment="1">
      <alignment horizontal="justify" vertical="center"/>
    </xf>
    <xf numFmtId="0" fontId="184" fillId="0" borderId="0" xfId="0" applyFont="1" applyAlignment="1">
      <alignment horizontal="left" vertical="center"/>
    </xf>
    <xf numFmtId="0" fontId="176" fillId="0" borderId="0" xfId="0" applyFont="1" applyAlignment="1">
      <alignment horizontal="left" vertical="center"/>
    </xf>
    <xf numFmtId="0" fontId="78" fillId="0" borderId="0" xfId="0" applyFont="1" applyAlignment="1">
      <alignment horizontal="left" vertical="center"/>
    </xf>
    <xf numFmtId="0" fontId="135" fillId="0" borderId="0" xfId="35" applyFont="1" applyAlignment="1">
      <alignment vertical="center" wrapText="1"/>
    </xf>
    <xf numFmtId="0" fontId="16" fillId="0" borderId="15" xfId="0" applyFont="1" applyBorder="1" applyAlignment="1">
      <alignment horizontal="center" vertical="center"/>
    </xf>
    <xf numFmtId="49" fontId="16" fillId="0" borderId="15" xfId="0" applyNumberFormat="1" applyFont="1" applyBorder="1" applyAlignment="1">
      <alignment horizontal="center" vertical="center" wrapText="1"/>
    </xf>
    <xf numFmtId="0" fontId="16" fillId="0" borderId="15" xfId="0" applyFont="1" applyBorder="1" applyAlignment="1">
      <alignment horizontal="center" vertical="center" wrapText="1"/>
    </xf>
    <xf numFmtId="4" fontId="16" fillId="0" borderId="15" xfId="0" applyNumberFormat="1" applyFont="1" applyBorder="1" applyAlignment="1">
      <alignment horizontal="center" vertical="center"/>
    </xf>
    <xf numFmtId="4" fontId="16" fillId="0" borderId="21" xfId="0" applyNumberFormat="1" applyFont="1" applyBorder="1" applyAlignment="1">
      <alignment horizontal="center" vertical="center"/>
    </xf>
    <xf numFmtId="0" fontId="16" fillId="0" borderId="0" xfId="0" applyFont="1" applyAlignment="1">
      <alignment horizontal="center" vertical="center"/>
    </xf>
    <xf numFmtId="0" fontId="10" fillId="0" borderId="0" xfId="0" applyFont="1"/>
    <xf numFmtId="0" fontId="16" fillId="0" borderId="0" xfId="0" applyFont="1" applyAlignment="1">
      <alignment horizontal="center" vertical="center" wrapText="1"/>
    </xf>
    <xf numFmtId="0" fontId="10" fillId="0" borderId="0" xfId="0" applyFont="1" applyAlignment="1">
      <alignment horizontal="center" vertical="center"/>
    </xf>
    <xf numFmtId="0" fontId="149" fillId="0" borderId="0" xfId="39" applyFont="1" applyAlignment="1">
      <alignment horizontal="center" vertical="center"/>
    </xf>
    <xf numFmtId="0" fontId="10" fillId="0" borderId="0" xfId="0" applyFont="1" applyAlignment="1">
      <alignment horizontal="center"/>
    </xf>
    <xf numFmtId="0" fontId="150" fillId="0" borderId="0" xfId="39" applyFont="1" applyAlignment="1">
      <alignment horizontal="center" vertical="center"/>
    </xf>
    <xf numFmtId="0" fontId="151" fillId="0" borderId="0" xfId="0" applyFont="1"/>
    <xf numFmtId="0" fontId="152" fillId="0" borderId="0" xfId="39" applyFont="1" applyAlignment="1">
      <alignment horizontal="center" vertical="center"/>
    </xf>
    <xf numFmtId="0" fontId="153" fillId="0" borderId="0" xfId="0" applyFont="1"/>
    <xf numFmtId="0" fontId="155" fillId="0" borderId="23" xfId="39" applyFont="1" applyBorder="1" applyAlignment="1">
      <alignment horizontal="center" vertical="top" wrapText="1"/>
    </xf>
    <xf numFmtId="0" fontId="184" fillId="0" borderId="0" xfId="0" applyFont="1" applyAlignment="1">
      <alignment horizontal="left" vertical="center"/>
    </xf>
    <xf numFmtId="0" fontId="101" fillId="0" borderId="0" xfId="0" applyFont="1" applyAlignment="1">
      <alignment horizontal="left" vertical="center" wrapText="1"/>
    </xf>
    <xf numFmtId="0" fontId="155" fillId="0" borderId="0" xfId="0" applyFont="1" applyAlignment="1">
      <alignment horizontal="center"/>
    </xf>
    <xf numFmtId="0" fontId="16" fillId="0" borderId="0" xfId="39" applyFont="1" applyAlignment="1">
      <alignment vertical="center" wrapText="1"/>
    </xf>
    <xf numFmtId="0" fontId="157" fillId="0" borderId="0" xfId="0" applyFont="1" applyAlignment="1">
      <alignment horizontal="center" vertical="center" wrapText="1"/>
    </xf>
    <xf numFmtId="0" fontId="158" fillId="0" borderId="0" xfId="0" applyFont="1" applyAlignment="1">
      <alignment horizontal="center"/>
    </xf>
    <xf numFmtId="0" fontId="159" fillId="0" borderId="0" xfId="0" applyFont="1" applyAlignment="1">
      <alignment horizontal="center"/>
    </xf>
    <xf numFmtId="0" fontId="0" fillId="0" borderId="0" xfId="0" applyAlignment="1">
      <alignment horizontal="center"/>
    </xf>
    <xf numFmtId="0" fontId="160" fillId="0" borderId="0" xfId="0" applyFont="1" applyAlignment="1">
      <alignment horizontal="center" vertical="top"/>
    </xf>
    <xf numFmtId="0" fontId="161" fillId="0" borderId="0" xfId="0" applyFont="1" applyAlignment="1">
      <alignment horizontal="center" vertical="top"/>
    </xf>
    <xf numFmtId="0" fontId="162" fillId="0" borderId="23" xfId="0" applyFont="1" applyBorder="1" applyAlignment="1">
      <alignment horizontal="center" vertical="center" wrapText="1"/>
    </xf>
    <xf numFmtId="0" fontId="0" fillId="0" borderId="23" xfId="0" applyBorder="1" applyAlignment="1">
      <alignment horizontal="center" vertical="center" wrapText="1"/>
    </xf>
    <xf numFmtId="0" fontId="155" fillId="36" borderId="23" xfId="0" applyFont="1" applyFill="1" applyBorder="1" applyAlignment="1">
      <alignment horizontal="left" vertical="center" wrapText="1"/>
    </xf>
    <xf numFmtId="0" fontId="0" fillId="36" borderId="23" xfId="0" applyFill="1" applyBorder="1" applyAlignment="1">
      <alignment wrapText="1"/>
    </xf>
    <xf numFmtId="4" fontId="61" fillId="0" borderId="15" xfId="0" applyNumberFormat="1" applyFont="1" applyBorder="1" applyAlignment="1">
      <alignment horizontal="center" vertical="center" wrapText="1"/>
    </xf>
    <xf numFmtId="4" fontId="58" fillId="0" borderId="15" xfId="0" applyNumberFormat="1" applyFont="1" applyBorder="1" applyAlignment="1">
      <alignment horizontal="center" vertical="center" wrapText="1"/>
    </xf>
    <xf numFmtId="4" fontId="62" fillId="0" borderId="16" xfId="0" applyNumberFormat="1" applyFont="1" applyBorder="1" applyAlignment="1">
      <alignment horizontal="center" vertical="center"/>
    </xf>
    <xf numFmtId="4" fontId="62" fillId="0" borderId="17" xfId="0" applyNumberFormat="1" applyFont="1" applyBorder="1" applyAlignment="1">
      <alignment horizontal="center" vertical="center"/>
    </xf>
    <xf numFmtId="4" fontId="65" fillId="0" borderId="16" xfId="0" applyNumberFormat="1" applyFont="1" applyBorder="1" applyAlignment="1">
      <alignment horizontal="center" vertical="center" wrapText="1"/>
    </xf>
    <xf numFmtId="4" fontId="65" fillId="0" borderId="17" xfId="0" applyNumberFormat="1" applyFont="1" applyBorder="1" applyAlignment="1">
      <alignment horizontal="center" vertical="center" wrapText="1"/>
    </xf>
    <xf numFmtId="49" fontId="61" fillId="0" borderId="16" xfId="0" applyNumberFormat="1" applyFont="1" applyBorder="1" applyAlignment="1">
      <alignment horizontal="center" vertical="center" wrapText="1"/>
    </xf>
    <xf numFmtId="49" fontId="61" fillId="0" borderId="17" xfId="0" applyNumberFormat="1" applyFont="1" applyBorder="1" applyAlignment="1">
      <alignment horizontal="center" vertical="center" wrapText="1"/>
    </xf>
    <xf numFmtId="4" fontId="62" fillId="0" borderId="16" xfId="0" applyNumberFormat="1" applyFont="1" applyBorder="1" applyAlignment="1">
      <alignment horizontal="center" vertical="center" wrapText="1"/>
    </xf>
    <xf numFmtId="4" fontId="62" fillId="0" borderId="17" xfId="0" applyNumberFormat="1" applyFont="1" applyBorder="1" applyAlignment="1">
      <alignment horizontal="center" vertical="center" wrapText="1"/>
    </xf>
    <xf numFmtId="4" fontId="65" fillId="0" borderId="15" xfId="0" applyNumberFormat="1" applyFont="1" applyBorder="1" applyAlignment="1">
      <alignment horizontal="center" vertical="center" wrapText="1"/>
    </xf>
    <xf numFmtId="0" fontId="58" fillId="0" borderId="15" xfId="0" applyFont="1" applyBorder="1" applyAlignment="1">
      <alignment horizontal="center" vertical="center" wrapText="1"/>
    </xf>
    <xf numFmtId="0" fontId="58" fillId="0" borderId="18" xfId="0" applyFont="1" applyBorder="1" applyAlignment="1">
      <alignment horizontal="center" vertical="center" wrapText="1"/>
    </xf>
    <xf numFmtId="0" fontId="58" fillId="0" borderId="17" xfId="0" applyFont="1" applyBorder="1" applyAlignment="1">
      <alignment horizontal="center" vertical="center" wrapText="1"/>
    </xf>
    <xf numFmtId="49" fontId="61" fillId="0" borderId="15" xfId="0" applyNumberFormat="1" applyFont="1" applyBorder="1" applyAlignment="1">
      <alignment horizontal="center" vertical="center" wrapText="1"/>
    </xf>
    <xf numFmtId="0" fontId="68" fillId="0" borderId="15" xfId="0" applyFont="1" applyBorder="1" applyAlignment="1">
      <alignment horizontal="center" vertical="center" wrapText="1"/>
    </xf>
    <xf numFmtId="49" fontId="61" fillId="27" borderId="16" xfId="0" applyNumberFormat="1" applyFont="1" applyFill="1" applyBorder="1" applyAlignment="1">
      <alignment horizontal="center" vertical="center" wrapText="1"/>
    </xf>
    <xf numFmtId="0" fontId="58" fillId="27" borderId="18" xfId="0" applyFont="1" applyFill="1" applyBorder="1" applyAlignment="1">
      <alignment horizontal="center" vertical="center" wrapText="1"/>
    </xf>
    <xf numFmtId="0" fontId="58" fillId="27" borderId="17" xfId="0" applyFont="1" applyFill="1" applyBorder="1" applyAlignment="1">
      <alignment horizontal="center" vertical="center" wrapText="1"/>
    </xf>
    <xf numFmtId="0" fontId="30" fillId="27" borderId="0" xfId="0" applyFont="1" applyFill="1"/>
    <xf numFmtId="0" fontId="30" fillId="0" borderId="0" xfId="0" applyFont="1"/>
    <xf numFmtId="4" fontId="62" fillId="0" borderId="15" xfId="0" applyNumberFormat="1" applyFont="1" applyBorder="1" applyAlignment="1">
      <alignment horizontal="center" vertical="center"/>
    </xf>
    <xf numFmtId="4" fontId="57" fillId="0" borderId="15" xfId="0" applyNumberFormat="1" applyFont="1" applyBorder="1" applyAlignment="1">
      <alignment horizontal="center" vertical="center" wrapText="1"/>
    </xf>
    <xf numFmtId="4" fontId="61" fillId="27" borderId="15" xfId="0" applyNumberFormat="1" applyFont="1" applyFill="1" applyBorder="1" applyAlignment="1">
      <alignment horizontal="center" vertical="center" wrapText="1"/>
    </xf>
    <xf numFmtId="4" fontId="62" fillId="27" borderId="15" xfId="0" applyNumberFormat="1" applyFont="1" applyFill="1" applyBorder="1" applyAlignment="1">
      <alignment horizontal="center" vertical="center"/>
    </xf>
    <xf numFmtId="0" fontId="30" fillId="0" borderId="0" xfId="39" applyFont="1" applyAlignment="1">
      <alignment vertical="center" wrapText="1"/>
    </xf>
    <xf numFmtId="0" fontId="33" fillId="0" borderId="0" xfId="0" applyFont="1"/>
    <xf numFmtId="0" fontId="50" fillId="0" borderId="0" xfId="0" applyFont="1" applyAlignment="1">
      <alignment horizontal="left" vertical="center"/>
    </xf>
    <xf numFmtId="0" fontId="51" fillId="0" borderId="0" xfId="0" applyFont="1" applyAlignment="1">
      <alignment horizontal="left" vertical="center"/>
    </xf>
    <xf numFmtId="0" fontId="30" fillId="0" borderId="0" xfId="0" applyFont="1" applyAlignment="1">
      <alignment horizontal="left" vertical="center"/>
    </xf>
    <xf numFmtId="0" fontId="30" fillId="0" borderId="0" xfId="0" applyFont="1" applyAlignment="1">
      <alignment horizontal="center" vertical="center"/>
    </xf>
    <xf numFmtId="0" fontId="0" fillId="0" borderId="0" xfId="0" applyAlignment="1">
      <alignment horizontal="center" vertical="center"/>
    </xf>
    <xf numFmtId="0" fontId="0" fillId="0" borderId="0" xfId="0" applyAlignment="1">
      <alignment vertical="center"/>
    </xf>
    <xf numFmtId="0" fontId="30" fillId="0" borderId="0" xfId="0" applyFont="1" applyAlignment="1">
      <alignment vertical="center"/>
    </xf>
    <xf numFmtId="0" fontId="29" fillId="0" borderId="0" xfId="0" applyFont="1" applyAlignment="1">
      <alignment horizontal="center" vertical="center"/>
    </xf>
    <xf numFmtId="0" fontId="163" fillId="0" borderId="0" xfId="0" applyFont="1" applyAlignment="1">
      <alignment horizontal="center"/>
    </xf>
    <xf numFmtId="0" fontId="164" fillId="0" borderId="0" xfId="0" applyFont="1" applyAlignment="1">
      <alignment horizontal="center"/>
    </xf>
    <xf numFmtId="0" fontId="29" fillId="0" borderId="15" xfId="0" applyFont="1" applyBorder="1" applyAlignment="1">
      <alignment horizontal="center" vertical="top"/>
    </xf>
    <xf numFmtId="0" fontId="0" fillId="0" borderId="15" xfId="0" applyBorder="1" applyAlignment="1">
      <alignment horizontal="center" vertical="top"/>
    </xf>
    <xf numFmtId="0" fontId="29" fillId="0" borderId="15" xfId="0" applyFont="1" applyBorder="1" applyAlignment="1">
      <alignment horizontal="center" vertical="top" wrapText="1"/>
    </xf>
    <xf numFmtId="0" fontId="30" fillId="0" borderId="0" xfId="0" applyFont="1" applyAlignment="1">
      <alignment horizontal="center" vertical="top"/>
    </xf>
    <xf numFmtId="0" fontId="33" fillId="0" borderId="0" xfId="0" applyFont="1" applyAlignment="1">
      <alignment horizontal="center" vertical="top"/>
    </xf>
    <xf numFmtId="0" fontId="15" fillId="0" borderId="15" xfId="0" applyFont="1" applyBorder="1" applyAlignment="1">
      <alignment horizontal="center" vertical="top"/>
    </xf>
    <xf numFmtId="4" fontId="65" fillId="27" borderId="16" xfId="0" applyNumberFormat="1" applyFont="1" applyFill="1" applyBorder="1" applyAlignment="1">
      <alignment horizontal="center" vertical="center" wrapText="1"/>
    </xf>
    <xf numFmtId="4" fontId="62" fillId="27" borderId="16" xfId="0" applyNumberFormat="1" applyFont="1" applyFill="1" applyBorder="1" applyAlignment="1">
      <alignment horizontal="center" vertical="center" wrapText="1"/>
    </xf>
    <xf numFmtId="0" fontId="58" fillId="0" borderId="15" xfId="0" applyFont="1" applyBorder="1" applyAlignment="1">
      <alignment horizontal="center" vertical="center"/>
    </xf>
    <xf numFmtId="4" fontId="59" fillId="0" borderId="15" xfId="0" applyNumberFormat="1" applyFont="1" applyBorder="1" applyAlignment="1">
      <alignment horizontal="center" vertical="center" wrapText="1"/>
    </xf>
    <xf numFmtId="4" fontId="57" fillId="27" borderId="15" xfId="0" applyNumberFormat="1" applyFont="1" applyFill="1" applyBorder="1" applyAlignment="1">
      <alignment horizontal="center" vertical="center" wrapText="1"/>
    </xf>
    <xf numFmtId="49" fontId="61" fillId="27" borderId="15" xfId="0" applyNumberFormat="1" applyFont="1" applyFill="1" applyBorder="1" applyAlignment="1">
      <alignment horizontal="center" vertical="center" wrapText="1"/>
    </xf>
    <xf numFmtId="4" fontId="65" fillId="27" borderId="15" xfId="0" applyNumberFormat="1" applyFont="1" applyFill="1" applyBorder="1" applyAlignment="1">
      <alignment horizontal="center" vertical="center" wrapText="1"/>
    </xf>
    <xf numFmtId="4" fontId="31" fillId="27" borderId="0" xfId="0" applyNumberFormat="1" applyFont="1" applyFill="1" applyAlignment="1">
      <alignment horizontal="left" vertical="center" wrapText="1"/>
    </xf>
    <xf numFmtId="0" fontId="0" fillId="27" borderId="0" xfId="0" applyFill="1"/>
    <xf numFmtId="0" fontId="0" fillId="27" borderId="0" xfId="0" applyFill="1" applyAlignment="1">
      <alignment horizontal="left" vertical="center" wrapText="1"/>
    </xf>
    <xf numFmtId="0" fontId="58" fillId="27" borderId="22" xfId="0" applyFont="1" applyFill="1" applyBorder="1"/>
    <xf numFmtId="0" fontId="166" fillId="0" borderId="0" xfId="0" applyFont="1" applyAlignment="1">
      <alignment horizontal="center" vertical="center"/>
    </xf>
    <xf numFmtId="0" fontId="166" fillId="0" borderId="0" xfId="0" applyFont="1" applyAlignment="1">
      <alignment horizontal="center"/>
    </xf>
    <xf numFmtId="0" fontId="151" fillId="0" borderId="0" xfId="0" applyFont="1" applyAlignment="1">
      <alignment horizontal="center"/>
    </xf>
    <xf numFmtId="0" fontId="12" fillId="0" borderId="0" xfId="0" applyFont="1" applyAlignment="1">
      <alignment horizontal="center" vertical="top"/>
    </xf>
    <xf numFmtId="0" fontId="10" fillId="0" borderId="0" xfId="0" applyFont="1" applyAlignment="1">
      <alignment horizontal="center" vertical="top"/>
    </xf>
    <xf numFmtId="0" fontId="73" fillId="0" borderId="0" xfId="35" applyFont="1"/>
    <xf numFmtId="0" fontId="58" fillId="0" borderId="0" xfId="0" applyFont="1"/>
    <xf numFmtId="0" fontId="155" fillId="0" borderId="15" xfId="35" applyFont="1" applyBorder="1" applyAlignment="1">
      <alignment horizontal="center" vertical="top" wrapText="1"/>
    </xf>
    <xf numFmtId="0" fontId="155" fillId="0" borderId="15" xfId="0" applyFont="1" applyBorder="1" applyAlignment="1">
      <alignment horizontal="center" vertical="top" wrapText="1"/>
    </xf>
    <xf numFmtId="0" fontId="155" fillId="0" borderId="15" xfId="0" applyFont="1" applyBorder="1" applyAlignment="1">
      <alignment horizontal="center" vertical="top"/>
    </xf>
    <xf numFmtId="0" fontId="167" fillId="0" borderId="15" xfId="35" applyFont="1" applyBorder="1" applyAlignment="1">
      <alignment horizontal="center" vertical="top" wrapText="1"/>
    </xf>
    <xf numFmtId="0" fontId="157" fillId="0" borderId="0" xfId="35" applyFont="1" applyAlignment="1">
      <alignment horizontal="center" vertical="center" wrapText="1"/>
    </xf>
    <xf numFmtId="0" fontId="10" fillId="0" borderId="0" xfId="0" applyFont="1" applyAlignment="1">
      <alignment horizontal="center" vertical="center" wrapText="1"/>
    </xf>
    <xf numFmtId="0" fontId="135" fillId="0" borderId="0" xfId="0" applyFont="1" applyAlignment="1">
      <alignment horizontal="justify" vertical="center"/>
    </xf>
    <xf numFmtId="0" fontId="0" fillId="0" borderId="0" xfId="0"/>
    <xf numFmtId="0" fontId="64" fillId="0" borderId="0" xfId="39" applyFont="1" applyAlignment="1">
      <alignment horizontal="left" vertical="center" wrapText="1"/>
    </xf>
    <xf numFmtId="0" fontId="15" fillId="0" borderId="15" xfId="0" applyFont="1" applyBorder="1" applyAlignment="1">
      <alignment horizontal="center" vertical="top" wrapText="1"/>
    </xf>
    <xf numFmtId="0" fontId="64" fillId="0" borderId="0" xfId="0" applyFont="1"/>
    <xf numFmtId="0" fontId="135" fillId="0" borderId="0" xfId="35" applyFont="1" applyAlignment="1">
      <alignment horizontal="center" vertical="center" wrapText="1"/>
    </xf>
    <xf numFmtId="0" fontId="176" fillId="0" borderId="0" xfId="0" applyFont="1" applyAlignment="1">
      <alignment horizontal="justify" vertical="center"/>
    </xf>
    <xf numFmtId="0" fontId="204" fillId="0" borderId="0" xfId="0" applyFont="1"/>
    <xf numFmtId="49" fontId="61" fillId="0" borderId="19" xfId="0" applyNumberFormat="1" applyFont="1" applyBorder="1" applyAlignment="1">
      <alignment horizontal="left" vertical="center" wrapText="1"/>
    </xf>
    <xf numFmtId="0" fontId="58" fillId="0" borderId="21" xfId="0" applyFont="1" applyBorder="1" applyAlignment="1">
      <alignment horizontal="left" vertical="center" wrapText="1"/>
    </xf>
    <xf numFmtId="49" fontId="57" fillId="0" borderId="19" xfId="0" applyNumberFormat="1" applyFont="1" applyBorder="1" applyAlignment="1">
      <alignment horizontal="left" vertical="center" wrapText="1"/>
    </xf>
    <xf numFmtId="49" fontId="57" fillId="0" borderId="21" xfId="0" applyNumberFormat="1" applyFont="1" applyBorder="1" applyAlignment="1">
      <alignment horizontal="left" vertical="center" wrapText="1"/>
    </xf>
    <xf numFmtId="49" fontId="29" fillId="0" borderId="19" xfId="0" applyNumberFormat="1" applyFont="1" applyBorder="1" applyAlignment="1">
      <alignment horizontal="left" vertical="center" wrapText="1"/>
    </xf>
    <xf numFmtId="0" fontId="15" fillId="0" borderId="21" xfId="0" applyFont="1" applyBorder="1" applyAlignment="1">
      <alignment horizontal="left" vertical="center" wrapText="1"/>
    </xf>
    <xf numFmtId="49" fontId="30" fillId="0" borderId="19" xfId="0" applyNumberFormat="1" applyFont="1" applyBorder="1" applyAlignment="1">
      <alignment horizontal="left" vertical="center" wrapText="1"/>
    </xf>
    <xf numFmtId="0" fontId="0" fillId="0" borderId="21" xfId="0" applyBorder="1" applyAlignment="1">
      <alignment horizontal="left" vertical="center" wrapText="1"/>
    </xf>
    <xf numFmtId="49" fontId="61" fillId="0" borderId="21" xfId="0" applyNumberFormat="1" applyFont="1" applyBorder="1" applyAlignment="1">
      <alignment horizontal="left" vertical="center" wrapText="1"/>
    </xf>
    <xf numFmtId="49" fontId="61" fillId="0" borderId="25" xfId="0" applyNumberFormat="1" applyFont="1" applyBorder="1" applyAlignment="1">
      <alignment horizontal="left" wrapText="1"/>
    </xf>
    <xf numFmtId="0" fontId="58" fillId="0" borderId="26" xfId="0" applyFont="1" applyBorder="1" applyAlignment="1">
      <alignment horizontal="left" wrapText="1"/>
    </xf>
    <xf numFmtId="49" fontId="61" fillId="0" borderId="0" xfId="0" applyNumberFormat="1" applyFont="1" applyAlignment="1">
      <alignment horizontal="left" vertical="top" wrapText="1"/>
    </xf>
    <xf numFmtId="0" fontId="58" fillId="0" borderId="0" xfId="0" applyFont="1" applyAlignment="1">
      <alignment horizontal="left" vertical="top" wrapText="1"/>
    </xf>
    <xf numFmtId="49" fontId="61" fillId="0" borderId="0" xfId="0" applyNumberFormat="1" applyFont="1" applyAlignment="1">
      <alignment horizontal="left" vertical="center" wrapText="1"/>
    </xf>
    <xf numFmtId="0" fontId="58" fillId="0" borderId="0" xfId="0" applyFont="1" applyAlignment="1">
      <alignment horizontal="left" vertical="center" wrapText="1"/>
    </xf>
    <xf numFmtId="49" fontId="61" fillId="0" borderId="27" xfId="0" applyNumberFormat="1" applyFont="1" applyBorder="1" applyAlignment="1">
      <alignment horizontal="left" vertical="center" wrapText="1"/>
    </xf>
    <xf numFmtId="0" fontId="58" fillId="0" borderId="27" xfId="0" applyFont="1" applyBorder="1" applyAlignment="1">
      <alignment horizontal="left" vertical="center" wrapText="1"/>
    </xf>
    <xf numFmtId="0" fontId="61" fillId="26" borderId="0" xfId="0" applyFont="1" applyFill="1" applyAlignment="1">
      <alignment horizontal="center" vertical="center"/>
    </xf>
    <xf numFmtId="0" fontId="61" fillId="26" borderId="0" xfId="0" applyFont="1" applyFill="1" applyAlignment="1">
      <alignment vertical="center"/>
    </xf>
    <xf numFmtId="4" fontId="61" fillId="0" borderId="16" xfId="0" applyNumberFormat="1" applyFont="1" applyBorder="1" applyAlignment="1">
      <alignment horizontal="center" vertical="center" wrapText="1"/>
    </xf>
    <xf numFmtId="4" fontId="61" fillId="0" borderId="17" xfId="0" applyNumberFormat="1" applyFont="1" applyBorder="1" applyAlignment="1">
      <alignment horizontal="center" vertical="center" wrapText="1"/>
    </xf>
    <xf numFmtId="0" fontId="78" fillId="0" borderId="0" xfId="0" applyFont="1" applyAlignment="1">
      <alignment horizontal="justify" vertical="center"/>
    </xf>
    <xf numFmtId="0" fontId="61" fillId="0" borderId="0" xfId="39" applyFont="1" applyAlignment="1">
      <alignment horizontal="left" wrapText="1"/>
    </xf>
    <xf numFmtId="0" fontId="61" fillId="0" borderId="0" xfId="39" applyFont="1" applyAlignment="1">
      <alignment horizontal="left"/>
    </xf>
    <xf numFmtId="0" fontId="29" fillId="0" borderId="0" xfId="0" applyFont="1" applyAlignment="1">
      <alignment horizontal="left" vertical="center"/>
    </xf>
    <xf numFmtId="0" fontId="0" fillId="0" borderId="0" xfId="0" applyAlignment="1">
      <alignment horizontal="left" vertical="center"/>
    </xf>
    <xf numFmtId="49" fontId="29" fillId="39" borderId="19" xfId="0" applyNumberFormat="1" applyFont="1" applyFill="1" applyBorder="1" applyAlignment="1">
      <alignment horizontal="center" vertical="center" wrapText="1"/>
    </xf>
    <xf numFmtId="0" fontId="15" fillId="39" borderId="20" xfId="0" applyFont="1" applyFill="1" applyBorder="1" applyAlignment="1">
      <alignment horizontal="center" vertical="center" wrapText="1"/>
    </xf>
    <xf numFmtId="0" fontId="15" fillId="39" borderId="21" xfId="0" applyFont="1" applyFill="1" applyBorder="1" applyAlignment="1">
      <alignment horizontal="center" vertical="center" wrapText="1"/>
    </xf>
    <xf numFmtId="0" fontId="29" fillId="0" borderId="19" xfId="0" applyFont="1" applyBorder="1" applyAlignment="1">
      <alignment horizontal="center" vertical="center" wrapText="1"/>
    </xf>
    <xf numFmtId="0" fontId="15" fillId="0" borderId="21" xfId="0" applyFont="1" applyBorder="1" applyAlignment="1">
      <alignment horizontal="center" vertical="center" wrapText="1"/>
    </xf>
    <xf numFmtId="49" fontId="30" fillId="0" borderId="19" xfId="0" applyNumberFormat="1" applyFont="1" applyBorder="1" applyAlignment="1">
      <alignment horizontal="center" vertical="center" wrapText="1"/>
    </xf>
    <xf numFmtId="0" fontId="0" fillId="0" borderId="21" xfId="0" applyBorder="1" applyAlignment="1">
      <alignment horizontal="center" vertical="center" wrapText="1"/>
    </xf>
    <xf numFmtId="49" fontId="61" fillId="26" borderId="19" xfId="0" applyNumberFormat="1" applyFont="1" applyFill="1" applyBorder="1" applyAlignment="1">
      <alignment horizontal="left" vertical="center" wrapText="1"/>
    </xf>
    <xf numFmtId="0" fontId="58" fillId="26" borderId="21" xfId="0" applyFont="1" applyFill="1" applyBorder="1" applyAlignment="1">
      <alignment horizontal="left" vertical="center" wrapText="1"/>
    </xf>
    <xf numFmtId="49" fontId="61" fillId="30" borderId="19" xfId="0" applyNumberFormat="1" applyFont="1" applyFill="1" applyBorder="1" applyAlignment="1">
      <alignment horizontal="left" vertical="center" wrapText="1"/>
    </xf>
    <xf numFmtId="0" fontId="58" fillId="30" borderId="21" xfId="0" applyFont="1" applyFill="1" applyBorder="1" applyAlignment="1">
      <alignment horizontal="left" vertical="center" wrapText="1"/>
    </xf>
    <xf numFmtId="0" fontId="61" fillId="0" borderId="0" xfId="0" applyFont="1"/>
    <xf numFmtId="0" fontId="59" fillId="0" borderId="21" xfId="0" applyFont="1" applyBorder="1" applyAlignment="1">
      <alignment horizontal="left" vertical="center" wrapText="1"/>
    </xf>
    <xf numFmtId="49" fontId="30" fillId="36" borderId="19" xfId="0" applyNumberFormat="1" applyFont="1" applyFill="1" applyBorder="1" applyAlignment="1">
      <alignment horizontal="left" vertical="center" wrapText="1"/>
    </xf>
    <xf numFmtId="49" fontId="30" fillId="36" borderId="21" xfId="0" applyNumberFormat="1" applyFont="1" applyFill="1" applyBorder="1" applyAlignment="1">
      <alignment horizontal="left" vertical="center" wrapText="1"/>
    </xf>
    <xf numFmtId="0" fontId="30" fillId="0" borderId="0" xfId="0" applyFont="1" applyAlignment="1">
      <alignment horizontal="justify" vertical="center"/>
    </xf>
    <xf numFmtId="0" fontId="61" fillId="0" borderId="0" xfId="39" applyFont="1" applyAlignment="1">
      <alignment vertical="top" wrapText="1"/>
    </xf>
    <xf numFmtId="0" fontId="58" fillId="0" borderId="0" xfId="0" applyFont="1" applyAlignment="1">
      <alignment vertical="top" wrapText="1"/>
    </xf>
    <xf numFmtId="0" fontId="148" fillId="27" borderId="22" xfId="35" applyFont="1" applyFill="1" applyBorder="1" applyAlignment="1">
      <alignment horizontal="center" vertical="center"/>
    </xf>
    <xf numFmtId="10" fontId="148" fillId="27" borderId="22" xfId="35" applyNumberFormat="1" applyFont="1" applyFill="1" applyBorder="1" applyAlignment="1">
      <alignment horizontal="center" vertical="center"/>
    </xf>
    <xf numFmtId="0" fontId="139" fillId="0" borderId="0" xfId="0" applyFont="1" applyAlignment="1">
      <alignment horizontal="center" vertical="center"/>
    </xf>
    <xf numFmtId="0" fontId="135" fillId="0" borderId="16" xfId="0" applyFont="1" applyBorder="1" applyAlignment="1">
      <alignment horizontal="center" vertical="center" wrapText="1"/>
    </xf>
    <xf numFmtId="0" fontId="135" fillId="0" borderId="17" xfId="0" applyFont="1" applyBorder="1" applyAlignment="1">
      <alignment horizontal="center" vertical="center" wrapText="1"/>
    </xf>
    <xf numFmtId="0" fontId="135" fillId="0" borderId="16" xfId="35" applyFont="1" applyBorder="1" applyAlignment="1">
      <alignment horizontal="center" vertical="center" wrapText="1"/>
    </xf>
    <xf numFmtId="0" fontId="135" fillId="0" borderId="17" xfId="35" applyFont="1" applyBorder="1" applyAlignment="1">
      <alignment horizontal="center" vertical="center" wrapText="1"/>
    </xf>
    <xf numFmtId="0" fontId="135" fillId="0" borderId="19" xfId="35" applyFont="1" applyBorder="1" applyAlignment="1">
      <alignment horizontal="center" vertical="center" wrapText="1"/>
    </xf>
    <xf numFmtId="0" fontId="135" fillId="0" borderId="20" xfId="35" applyFont="1" applyBorder="1" applyAlignment="1">
      <alignment horizontal="center" vertical="center" wrapText="1"/>
    </xf>
    <xf numFmtId="0" fontId="135" fillId="0" borderId="21" xfId="35" applyFont="1" applyBorder="1" applyAlignment="1">
      <alignment horizontal="center" vertical="center" wrapText="1"/>
    </xf>
    <xf numFmtId="0" fontId="64" fillId="0" borderId="0" xfId="39" applyFont="1" applyAlignment="1">
      <alignment horizontal="left" wrapText="1"/>
    </xf>
    <xf numFmtId="0" fontId="64" fillId="0" borderId="0" xfId="39" applyFont="1" applyAlignment="1">
      <alignment horizontal="left"/>
    </xf>
    <xf numFmtId="0" fontId="138" fillId="0" borderId="0" xfId="0" applyFont="1"/>
    <xf numFmtId="0" fontId="176" fillId="0" borderId="0" xfId="35" applyFont="1" applyAlignment="1">
      <alignment horizontal="left"/>
    </xf>
    <xf numFmtId="0" fontId="143" fillId="0" borderId="27" xfId="0" applyFont="1" applyBorder="1" applyAlignment="1">
      <alignment horizontal="left"/>
    </xf>
    <xf numFmtId="0" fontId="12" fillId="0" borderId="28" xfId="0" applyFont="1" applyBorder="1" applyAlignment="1">
      <alignment horizontal="center" vertical="top"/>
    </xf>
    <xf numFmtId="0" fontId="101" fillId="0" borderId="0" xfId="35" applyFont="1" applyAlignment="1">
      <alignment horizontal="center" vertical="center"/>
    </xf>
    <xf numFmtId="0" fontId="169" fillId="0" borderId="0" xfId="35" applyFont="1" applyAlignment="1">
      <alignment horizontal="center" vertical="center" wrapText="1"/>
    </xf>
    <xf numFmtId="4" fontId="93" fillId="28" borderId="0" xfId="0" applyNumberFormat="1" applyFont="1" applyFill="1" applyAlignment="1">
      <alignment horizontal="center" vertical="center" wrapText="1"/>
    </xf>
    <xf numFmtId="4" fontId="128" fillId="33" borderId="0" xfId="0" applyNumberFormat="1" applyFont="1" applyFill="1" applyAlignment="1">
      <alignment horizontal="left" vertical="top" wrapText="1"/>
    </xf>
    <xf numFmtId="4" fontId="61" fillId="27" borderId="16" xfId="0" applyNumberFormat="1" applyFont="1" applyFill="1" applyBorder="1" applyAlignment="1">
      <alignment horizontal="center" vertical="center" wrapText="1"/>
    </xf>
    <xf numFmtId="0" fontId="61" fillId="27" borderId="17" xfId="0" applyFont="1" applyFill="1" applyBorder="1" applyAlignment="1">
      <alignment horizontal="center" vertical="center" wrapText="1"/>
    </xf>
    <xf numFmtId="4" fontId="61" fillId="0" borderId="16" xfId="38" applyNumberFormat="1" applyFont="1" applyFill="1" applyBorder="1" applyAlignment="1" applyProtection="1">
      <alignment horizontal="center" vertical="center" wrapText="1"/>
      <protection locked="0"/>
    </xf>
    <xf numFmtId="4" fontId="61" fillId="0" borderId="16" xfId="38" applyNumberFormat="1" applyFont="1" applyFill="1" applyBorder="1" applyAlignment="1">
      <alignment horizontal="center" vertical="center" wrapText="1"/>
    </xf>
    <xf numFmtId="0" fontId="30" fillId="0" borderId="0" xfId="0" applyFont="1" applyAlignment="1">
      <alignment horizontal="justify"/>
    </xf>
    <xf numFmtId="0" fontId="30" fillId="0" borderId="0" xfId="39" applyFont="1" applyAlignment="1">
      <alignment horizontal="left" vertical="center" wrapText="1"/>
    </xf>
    <xf numFmtId="0" fontId="30" fillId="0" borderId="0" xfId="39" applyFont="1" applyAlignment="1">
      <alignment horizontal="left" vertical="center"/>
    </xf>
    <xf numFmtId="4" fontId="173" fillId="28" borderId="22" xfId="0" applyNumberFormat="1" applyFont="1" applyFill="1" applyBorder="1" applyAlignment="1">
      <alignment horizontal="center" vertical="center" wrapText="1"/>
    </xf>
    <xf numFmtId="0" fontId="194" fillId="27" borderId="22" xfId="0" applyFont="1" applyFill="1" applyBorder="1"/>
    <xf numFmtId="0" fontId="30" fillId="0" borderId="15" xfId="0" applyFont="1" applyBorder="1" applyAlignment="1">
      <alignment horizontal="center" vertical="top" wrapText="1"/>
    </xf>
    <xf numFmtId="0" fontId="30" fillId="0" borderId="15" xfId="0" applyFont="1" applyBorder="1" applyAlignment="1">
      <alignment horizontal="center" vertical="top"/>
    </xf>
    <xf numFmtId="4" fontId="93" fillId="28" borderId="22" xfId="0" applyNumberFormat="1" applyFont="1" applyFill="1" applyBorder="1" applyAlignment="1">
      <alignment horizontal="center" vertical="center" wrapText="1"/>
    </xf>
    <xf numFmtId="165" fontId="61" fillId="0" borderId="16" xfId="30" applyNumberFormat="1" applyFont="1" applyBorder="1" applyAlignment="1">
      <alignment horizontal="center" vertical="center" wrapText="1"/>
    </xf>
    <xf numFmtId="165" fontId="61" fillId="0" borderId="17" xfId="30" applyNumberFormat="1" applyFont="1" applyBorder="1" applyAlignment="1">
      <alignment horizontal="center" vertical="center" wrapText="1"/>
    </xf>
    <xf numFmtId="0" fontId="68" fillId="0" borderId="17" xfId="0" applyFont="1" applyBorder="1" applyAlignment="1">
      <alignment horizontal="center" vertical="center" wrapText="1"/>
    </xf>
    <xf numFmtId="0" fontId="89" fillId="0" borderId="22" xfId="0" applyFont="1" applyBorder="1"/>
    <xf numFmtId="4" fontId="173" fillId="28" borderId="0" xfId="0" applyNumberFormat="1" applyFont="1" applyFill="1" applyAlignment="1">
      <alignment horizontal="center" vertical="center" wrapText="1"/>
    </xf>
    <xf numFmtId="4" fontId="77" fillId="28" borderId="22" xfId="0" applyNumberFormat="1" applyFont="1" applyFill="1" applyBorder="1" applyAlignment="1">
      <alignment horizontal="center" vertical="center" wrapText="1"/>
    </xf>
    <xf numFmtId="4" fontId="77" fillId="28" borderId="0" xfId="0" applyNumberFormat="1" applyFont="1" applyFill="1" applyAlignment="1">
      <alignment horizontal="center" vertical="center" wrapText="1"/>
    </xf>
    <xf numFmtId="2" fontId="75" fillId="27" borderId="22" xfId="36" applyNumberFormat="1" applyFont="1" applyFill="1" applyBorder="1" applyAlignment="1">
      <alignment horizontal="center" vertical="top"/>
    </xf>
    <xf numFmtId="0" fontId="58" fillId="0" borderId="0" xfId="0" applyFont="1" applyAlignment="1">
      <alignment horizontal="center" vertical="top"/>
    </xf>
    <xf numFmtId="2" fontId="191" fillId="0" borderId="15" xfId="36" applyNumberFormat="1" applyFont="1" applyFill="1" applyBorder="1" applyAlignment="1">
      <alignment horizontal="center" vertical="center" wrapText="1"/>
    </xf>
    <xf numFmtId="0" fontId="10" fillId="0" borderId="15" xfId="0" applyFont="1" applyBorder="1" applyAlignment="1">
      <alignment horizontal="center"/>
    </xf>
    <xf numFmtId="2" fontId="133" fillId="0" borderId="15" xfId="36" applyNumberFormat="1" applyFont="1" applyFill="1" applyBorder="1" applyAlignment="1">
      <alignment horizontal="center" vertical="center" wrapText="1"/>
    </xf>
    <xf numFmtId="0" fontId="58" fillId="0" borderId="15" xfId="0" applyFont="1" applyBorder="1" applyAlignment="1">
      <alignment horizontal="center"/>
    </xf>
    <xf numFmtId="0" fontId="171" fillId="0" borderId="0" xfId="0" applyFont="1" applyAlignment="1">
      <alignment horizontal="center" vertical="center"/>
    </xf>
    <xf numFmtId="0" fontId="171" fillId="0" borderId="0" xfId="36" applyFont="1" applyAlignment="1">
      <alignment horizontal="center" vertical="center"/>
    </xf>
    <xf numFmtId="0" fontId="10" fillId="0" borderId="0" xfId="0" applyFont="1" applyAlignment="1">
      <alignment vertical="center"/>
    </xf>
    <xf numFmtId="0" fontId="75" fillId="0" borderId="0" xfId="36" applyFont="1">
      <alignment vertical="top"/>
    </xf>
    <xf numFmtId="0" fontId="101" fillId="0" borderId="0" xfId="36" applyFont="1" applyAlignment="1">
      <alignment horizontal="center" vertical="center" wrapText="1"/>
    </xf>
    <xf numFmtId="0" fontId="124" fillId="0" borderId="0" xfId="36" applyFont="1" applyAlignment="1">
      <alignment horizontal="left" vertical="top" wrapText="1"/>
    </xf>
    <xf numFmtId="2" fontId="63" fillId="0" borderId="15" xfId="36" applyNumberFormat="1" applyFont="1" applyFill="1" applyBorder="1" applyAlignment="1">
      <alignment horizontal="center" vertical="center" wrapText="1"/>
    </xf>
    <xf numFmtId="2" fontId="171" fillId="0" borderId="15" xfId="36" applyNumberFormat="1" applyFont="1" applyFill="1" applyBorder="1" applyAlignment="1">
      <alignment horizontal="center" vertical="center" wrapText="1"/>
    </xf>
    <xf numFmtId="43" fontId="171" fillId="37" borderId="15" xfId="36" applyNumberFormat="1" applyFont="1" applyFill="1" applyBorder="1" applyAlignment="1">
      <alignment horizontal="left" vertical="center" wrapText="1"/>
    </xf>
    <xf numFmtId="43" fontId="0" fillId="37" borderId="15" xfId="0" applyNumberFormat="1" applyFill="1" applyBorder="1" applyAlignment="1">
      <alignment horizontal="left"/>
    </xf>
    <xf numFmtId="2" fontId="191" fillId="0" borderId="0" xfId="36" applyNumberFormat="1" applyFont="1" applyFill="1" applyBorder="1" applyAlignment="1">
      <alignment horizontal="center" vertical="center" wrapText="1"/>
    </xf>
    <xf numFmtId="0" fontId="153" fillId="0" borderId="0" xfId="0" applyFont="1" applyAlignment="1">
      <alignment horizontal="center" vertical="center"/>
    </xf>
    <xf numFmtId="2" fontId="171" fillId="36" borderId="15" xfId="36" applyNumberFormat="1" applyFont="1" applyFill="1" applyBorder="1" applyAlignment="1">
      <alignment horizontal="center" vertical="center"/>
    </xf>
    <xf numFmtId="0" fontId="0" fillId="36" borderId="15" xfId="0" applyFill="1" applyBorder="1" applyAlignment="1">
      <alignment horizontal="center"/>
    </xf>
    <xf numFmtId="0" fontId="10" fillId="36" borderId="15" xfId="0" applyFont="1" applyFill="1" applyBorder="1" applyAlignment="1">
      <alignment horizontal="center"/>
    </xf>
    <xf numFmtId="0" fontId="16" fillId="0" borderId="0" xfId="0" applyFont="1" applyAlignment="1">
      <alignment horizontal="left" vertical="center"/>
    </xf>
    <xf numFmtId="0" fontId="153" fillId="0" borderId="0" xfId="0" applyFont="1" applyAlignment="1">
      <alignment horizontal="left" vertical="center"/>
    </xf>
    <xf numFmtId="0" fontId="171" fillId="0" borderId="0" xfId="36" applyFont="1" applyAlignment="1">
      <alignment horizontal="center"/>
    </xf>
    <xf numFmtId="0" fontId="171" fillId="0" borderId="0" xfId="0" applyFont="1" applyAlignment="1">
      <alignment horizontal="center"/>
    </xf>
    <xf numFmtId="0" fontId="171" fillId="0" borderId="0" xfId="36" applyFont="1" applyAlignment="1">
      <alignment horizontal="center" vertical="top"/>
    </xf>
    <xf numFmtId="0" fontId="10" fillId="0" borderId="0" xfId="0" applyFont="1" applyAlignment="1">
      <alignment vertical="top"/>
    </xf>
    <xf numFmtId="0" fontId="0" fillId="0" borderId="0" xfId="0" applyAlignment="1">
      <alignment horizontal="center" vertical="top"/>
    </xf>
    <xf numFmtId="0" fontId="16" fillId="0" borderId="0" xfId="0" applyFont="1" applyAlignment="1">
      <alignment horizontal="right" vertical="center"/>
    </xf>
    <xf numFmtId="0" fontId="12" fillId="0" borderId="0" xfId="0" applyFont="1" applyAlignment="1">
      <alignment horizontal="left" vertical="center"/>
    </xf>
    <xf numFmtId="0" fontId="152" fillId="0" borderId="0" xfId="0" applyFont="1" applyAlignment="1">
      <alignment horizontal="center"/>
    </xf>
    <xf numFmtId="0" fontId="135" fillId="0" borderId="0" xfId="39" applyFont="1" applyAlignment="1">
      <alignment horizontal="left" vertical="center" wrapText="1"/>
    </xf>
    <xf numFmtId="0" fontId="155" fillId="0" borderId="0" xfId="0" applyFont="1" applyAlignment="1">
      <alignment horizontal="center" wrapText="1"/>
    </xf>
  </cellXfs>
  <cellStyles count="188">
    <cellStyle name="20% - Акцент1" xfId="44"/>
    <cellStyle name="20% - Акцент2" xfId="45"/>
    <cellStyle name="20% - Акцент3" xfId="46"/>
    <cellStyle name="20% - Акцент4" xfId="47"/>
    <cellStyle name="20% - Акцент5" xfId="48"/>
    <cellStyle name="20% - Акцент6" xfId="49"/>
    <cellStyle name="40% - Акцент1" xfId="50"/>
    <cellStyle name="40% - Акцент2" xfId="51"/>
    <cellStyle name="40% - Акцент3" xfId="52"/>
    <cellStyle name="40% - Акцент4" xfId="53"/>
    <cellStyle name="40% - Акцент5" xfId="54"/>
    <cellStyle name="40% - Акцент6" xfId="55"/>
    <cellStyle name="60% - Акцент1" xfId="56"/>
    <cellStyle name="60% - Акцент2" xfId="57"/>
    <cellStyle name="60% - Акцент3" xfId="58"/>
    <cellStyle name="60% - Акцент4" xfId="59"/>
    <cellStyle name="60% - Акцент5" xfId="60"/>
    <cellStyle name="60% - Акцент6" xfId="61"/>
    <cellStyle name="Excel Built-in Normal" xfId="99"/>
    <cellStyle name="Excel Built-in Normal 2" xfId="115"/>
    <cellStyle name="Excel Built-in Обычный_УКБ до бюджету 2016р ост" xfId="82"/>
    <cellStyle name="Normal_meresha_07" xfId="1"/>
    <cellStyle name="TableStyleLight1" xfId="128"/>
    <cellStyle name="TableStyleLight1 2" xfId="170"/>
    <cellStyle name="Акцент1" xfId="62"/>
    <cellStyle name="Акцент2" xfId="63"/>
    <cellStyle name="Акцент3" xfId="64"/>
    <cellStyle name="Акцент4" xfId="65"/>
    <cellStyle name="Акцент5" xfId="66"/>
    <cellStyle name="Акцент6" xfId="67"/>
    <cellStyle name="Ввід" xfId="2"/>
    <cellStyle name="Ввід 2" xfId="177"/>
    <cellStyle name="Ввід 3" xfId="100"/>
    <cellStyle name="Ввод " xfId="68"/>
    <cellStyle name="Вывод" xfId="69"/>
    <cellStyle name="Вычисление" xfId="70"/>
    <cellStyle name="Гіперпосилання 2" xfId="71"/>
    <cellStyle name="Добре" xfId="3"/>
    <cellStyle name="Заголовок 1" xfId="4" builtinId="16" customBuiltin="1"/>
    <cellStyle name="Заголовок 1 2" xfId="101"/>
    <cellStyle name="Заголовок 2" xfId="5" builtinId="17" customBuiltin="1"/>
    <cellStyle name="Заголовок 2 2" xfId="102"/>
    <cellStyle name="Заголовок 3" xfId="6" builtinId="18" customBuiltin="1"/>
    <cellStyle name="Заголовок 3 2" xfId="103"/>
    <cellStyle name="Заголовок 4" xfId="7" builtinId="19" customBuiltin="1"/>
    <cellStyle name="Заголовок 4 2" xfId="104"/>
    <cellStyle name="Звичайний" xfId="0" builtinId="0"/>
    <cellStyle name="Звичайний 10" xfId="8"/>
    <cellStyle name="Звичайний 11" xfId="9"/>
    <cellStyle name="Звичайний 12" xfId="10"/>
    <cellStyle name="Звичайний 13" xfId="11"/>
    <cellStyle name="Звичайний 14" xfId="12"/>
    <cellStyle name="Звичайний 15" xfId="13"/>
    <cellStyle name="Звичайний 16" xfId="14"/>
    <cellStyle name="Звичайний 17" xfId="15"/>
    <cellStyle name="Звичайний 18" xfId="16"/>
    <cellStyle name="Звичайний 19" xfId="17"/>
    <cellStyle name="Звичайний 2" xfId="18"/>
    <cellStyle name="Звичайний 2 2" xfId="19"/>
    <cellStyle name="Звичайний 2 2 2" xfId="86"/>
    <cellStyle name="Звичайний 2 3" xfId="91"/>
    <cellStyle name="Звичайний 20" xfId="20"/>
    <cellStyle name="Звичайний 21" xfId="84"/>
    <cellStyle name="Звичайний 21 2" xfId="90"/>
    <cellStyle name="Звичайний 21 2 2" xfId="93"/>
    <cellStyle name="Звичайний 21 2 2 2" xfId="178"/>
    <cellStyle name="Звичайний 21 2 3" xfId="95"/>
    <cellStyle name="Звичайний 21 2 3 2" xfId="97"/>
    <cellStyle name="Звичайний 21 2 3 2 2" xfId="179"/>
    <cellStyle name="Звичайний 21 2 3 2 3" xfId="175"/>
    <cellStyle name="Звичайний 21 2 3 2 3 2 2 2" xfId="187"/>
    <cellStyle name="Звичайний 21 2 4" xfId="157"/>
    <cellStyle name="Звичайний 21 3" xfId="110"/>
    <cellStyle name="Звичайний 22" xfId="111"/>
    <cellStyle name="Звичайний 22 2" xfId="137"/>
    <cellStyle name="Звичайний 23" xfId="112"/>
    <cellStyle name="Звичайний 23 2" xfId="138"/>
    <cellStyle name="Звичайний 24" xfId="113"/>
    <cellStyle name="Звичайний 24 2" xfId="139"/>
    <cellStyle name="Звичайний 25" xfId="114"/>
    <cellStyle name="Звичайний 26" xfId="124"/>
    <cellStyle name="Звичайний 27" xfId="129"/>
    <cellStyle name="Звичайний 27 2" xfId="142"/>
    <cellStyle name="Звичайний 27 2 3" xfId="148"/>
    <cellStyle name="Звичайний 27 2 3 2" xfId="149"/>
    <cellStyle name="Звичайний 27 2 3 2 2" xfId="159"/>
    <cellStyle name="Звичайний 27 2 3 2 2 2" xfId="174"/>
    <cellStyle name="Звичайний 27 3" xfId="126"/>
    <cellStyle name="Звичайний 27 3 2" xfId="85"/>
    <cellStyle name="Звичайний 27 3 2 2" xfId="141"/>
    <cellStyle name="Звичайний 27 3 2 3" xfId="153"/>
    <cellStyle name="Звичайний 27 3 2 4" xfId="162"/>
    <cellStyle name="Звичайний 27 3 2 4 2" xfId="167"/>
    <cellStyle name="Звичайний 27 3 2 5" xfId="127"/>
    <cellStyle name="Звичайний 27 3 3" xfId="140"/>
    <cellStyle name="Звичайний 27 3 3 2" xfId="132"/>
    <cellStyle name="Звичайний 27 3 3 2 2" xfId="144"/>
    <cellStyle name="Звичайний 27 3 3 2 3" xfId="152"/>
    <cellStyle name="Звичайний 27 4 2" xfId="161"/>
    <cellStyle name="Звичайний 27 4 2 2" xfId="166"/>
    <cellStyle name="Звичайний 27 4 2 2 2" xfId="172"/>
    <cellStyle name="Звичайний 27 5" xfId="160"/>
    <cellStyle name="Звичайний 27 5 2" xfId="165"/>
    <cellStyle name="Звичайний 27 5 2 2" xfId="171"/>
    <cellStyle name="Звичайний 28" xfId="133"/>
    <cellStyle name="Звичайний 28 2" xfId="145"/>
    <cellStyle name="Звичайний 28 3" xfId="151"/>
    <cellStyle name="Звичайний 29" xfId="136"/>
    <cellStyle name="Звичайний 29 2" xfId="150"/>
    <cellStyle name="Звичайний 29 2 2" xfId="163"/>
    <cellStyle name="Звичайний 29 2 2 2" xfId="173"/>
    <cellStyle name="Звичайний 3" xfId="21"/>
    <cellStyle name="Звичайний 3 2" xfId="22"/>
    <cellStyle name="Звичайний 3 2 2" xfId="87"/>
    <cellStyle name="Звичайний 30" xfId="155"/>
    <cellStyle name="Звичайний 30 2" xfId="92"/>
    <cellStyle name="Звичайний 30 2 2" xfId="94"/>
    <cellStyle name="Звичайний 30 2 3" xfId="96"/>
    <cellStyle name="Звичайний 30 2 3 2" xfId="98"/>
    <cellStyle name="Звичайний 31" xfId="158"/>
    <cellStyle name="Звичайний 31 2" xfId="168"/>
    <cellStyle name="Звичайний 31 2 2" xfId="169"/>
    <cellStyle name="Звичайний 32" xfId="131"/>
    <cellStyle name="Звичайний 32 2" xfId="134"/>
    <cellStyle name="Звичайний 32 2 2" xfId="135"/>
    <cellStyle name="Звичайний 32 2 2 2" xfId="147"/>
    <cellStyle name="Звичайний 32 2 2 3" xfId="154"/>
    <cellStyle name="Звичайний 32 2 2 4" xfId="156"/>
    <cellStyle name="Звичайний 32 2 3" xfId="146"/>
    <cellStyle name="Звичайний 32 3" xfId="143"/>
    <cellStyle name="Звичайний 33" xfId="176"/>
    <cellStyle name="Звичайний 4" xfId="23"/>
    <cellStyle name="Звичайний 4 2" xfId="24"/>
    <cellStyle name="Звичайний 4 2 2" xfId="88"/>
    <cellStyle name="Звичайний 4 3" xfId="164"/>
    <cellStyle name="Звичайний 5" xfId="25"/>
    <cellStyle name="Звичайний 6" xfId="26"/>
    <cellStyle name="Звичайний 7" xfId="27"/>
    <cellStyle name="Звичайний 8" xfId="28"/>
    <cellStyle name="Звичайний 9" xfId="29"/>
    <cellStyle name="Звичайний_Додаток _ 3 зм_ни 4575" xfId="30"/>
    <cellStyle name="Зв'язана клітинка" xfId="40"/>
    <cellStyle name="Зв'язана клітинка 2" xfId="180"/>
    <cellStyle name="Зв'язана клітинка 3" xfId="105"/>
    <cellStyle name="Итог" xfId="72"/>
    <cellStyle name="Контрольна клітинка" xfId="31"/>
    <cellStyle name="Контрольна клітинка 2" xfId="181"/>
    <cellStyle name="Контрольная ячейка" xfId="73"/>
    <cellStyle name="Назва" xfId="32"/>
    <cellStyle name="Назва 2" xfId="182"/>
    <cellStyle name="Назва 3" xfId="106"/>
    <cellStyle name="Название" xfId="74"/>
    <cellStyle name="Нейтральный" xfId="75"/>
    <cellStyle name="Обычный 2" xfId="33"/>
    <cellStyle name="Обычный 2 2" xfId="34"/>
    <cellStyle name="Обычный 2 2 2" xfId="89"/>
    <cellStyle name="Обычный 2 2 2 2" xfId="117"/>
    <cellStyle name="Обычный 2 2 3" xfId="125"/>
    <cellStyle name="Обычный 2 3" xfId="107"/>
    <cellStyle name="Обычный 2 3 2" xfId="184"/>
    <cellStyle name="Обычный 2 4" xfId="116"/>
    <cellStyle name="Обычный 2 5" xfId="183"/>
    <cellStyle name="Обычный 3" xfId="35"/>
    <cellStyle name="Обычный 3 2" xfId="118"/>
    <cellStyle name="Обычный 3 3" xfId="185"/>
    <cellStyle name="Обычный 3 4" xfId="108"/>
    <cellStyle name="Обычный 4" xfId="109"/>
    <cellStyle name="Обычный 4 2" xfId="119"/>
    <cellStyle name="Обычный 4 3" xfId="83"/>
    <cellStyle name="Обычный 5" xfId="120"/>
    <cellStyle name="Обычный 6" xfId="121"/>
    <cellStyle name="Обычный 7" xfId="122"/>
    <cellStyle name="Обычный 8" xfId="123"/>
    <cellStyle name="Обычный_Plan_kapbud_2006 уточн." xfId="36"/>
    <cellStyle name="Обычный_дод.1" xfId="37"/>
    <cellStyle name="Обычный_Додаток 2 до бюджету 2000 року" xfId="38"/>
    <cellStyle name="Обычный_Додаток №1" xfId="39"/>
    <cellStyle name="Плохой" xfId="76"/>
    <cellStyle name="Пояснение" xfId="77"/>
    <cellStyle name="Примечание" xfId="78"/>
    <cellStyle name="Связанная ячейка" xfId="79"/>
    <cellStyle name="Середній" xfId="41"/>
    <cellStyle name="Стиль 1" xfId="42"/>
    <cellStyle name="Текст попередження" xfId="43"/>
    <cellStyle name="Текст попередження 2" xfId="186"/>
    <cellStyle name="Текст предупреждения" xfId="80"/>
    <cellStyle name="Фінансовий 2" xfId="130"/>
    <cellStyle name="Хороший" xfId="81"/>
  </cellStyles>
  <dxfs count="0"/>
  <tableStyles count="0" defaultTableStyle="TableStyleMedium2" defaultPivotStyle="PivotStyleLight16"/>
  <colors>
    <mruColors>
      <color rgb="FF00FFCC"/>
      <color rgb="FFCCFF66"/>
      <color rgb="FFCCCCFF"/>
      <color rgb="FFFFAFAF"/>
      <color rgb="FFFFCC00"/>
      <color rgb="FFFFFF99"/>
      <color rgb="FFCCFF99"/>
      <color rgb="FFCCECFF"/>
      <color rgb="FFCCFFCC"/>
      <color rgb="FFFFAB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68"/>
  <sheetViews>
    <sheetView view="pageBreakPreview" zoomScaleNormal="100" zoomScaleSheetLayoutView="100" workbookViewId="0">
      <selection activeCell="A4" sqref="A4:E4"/>
    </sheetView>
  </sheetViews>
  <sheetFormatPr defaultColWidth="6.85546875" defaultRowHeight="12.75" x14ac:dyDescent="0.2"/>
  <cols>
    <col min="1" max="1" width="10.140625" style="95" customWidth="1"/>
    <col min="2" max="2" width="40.42578125" style="95" customWidth="1"/>
    <col min="3" max="4" width="17.28515625" style="95" customWidth="1"/>
    <col min="5" max="5" width="15.7109375" style="95" customWidth="1"/>
    <col min="6" max="6" width="14.5703125" style="95" customWidth="1"/>
    <col min="7" max="7" width="18.28515625" style="95" bestFit="1" customWidth="1"/>
    <col min="8" max="10" width="10.85546875" style="95" bestFit="1" customWidth="1"/>
    <col min="11" max="252" width="7.85546875" style="95" customWidth="1"/>
    <col min="253" max="16384" width="6.85546875" style="95"/>
  </cols>
  <sheetData>
    <row r="1" spans="1:7" ht="15.75" x14ac:dyDescent="0.2">
      <c r="A1" s="311"/>
      <c r="B1" s="311"/>
      <c r="C1" s="311"/>
      <c r="D1" s="702" t="s">
        <v>56</v>
      </c>
      <c r="E1" s="703"/>
      <c r="F1" s="703"/>
      <c r="G1" s="703"/>
    </row>
    <row r="2" spans="1:7" ht="30" customHeight="1" x14ac:dyDescent="0.2">
      <c r="A2" s="311"/>
      <c r="B2" s="311"/>
      <c r="C2" s="390"/>
      <c r="D2" s="704" t="s">
        <v>1737</v>
      </c>
      <c r="E2" s="705"/>
      <c r="F2" s="705"/>
      <c r="G2" s="705"/>
    </row>
    <row r="3" spans="1:7" ht="6" hidden="1" customHeight="1" x14ac:dyDescent="0.2">
      <c r="A3" s="311"/>
      <c r="B3" s="311"/>
      <c r="C3" s="390"/>
      <c r="D3" s="702"/>
      <c r="E3" s="705"/>
      <c r="F3" s="705"/>
      <c r="G3" s="705"/>
    </row>
    <row r="4" spans="1:7" ht="12.75" customHeight="1" x14ac:dyDescent="0.2">
      <c r="A4" s="706"/>
      <c r="B4" s="706"/>
      <c r="C4" s="706"/>
      <c r="D4" s="706"/>
      <c r="E4" s="706"/>
      <c r="F4" s="311"/>
      <c r="G4" s="311"/>
    </row>
    <row r="5" spans="1:7" ht="20.25" x14ac:dyDescent="0.2">
      <c r="A5" s="706" t="s">
        <v>1029</v>
      </c>
      <c r="B5" s="707"/>
      <c r="C5" s="707"/>
      <c r="D5" s="707"/>
      <c r="E5" s="707"/>
      <c r="F5" s="707"/>
      <c r="G5" s="311"/>
    </row>
    <row r="6" spans="1:7" ht="20.25" x14ac:dyDescent="0.2">
      <c r="A6" s="706" t="s">
        <v>1510</v>
      </c>
      <c r="B6" s="707"/>
      <c r="C6" s="707"/>
      <c r="D6" s="707"/>
      <c r="E6" s="707"/>
      <c r="F6" s="707"/>
      <c r="G6" s="311"/>
    </row>
    <row r="7" spans="1:7" ht="20.25" x14ac:dyDescent="0.2">
      <c r="A7" s="392"/>
      <c r="B7" s="393"/>
      <c r="C7" s="393"/>
      <c r="D7" s="393"/>
      <c r="E7" s="393"/>
      <c r="F7" s="393"/>
      <c r="G7" s="311"/>
    </row>
    <row r="8" spans="1:7" ht="20.25" x14ac:dyDescent="0.2">
      <c r="A8" s="708">
        <v>2256400000</v>
      </c>
      <c r="B8" s="709"/>
      <c r="C8" s="709"/>
      <c r="D8" s="709"/>
      <c r="E8" s="709"/>
      <c r="F8" s="709"/>
      <c r="G8" s="311"/>
    </row>
    <row r="9" spans="1:7" ht="15.75" x14ac:dyDescent="0.2">
      <c r="A9" s="710" t="s">
        <v>478</v>
      </c>
      <c r="B9" s="711"/>
      <c r="C9" s="711"/>
      <c r="D9" s="711"/>
      <c r="E9" s="711"/>
      <c r="F9" s="711"/>
      <c r="G9" s="311"/>
    </row>
    <row r="10" spans="1:7" ht="20.25" x14ac:dyDescent="0.2">
      <c r="A10" s="392"/>
      <c r="B10" s="389"/>
      <c r="C10" s="389"/>
      <c r="D10" s="389"/>
      <c r="E10" s="389"/>
      <c r="F10" s="389"/>
      <c r="G10" s="311"/>
    </row>
    <row r="11" spans="1:7" ht="13.5" thickBot="1" x14ac:dyDescent="0.25">
      <c r="A11" s="311"/>
      <c r="B11" s="394"/>
      <c r="C11" s="394"/>
      <c r="D11" s="394"/>
      <c r="E11" s="394"/>
      <c r="F11" s="395" t="s">
        <v>397</v>
      </c>
      <c r="G11" s="311"/>
    </row>
    <row r="12" spans="1:7" ht="14.25" thickTop="1" thickBot="1" x14ac:dyDescent="0.25">
      <c r="A12" s="712" t="s">
        <v>57</v>
      </c>
      <c r="B12" s="712" t="s">
        <v>1511</v>
      </c>
      <c r="C12" s="712" t="s">
        <v>376</v>
      </c>
      <c r="D12" s="712" t="s">
        <v>12</v>
      </c>
      <c r="E12" s="712" t="s">
        <v>52</v>
      </c>
      <c r="F12" s="712"/>
      <c r="G12" s="365"/>
    </row>
    <row r="13" spans="1:7" ht="39.75" thickTop="1" thickBot="1" x14ac:dyDescent="0.3">
      <c r="A13" s="712"/>
      <c r="B13" s="712"/>
      <c r="C13" s="712"/>
      <c r="D13" s="712"/>
      <c r="E13" s="396" t="s">
        <v>377</v>
      </c>
      <c r="F13" s="396" t="s">
        <v>418</v>
      </c>
      <c r="G13" s="96"/>
    </row>
    <row r="14" spans="1:7" ht="16.5" thickTop="1" thickBot="1" x14ac:dyDescent="0.3">
      <c r="A14" s="396">
        <v>1</v>
      </c>
      <c r="B14" s="396">
        <v>2</v>
      </c>
      <c r="C14" s="396">
        <v>3</v>
      </c>
      <c r="D14" s="396">
        <v>4</v>
      </c>
      <c r="E14" s="396">
        <v>5</v>
      </c>
      <c r="F14" s="396">
        <v>6</v>
      </c>
      <c r="G14" s="96"/>
    </row>
    <row r="15" spans="1:7" ht="25.5" customHeight="1" thickTop="1" thickBot="1" x14ac:dyDescent="0.25">
      <c r="A15" s="651">
        <v>10000000</v>
      </c>
      <c r="B15" s="651" t="s">
        <v>58</v>
      </c>
      <c r="C15" s="652">
        <f t="shared" ref="C15:C20" si="0">SUM(D15,E15)</f>
        <v>4238588465</v>
      </c>
      <c r="D15" s="652">
        <f>SUM(D16,D32,D40,D61,D26)</f>
        <v>4236088465</v>
      </c>
      <c r="E15" s="652">
        <f>SUM(E16,E32,E40,E61,E26)</f>
        <v>2500000</v>
      </c>
      <c r="F15" s="652">
        <f>SUM(F16,F32,F40,F61,F26)</f>
        <v>0</v>
      </c>
      <c r="G15" s="97"/>
    </row>
    <row r="16" spans="1:7" ht="31.7" customHeight="1" thickTop="1" thickBot="1" x14ac:dyDescent="0.25">
      <c r="A16" s="396">
        <v>11000000</v>
      </c>
      <c r="B16" s="396" t="s">
        <v>59</v>
      </c>
      <c r="C16" s="640">
        <f>SUM(D16,E16)</f>
        <v>2517567480</v>
      </c>
      <c r="D16" s="640">
        <f>SUM(D17,D24)</f>
        <v>2517567480</v>
      </c>
      <c r="E16" s="259"/>
      <c r="F16" s="259"/>
      <c r="G16" s="98"/>
    </row>
    <row r="17" spans="1:7" ht="24.75" customHeight="1" thickTop="1" thickBot="1" x14ac:dyDescent="0.25">
      <c r="A17" s="642">
        <v>11010000</v>
      </c>
      <c r="B17" s="643" t="s">
        <v>60</v>
      </c>
      <c r="C17" s="644">
        <f t="shared" si="0"/>
        <v>2516367480</v>
      </c>
      <c r="D17" s="644">
        <f>SUM(D18:D23)</f>
        <v>2516367480</v>
      </c>
      <c r="E17" s="260"/>
      <c r="F17" s="260"/>
      <c r="G17" s="98"/>
    </row>
    <row r="18" spans="1:7" ht="39.75" thickTop="1" thickBot="1" x14ac:dyDescent="0.25">
      <c r="A18" s="638">
        <v>11010100</v>
      </c>
      <c r="B18" s="639" t="s">
        <v>61</v>
      </c>
      <c r="C18" s="640">
        <f>SUM(D18,E18)</f>
        <v>2319722100</v>
      </c>
      <c r="D18" s="641">
        <v>2319722100</v>
      </c>
      <c r="E18" s="263"/>
      <c r="F18" s="263"/>
      <c r="G18" s="98"/>
    </row>
    <row r="19" spans="1:7" ht="65.25" hidden="1" thickTop="1" thickBot="1" x14ac:dyDescent="0.25">
      <c r="A19" s="261">
        <v>11010200</v>
      </c>
      <c r="B19" s="262" t="s">
        <v>62</v>
      </c>
      <c r="C19" s="259">
        <f t="shared" si="0"/>
        <v>0</v>
      </c>
      <c r="D19" s="263">
        <v>0</v>
      </c>
      <c r="E19" s="263"/>
      <c r="F19" s="263"/>
      <c r="G19" s="98"/>
    </row>
    <row r="20" spans="1:7" ht="39.75" thickTop="1" thickBot="1" x14ac:dyDescent="0.25">
      <c r="A20" s="638">
        <v>11010400</v>
      </c>
      <c r="B20" s="639" t="s">
        <v>63</v>
      </c>
      <c r="C20" s="640">
        <f t="shared" si="0"/>
        <v>90545680</v>
      </c>
      <c r="D20" s="641">
        <v>90545680</v>
      </c>
      <c r="E20" s="263"/>
      <c r="F20" s="263"/>
      <c r="G20" s="98"/>
    </row>
    <row r="21" spans="1:7" ht="39.75" thickTop="1" thickBot="1" x14ac:dyDescent="0.3">
      <c r="A21" s="638">
        <v>11010500</v>
      </c>
      <c r="B21" s="639" t="s">
        <v>64</v>
      </c>
      <c r="C21" s="640">
        <f t="shared" ref="C21:C108" si="1">SUM(D21,E21)</f>
        <v>100794200</v>
      </c>
      <c r="D21" s="641">
        <v>100794200</v>
      </c>
      <c r="E21" s="263"/>
      <c r="F21" s="263"/>
      <c r="G21" s="96"/>
    </row>
    <row r="22" spans="1:7" ht="27" thickTop="1" thickBot="1" x14ac:dyDescent="0.3">
      <c r="A22" s="638">
        <v>11011200</v>
      </c>
      <c r="B22" s="639" t="s">
        <v>1303</v>
      </c>
      <c r="C22" s="640">
        <f t="shared" si="1"/>
        <v>5120500</v>
      </c>
      <c r="D22" s="641">
        <v>5120500</v>
      </c>
      <c r="E22" s="263"/>
      <c r="F22" s="263"/>
      <c r="G22" s="96"/>
    </row>
    <row r="23" spans="1:7" ht="39.75" thickTop="1" thickBot="1" x14ac:dyDescent="0.3">
      <c r="A23" s="638">
        <v>11011300</v>
      </c>
      <c r="B23" s="639" t="s">
        <v>1304</v>
      </c>
      <c r="C23" s="640">
        <f t="shared" si="1"/>
        <v>185000</v>
      </c>
      <c r="D23" s="641">
        <v>185000</v>
      </c>
      <c r="E23" s="263"/>
      <c r="F23" s="263"/>
      <c r="G23" s="96"/>
    </row>
    <row r="24" spans="1:7" ht="28.5" customHeight="1" thickTop="1" thickBot="1" x14ac:dyDescent="0.25">
      <c r="A24" s="642">
        <v>11020000</v>
      </c>
      <c r="B24" s="643" t="s">
        <v>65</v>
      </c>
      <c r="C24" s="644">
        <f>SUM(D24,E24)</f>
        <v>1200000</v>
      </c>
      <c r="D24" s="644">
        <f>D25</f>
        <v>1200000</v>
      </c>
      <c r="E24" s="260"/>
      <c r="F24" s="260"/>
      <c r="G24" s="97"/>
    </row>
    <row r="25" spans="1:7" ht="27" thickTop="1" thickBot="1" x14ac:dyDescent="0.3">
      <c r="A25" s="638">
        <v>11020200</v>
      </c>
      <c r="B25" s="645" t="s">
        <v>66</v>
      </c>
      <c r="C25" s="640">
        <f>SUM(D25,E25)</f>
        <v>1200000</v>
      </c>
      <c r="D25" s="641">
        <v>1200000</v>
      </c>
      <c r="E25" s="263"/>
      <c r="F25" s="263"/>
      <c r="G25" s="96"/>
    </row>
    <row r="26" spans="1:7" ht="27" thickTop="1" thickBot="1" x14ac:dyDescent="0.3">
      <c r="A26" s="396">
        <v>13000000</v>
      </c>
      <c r="B26" s="646" t="s">
        <v>509</v>
      </c>
      <c r="C26" s="640">
        <f>D26+E26</f>
        <v>685000</v>
      </c>
      <c r="D26" s="640">
        <f>SUM(D27,D30)</f>
        <v>685000</v>
      </c>
      <c r="E26" s="263"/>
      <c r="F26" s="263"/>
      <c r="G26" s="96"/>
    </row>
    <row r="27" spans="1:7" ht="28.5" thickTop="1" thickBot="1" x14ac:dyDescent="0.3">
      <c r="A27" s="642">
        <v>13010000</v>
      </c>
      <c r="B27" s="647" t="s">
        <v>510</v>
      </c>
      <c r="C27" s="644">
        <f>D27+E27</f>
        <v>630000</v>
      </c>
      <c r="D27" s="644">
        <f>SUM(D28:D29)</f>
        <v>630000</v>
      </c>
      <c r="E27" s="260"/>
      <c r="F27" s="260"/>
      <c r="G27" s="96"/>
    </row>
    <row r="28" spans="1:7" ht="52.5" thickTop="1" thickBot="1" x14ac:dyDescent="0.3">
      <c r="A28" s="638">
        <v>13010100</v>
      </c>
      <c r="B28" s="648" t="s">
        <v>1305</v>
      </c>
      <c r="C28" s="640">
        <f t="shared" ref="C28:C32" si="2">D28+E28</f>
        <v>330000</v>
      </c>
      <c r="D28" s="641">
        <v>330000</v>
      </c>
      <c r="E28" s="263"/>
      <c r="F28" s="263"/>
      <c r="G28" s="96"/>
    </row>
    <row r="29" spans="1:7" ht="65.25" thickTop="1" thickBot="1" x14ac:dyDescent="0.3">
      <c r="A29" s="638">
        <v>13010200</v>
      </c>
      <c r="B29" s="648" t="s">
        <v>511</v>
      </c>
      <c r="C29" s="640">
        <f t="shared" si="2"/>
        <v>300000</v>
      </c>
      <c r="D29" s="641">
        <v>300000</v>
      </c>
      <c r="E29" s="263"/>
      <c r="F29" s="263"/>
      <c r="G29" s="96"/>
    </row>
    <row r="30" spans="1:7" ht="16.5" thickTop="1" thickBot="1" x14ac:dyDescent="0.3">
      <c r="A30" s="642">
        <v>13030000</v>
      </c>
      <c r="B30" s="649" t="s">
        <v>512</v>
      </c>
      <c r="C30" s="644">
        <f>D30+E30</f>
        <v>55000</v>
      </c>
      <c r="D30" s="644">
        <f>SUM(D31)</f>
        <v>55000</v>
      </c>
      <c r="E30" s="260"/>
      <c r="F30" s="260"/>
      <c r="G30" s="96"/>
    </row>
    <row r="31" spans="1:7" ht="39.75" thickTop="1" thickBot="1" x14ac:dyDescent="0.3">
      <c r="A31" s="638">
        <v>13030100</v>
      </c>
      <c r="B31" s="648" t="s">
        <v>513</v>
      </c>
      <c r="C31" s="640">
        <f t="shared" si="2"/>
        <v>55000</v>
      </c>
      <c r="D31" s="641">
        <v>55000</v>
      </c>
      <c r="E31" s="263"/>
      <c r="F31" s="263"/>
      <c r="G31" s="96"/>
    </row>
    <row r="32" spans="1:7" ht="26.45" customHeight="1" thickTop="1" thickBot="1" x14ac:dyDescent="0.3">
      <c r="A32" s="396">
        <v>14000000</v>
      </c>
      <c r="B32" s="646" t="s">
        <v>514</v>
      </c>
      <c r="C32" s="640">
        <f t="shared" si="2"/>
        <v>463545000</v>
      </c>
      <c r="D32" s="640">
        <f>SUM(D33,D35,D37)</f>
        <v>463545000</v>
      </c>
      <c r="E32" s="259"/>
      <c r="F32" s="263"/>
      <c r="G32" s="96"/>
    </row>
    <row r="33" spans="1:7" ht="30" customHeight="1" thickTop="1" thickBot="1" x14ac:dyDescent="0.3">
      <c r="A33" s="642">
        <v>14020000</v>
      </c>
      <c r="B33" s="647" t="s">
        <v>600</v>
      </c>
      <c r="C33" s="644">
        <f>SUM(D33,E33)</f>
        <v>18500850</v>
      </c>
      <c r="D33" s="644">
        <f>SUM(D34,E34)</f>
        <v>18500850</v>
      </c>
      <c r="E33" s="260"/>
      <c r="F33" s="265"/>
      <c r="G33" s="96"/>
    </row>
    <row r="34" spans="1:7" ht="16.5" thickTop="1" thickBot="1" x14ac:dyDescent="0.3">
      <c r="A34" s="638">
        <v>14021900</v>
      </c>
      <c r="B34" s="645" t="s">
        <v>599</v>
      </c>
      <c r="C34" s="641">
        <f>SUM(D34,E34)</f>
        <v>18500850</v>
      </c>
      <c r="D34" s="641">
        <v>18500850</v>
      </c>
      <c r="E34" s="259"/>
      <c r="F34" s="263"/>
      <c r="G34" s="96"/>
    </row>
    <row r="35" spans="1:7" ht="42" thickTop="1" thickBot="1" x14ac:dyDescent="0.3">
      <c r="A35" s="642">
        <v>14030000</v>
      </c>
      <c r="B35" s="647" t="s">
        <v>601</v>
      </c>
      <c r="C35" s="644">
        <f>SUM(D35,E35)</f>
        <v>176579150</v>
      </c>
      <c r="D35" s="644">
        <f>SUM(D36,E36)</f>
        <v>176579150</v>
      </c>
      <c r="E35" s="260"/>
      <c r="F35" s="265"/>
      <c r="G35" s="96"/>
    </row>
    <row r="36" spans="1:7" ht="16.5" thickTop="1" thickBot="1" x14ac:dyDescent="0.3">
      <c r="A36" s="638">
        <v>14031900</v>
      </c>
      <c r="B36" s="645" t="s">
        <v>599</v>
      </c>
      <c r="C36" s="641">
        <f>SUM(D36,E36)</f>
        <v>176579150</v>
      </c>
      <c r="D36" s="641">
        <v>176579150</v>
      </c>
      <c r="E36" s="259"/>
      <c r="F36" s="263"/>
      <c r="G36" s="96"/>
    </row>
    <row r="37" spans="1:7" ht="42" thickTop="1" thickBot="1" x14ac:dyDescent="0.3">
      <c r="A37" s="642">
        <v>14040000</v>
      </c>
      <c r="B37" s="647" t="s">
        <v>1095</v>
      </c>
      <c r="C37" s="644">
        <f>SUM(C38:C39)</f>
        <v>268465000</v>
      </c>
      <c r="D37" s="644">
        <f>SUM(D38:D39)</f>
        <v>268465000</v>
      </c>
      <c r="E37" s="260"/>
      <c r="F37" s="265"/>
      <c r="G37" s="96"/>
    </row>
    <row r="38" spans="1:7" ht="103.5" thickTop="1" thickBot="1" x14ac:dyDescent="0.25">
      <c r="A38" s="638">
        <v>14040100</v>
      </c>
      <c r="B38" s="645" t="s">
        <v>1113</v>
      </c>
      <c r="C38" s="641">
        <f>SUM(D38,E38)</f>
        <v>162884700</v>
      </c>
      <c r="D38" s="641">
        <v>162884700</v>
      </c>
      <c r="E38" s="259"/>
      <c r="F38" s="263"/>
      <c r="G38" s="99"/>
    </row>
    <row r="39" spans="1:7" ht="65.25" thickTop="1" thickBot="1" x14ac:dyDescent="0.25">
      <c r="A39" s="638">
        <v>14040200</v>
      </c>
      <c r="B39" s="645" t="s">
        <v>1094</v>
      </c>
      <c r="C39" s="641">
        <f>SUM(D39,E39)</f>
        <v>105580300</v>
      </c>
      <c r="D39" s="641">
        <v>105580300</v>
      </c>
      <c r="E39" s="259"/>
      <c r="F39" s="263"/>
      <c r="G39" s="99"/>
    </row>
    <row r="40" spans="1:7" ht="29.25" customHeight="1" thickTop="1" thickBot="1" x14ac:dyDescent="0.3">
      <c r="A40" s="396">
        <v>18000000</v>
      </c>
      <c r="B40" s="396" t="s">
        <v>67</v>
      </c>
      <c r="C40" s="640">
        <f t="shared" si="1"/>
        <v>1254290985</v>
      </c>
      <c r="D40" s="640">
        <f>SUM(D41,D54,D57,D52)</f>
        <v>1254290985</v>
      </c>
      <c r="E40" s="259"/>
      <c r="F40" s="259"/>
      <c r="G40" s="96"/>
    </row>
    <row r="41" spans="1:7" ht="16.5" thickTop="1" thickBot="1" x14ac:dyDescent="0.3">
      <c r="A41" s="642">
        <v>18010000</v>
      </c>
      <c r="B41" s="647" t="s">
        <v>68</v>
      </c>
      <c r="C41" s="644">
        <f>SUM(D41,E41)</f>
        <v>391440800</v>
      </c>
      <c r="D41" s="644">
        <f>SUM(D42:D51)</f>
        <v>391440800</v>
      </c>
      <c r="E41" s="260"/>
      <c r="F41" s="260"/>
      <c r="G41" s="96"/>
    </row>
    <row r="42" spans="1:7" ht="52.5" thickTop="1" thickBot="1" x14ac:dyDescent="0.3">
      <c r="A42" s="638">
        <v>18010100</v>
      </c>
      <c r="B42" s="645" t="s">
        <v>69</v>
      </c>
      <c r="C42" s="640">
        <f t="shared" si="1"/>
        <v>700000</v>
      </c>
      <c r="D42" s="641">
        <v>700000</v>
      </c>
      <c r="E42" s="263"/>
      <c r="F42" s="263"/>
      <c r="G42" s="96"/>
    </row>
    <row r="43" spans="1:7" ht="52.5" thickTop="1" thickBot="1" x14ac:dyDescent="0.3">
      <c r="A43" s="638">
        <v>18010200</v>
      </c>
      <c r="B43" s="645" t="s">
        <v>70</v>
      </c>
      <c r="C43" s="640">
        <f t="shared" si="1"/>
        <v>38570345</v>
      </c>
      <c r="D43" s="641">
        <v>38570345</v>
      </c>
      <c r="E43" s="263"/>
      <c r="F43" s="263"/>
      <c r="G43" s="96"/>
    </row>
    <row r="44" spans="1:7" ht="52.5" thickTop="1" thickBot="1" x14ac:dyDescent="0.3">
      <c r="A44" s="638">
        <v>18010300</v>
      </c>
      <c r="B44" s="645" t="s">
        <v>71</v>
      </c>
      <c r="C44" s="640">
        <f t="shared" si="1"/>
        <v>29950090</v>
      </c>
      <c r="D44" s="641">
        <v>29950090</v>
      </c>
      <c r="E44" s="263"/>
      <c r="F44" s="263"/>
      <c r="G44" s="96"/>
    </row>
    <row r="45" spans="1:7" ht="52.5" thickTop="1" thickBot="1" x14ac:dyDescent="0.3">
      <c r="A45" s="638">
        <v>18010400</v>
      </c>
      <c r="B45" s="645" t="s">
        <v>72</v>
      </c>
      <c r="C45" s="640">
        <f t="shared" si="1"/>
        <v>51764565</v>
      </c>
      <c r="D45" s="641">
        <v>51764565</v>
      </c>
      <c r="E45" s="263"/>
      <c r="F45" s="263"/>
      <c r="G45" s="96"/>
    </row>
    <row r="46" spans="1:7" ht="16.5" thickTop="1" thickBot="1" x14ac:dyDescent="0.3">
      <c r="A46" s="638">
        <v>18010500</v>
      </c>
      <c r="B46" s="645" t="s">
        <v>73</v>
      </c>
      <c r="C46" s="640">
        <f t="shared" si="1"/>
        <v>46120300</v>
      </c>
      <c r="D46" s="641">
        <v>46120300</v>
      </c>
      <c r="E46" s="263"/>
      <c r="F46" s="263"/>
      <c r="G46" s="96"/>
    </row>
    <row r="47" spans="1:7" ht="16.5" thickTop="1" thickBot="1" x14ac:dyDescent="0.3">
      <c r="A47" s="638">
        <v>18010600</v>
      </c>
      <c r="B47" s="645" t="s">
        <v>74</v>
      </c>
      <c r="C47" s="640">
        <f t="shared" si="1"/>
        <v>168578780</v>
      </c>
      <c r="D47" s="641">
        <v>168578780</v>
      </c>
      <c r="E47" s="263"/>
      <c r="F47" s="263"/>
      <c r="G47" s="96"/>
    </row>
    <row r="48" spans="1:7" ht="16.5" thickTop="1" thickBot="1" x14ac:dyDescent="0.3">
      <c r="A48" s="638">
        <v>18010700</v>
      </c>
      <c r="B48" s="645" t="s">
        <v>75</v>
      </c>
      <c r="C48" s="640">
        <f t="shared" si="1"/>
        <v>4500800</v>
      </c>
      <c r="D48" s="641">
        <v>4500800</v>
      </c>
      <c r="E48" s="263"/>
      <c r="F48" s="263"/>
      <c r="G48" s="96"/>
    </row>
    <row r="49" spans="1:7" ht="16.5" thickTop="1" thickBot="1" x14ac:dyDescent="0.3">
      <c r="A49" s="638">
        <v>18010900</v>
      </c>
      <c r="B49" s="645" t="s">
        <v>76</v>
      </c>
      <c r="C49" s="640">
        <f t="shared" si="1"/>
        <v>49650120</v>
      </c>
      <c r="D49" s="641">
        <v>49650120</v>
      </c>
      <c r="E49" s="263"/>
      <c r="F49" s="263"/>
      <c r="G49" s="96"/>
    </row>
    <row r="50" spans="1:7" ht="15.75" thickTop="1" thickBot="1" x14ac:dyDescent="0.25">
      <c r="A50" s="638">
        <v>18011000</v>
      </c>
      <c r="B50" s="645" t="s">
        <v>77</v>
      </c>
      <c r="C50" s="640">
        <f t="shared" si="1"/>
        <v>1000000</v>
      </c>
      <c r="D50" s="641">
        <v>1000000</v>
      </c>
      <c r="E50" s="263"/>
      <c r="F50" s="263"/>
      <c r="G50" s="97"/>
    </row>
    <row r="51" spans="1:7" ht="16.5" thickTop="1" thickBot="1" x14ac:dyDescent="0.3">
      <c r="A51" s="638">
        <v>18011100</v>
      </c>
      <c r="B51" s="645" t="s">
        <v>78</v>
      </c>
      <c r="C51" s="640">
        <f t="shared" si="1"/>
        <v>605800</v>
      </c>
      <c r="D51" s="641">
        <v>605800</v>
      </c>
      <c r="E51" s="263"/>
      <c r="F51" s="263"/>
      <c r="G51" s="96"/>
    </row>
    <row r="52" spans="1:7" ht="28.5" thickTop="1" thickBot="1" x14ac:dyDescent="0.3">
      <c r="A52" s="642">
        <v>18020000</v>
      </c>
      <c r="B52" s="647" t="s">
        <v>1051</v>
      </c>
      <c r="C52" s="644">
        <f t="shared" si="1"/>
        <v>1615000</v>
      </c>
      <c r="D52" s="644">
        <f>SUM(D53,E53)</f>
        <v>1615000</v>
      </c>
      <c r="E52" s="260"/>
      <c r="F52" s="260"/>
      <c r="G52" s="96"/>
    </row>
    <row r="53" spans="1:7" ht="27" thickTop="1" thickBot="1" x14ac:dyDescent="0.3">
      <c r="A53" s="638">
        <v>180201000</v>
      </c>
      <c r="B53" s="645" t="s">
        <v>1052</v>
      </c>
      <c r="C53" s="640">
        <f t="shared" si="1"/>
        <v>1615000</v>
      </c>
      <c r="D53" s="641">
        <v>1615000</v>
      </c>
      <c r="E53" s="263"/>
      <c r="F53" s="263"/>
      <c r="G53" s="96"/>
    </row>
    <row r="54" spans="1:7" ht="16.5" thickTop="1" thickBot="1" x14ac:dyDescent="0.3">
      <c r="A54" s="642">
        <v>18030000</v>
      </c>
      <c r="B54" s="647" t="s">
        <v>79</v>
      </c>
      <c r="C54" s="644">
        <f>SUM(D54,E54)</f>
        <v>2515000</v>
      </c>
      <c r="D54" s="644">
        <f>SUM(D55:D56)</f>
        <v>2515000</v>
      </c>
      <c r="E54" s="260"/>
      <c r="F54" s="260"/>
      <c r="G54" s="96"/>
    </row>
    <row r="55" spans="1:7" ht="27" thickTop="1" thickBot="1" x14ac:dyDescent="0.3">
      <c r="A55" s="638">
        <v>18030100</v>
      </c>
      <c r="B55" s="645" t="s">
        <v>80</v>
      </c>
      <c r="C55" s="640">
        <f>SUM(D55,E55)</f>
        <v>1300000</v>
      </c>
      <c r="D55" s="641">
        <v>1300000</v>
      </c>
      <c r="E55" s="263"/>
      <c r="F55" s="263"/>
      <c r="G55" s="96"/>
    </row>
    <row r="56" spans="1:7" ht="27" thickTop="1" thickBot="1" x14ac:dyDescent="0.3">
      <c r="A56" s="638">
        <v>18030200</v>
      </c>
      <c r="B56" s="645" t="s">
        <v>81</v>
      </c>
      <c r="C56" s="640">
        <f>SUM(D56,E56)</f>
        <v>1215000</v>
      </c>
      <c r="D56" s="641">
        <v>1215000</v>
      </c>
      <c r="E56" s="263"/>
      <c r="F56" s="263"/>
      <c r="G56" s="96"/>
    </row>
    <row r="57" spans="1:7" ht="16.5" thickTop="1" thickBot="1" x14ac:dyDescent="0.3">
      <c r="A57" s="642">
        <v>18050000</v>
      </c>
      <c r="B57" s="647" t="s">
        <v>82</v>
      </c>
      <c r="C57" s="644">
        <f>SUM(D57,E57)</f>
        <v>858720185</v>
      </c>
      <c r="D57" s="644">
        <f>SUM(D58:D60)</f>
        <v>858720185</v>
      </c>
      <c r="E57" s="265"/>
      <c r="F57" s="265"/>
      <c r="G57" s="96"/>
    </row>
    <row r="58" spans="1:7" ht="16.5" thickTop="1" thickBot="1" x14ac:dyDescent="0.3">
      <c r="A58" s="638">
        <v>18050300</v>
      </c>
      <c r="B58" s="639" t="s">
        <v>969</v>
      </c>
      <c r="C58" s="640">
        <f t="shared" si="1"/>
        <v>145650185</v>
      </c>
      <c r="D58" s="641">
        <v>145650185</v>
      </c>
      <c r="E58" s="263"/>
      <c r="F58" s="263"/>
      <c r="G58" s="96"/>
    </row>
    <row r="59" spans="1:7" ht="15.75" thickTop="1" thickBot="1" x14ac:dyDescent="0.25">
      <c r="A59" s="638">
        <v>18050400</v>
      </c>
      <c r="B59" s="645" t="s">
        <v>83</v>
      </c>
      <c r="C59" s="640">
        <f t="shared" si="1"/>
        <v>707570000</v>
      </c>
      <c r="D59" s="641">
        <v>707570000</v>
      </c>
      <c r="E59" s="263"/>
      <c r="F59" s="263"/>
      <c r="G59" s="97"/>
    </row>
    <row r="60" spans="1:7" ht="65.25" thickTop="1" thickBot="1" x14ac:dyDescent="0.25">
      <c r="A60" s="638">
        <v>18050500</v>
      </c>
      <c r="B60" s="645" t="s">
        <v>522</v>
      </c>
      <c r="C60" s="640">
        <f t="shared" si="1"/>
        <v>5500000</v>
      </c>
      <c r="D60" s="641">
        <v>5500000</v>
      </c>
      <c r="E60" s="263"/>
      <c r="F60" s="263"/>
      <c r="G60" s="97"/>
    </row>
    <row r="61" spans="1:7" ht="31.7" customHeight="1" thickTop="1" thickBot="1" x14ac:dyDescent="0.25">
      <c r="A61" s="396">
        <v>19000000</v>
      </c>
      <c r="B61" s="650" t="s">
        <v>515</v>
      </c>
      <c r="C61" s="640">
        <f t="shared" si="1"/>
        <v>2500000</v>
      </c>
      <c r="D61" s="640"/>
      <c r="E61" s="640">
        <f>SUM(E63:E65)</f>
        <v>2500000</v>
      </c>
      <c r="F61" s="263"/>
      <c r="G61" s="97"/>
    </row>
    <row r="62" spans="1:7" ht="16.5" thickTop="1" thickBot="1" x14ac:dyDescent="0.3">
      <c r="A62" s="642">
        <v>1901000</v>
      </c>
      <c r="B62" s="643" t="s">
        <v>84</v>
      </c>
      <c r="C62" s="644">
        <f t="shared" ref="C62:C66" si="3">SUM(D62,E62)</f>
        <v>2500000</v>
      </c>
      <c r="D62" s="644">
        <f>SUM(D63:D65)</f>
        <v>0</v>
      </c>
      <c r="E62" s="644">
        <f>SUM(E63:E65)</f>
        <v>2500000</v>
      </c>
      <c r="F62" s="260"/>
      <c r="G62" s="96"/>
    </row>
    <row r="63" spans="1:7" ht="52.5" thickTop="1" thickBot="1" x14ac:dyDescent="0.3">
      <c r="A63" s="638">
        <v>19010100</v>
      </c>
      <c r="B63" s="639" t="s">
        <v>516</v>
      </c>
      <c r="C63" s="640">
        <f t="shared" si="3"/>
        <v>300000</v>
      </c>
      <c r="D63" s="641"/>
      <c r="E63" s="641">
        <v>300000</v>
      </c>
      <c r="F63" s="263"/>
      <c r="G63" s="96"/>
    </row>
    <row r="64" spans="1:7" ht="27" thickTop="1" thickBot="1" x14ac:dyDescent="0.25">
      <c r="A64" s="638">
        <v>19010200</v>
      </c>
      <c r="B64" s="639" t="s">
        <v>1140</v>
      </c>
      <c r="C64" s="640">
        <f t="shared" si="3"/>
        <v>900000</v>
      </c>
      <c r="D64" s="641"/>
      <c r="E64" s="641">
        <v>900000</v>
      </c>
      <c r="F64" s="263"/>
      <c r="G64" s="99"/>
    </row>
    <row r="65" spans="1:7" ht="52.5" thickTop="1" thickBot="1" x14ac:dyDescent="0.3">
      <c r="A65" s="638">
        <v>19010300</v>
      </c>
      <c r="B65" s="639" t="s">
        <v>1141</v>
      </c>
      <c r="C65" s="640">
        <f t="shared" si="3"/>
        <v>1300000</v>
      </c>
      <c r="D65" s="641"/>
      <c r="E65" s="641">
        <v>1300000</v>
      </c>
      <c r="F65" s="263"/>
      <c r="G65" s="96"/>
    </row>
    <row r="66" spans="1:7" ht="30" customHeight="1" thickTop="1" thickBot="1" x14ac:dyDescent="0.3">
      <c r="A66" s="651">
        <v>20000000</v>
      </c>
      <c r="B66" s="651" t="s">
        <v>85</v>
      </c>
      <c r="C66" s="652">
        <f t="shared" si="3"/>
        <v>405050803</v>
      </c>
      <c r="D66" s="652">
        <f>SUM(D67,D77,D90,D95)+D89</f>
        <v>118673361</v>
      </c>
      <c r="E66" s="652">
        <f>SUM(E67,E77,E90,E95)+E89</f>
        <v>286377442</v>
      </c>
      <c r="F66" s="652">
        <f>SUM(F67,F77,F90,F95)+F89</f>
        <v>1182024</v>
      </c>
      <c r="G66" s="96"/>
    </row>
    <row r="67" spans="1:7" ht="27" thickTop="1" thickBot="1" x14ac:dyDescent="0.3">
      <c r="A67" s="396">
        <v>21000000</v>
      </c>
      <c r="B67" s="396" t="s">
        <v>517</v>
      </c>
      <c r="C67" s="640">
        <f>SUM(D67,E67)</f>
        <v>38565000</v>
      </c>
      <c r="D67" s="640">
        <f>SUM(D68,D71,D70)</f>
        <v>38565000</v>
      </c>
      <c r="E67" s="259"/>
      <c r="F67" s="259"/>
      <c r="G67" s="96"/>
    </row>
    <row r="68" spans="1:7" ht="55.5" thickTop="1" thickBot="1" x14ac:dyDescent="0.3">
      <c r="A68" s="642">
        <v>21010000</v>
      </c>
      <c r="B68" s="647" t="s">
        <v>518</v>
      </c>
      <c r="C68" s="644">
        <f t="shared" si="1"/>
        <v>1520000</v>
      </c>
      <c r="D68" s="644">
        <f>D69</f>
        <v>1520000</v>
      </c>
      <c r="E68" s="260"/>
      <c r="F68" s="260"/>
      <c r="G68" s="96"/>
    </row>
    <row r="69" spans="1:7" ht="52.5" thickTop="1" thickBot="1" x14ac:dyDescent="0.3">
      <c r="A69" s="638">
        <v>21010300</v>
      </c>
      <c r="B69" s="645" t="s">
        <v>1221</v>
      </c>
      <c r="C69" s="640">
        <f t="shared" si="1"/>
        <v>1520000</v>
      </c>
      <c r="D69" s="641">
        <v>1520000</v>
      </c>
      <c r="E69" s="263"/>
      <c r="F69" s="263"/>
      <c r="G69" s="96"/>
    </row>
    <row r="70" spans="1:7" ht="28.5" hidden="1" thickTop="1" thickBot="1" x14ac:dyDescent="0.3">
      <c r="A70" s="335">
        <v>21050000</v>
      </c>
      <c r="B70" s="336" t="s">
        <v>86</v>
      </c>
      <c r="C70" s="260">
        <f t="shared" si="1"/>
        <v>0</v>
      </c>
      <c r="D70" s="260">
        <v>0</v>
      </c>
      <c r="E70" s="260"/>
      <c r="F70" s="260"/>
      <c r="G70" s="96"/>
    </row>
    <row r="71" spans="1:7" ht="15" thickTop="1" thickBot="1" x14ac:dyDescent="0.25">
      <c r="A71" s="642">
        <v>21080000</v>
      </c>
      <c r="B71" s="647" t="s">
        <v>970</v>
      </c>
      <c r="C71" s="644">
        <f>SUM(D71,E71)</f>
        <v>37045000</v>
      </c>
      <c r="D71" s="644">
        <f>SUM(D72:D76)</f>
        <v>37045000</v>
      </c>
      <c r="E71" s="260"/>
      <c r="F71" s="260"/>
      <c r="G71" s="99"/>
    </row>
    <row r="72" spans="1:7" ht="16.5" thickTop="1" thickBot="1" x14ac:dyDescent="0.3">
      <c r="A72" s="638">
        <v>21081100</v>
      </c>
      <c r="B72" s="653" t="s">
        <v>87</v>
      </c>
      <c r="C72" s="640">
        <f t="shared" ref="C72:C78" si="4">SUM(D72,E72)</f>
        <v>15500000</v>
      </c>
      <c r="D72" s="641">
        <v>15500000</v>
      </c>
      <c r="E72" s="263"/>
      <c r="F72" s="263"/>
      <c r="G72" s="96"/>
    </row>
    <row r="73" spans="1:7" ht="90.75" thickTop="1" thickBot="1" x14ac:dyDescent="0.3">
      <c r="A73" s="638">
        <v>21081500</v>
      </c>
      <c r="B73" s="639" t="s">
        <v>1414</v>
      </c>
      <c r="C73" s="640">
        <f t="shared" si="4"/>
        <v>1100000</v>
      </c>
      <c r="D73" s="641">
        <v>1100000</v>
      </c>
      <c r="E73" s="263"/>
      <c r="F73" s="263"/>
      <c r="G73" s="96"/>
    </row>
    <row r="74" spans="1:7" ht="16.5" thickTop="1" thickBot="1" x14ac:dyDescent="0.3">
      <c r="A74" s="638">
        <v>21081700</v>
      </c>
      <c r="B74" s="639" t="s">
        <v>367</v>
      </c>
      <c r="C74" s="640">
        <f t="shared" si="4"/>
        <v>19600000</v>
      </c>
      <c r="D74" s="641">
        <v>19600000</v>
      </c>
      <c r="E74" s="263"/>
      <c r="F74" s="263"/>
      <c r="G74" s="100"/>
    </row>
    <row r="75" spans="1:7" ht="52.5" thickTop="1" thickBot="1" x14ac:dyDescent="0.3">
      <c r="A75" s="638">
        <v>21081800</v>
      </c>
      <c r="B75" s="639" t="s">
        <v>1306</v>
      </c>
      <c r="C75" s="640">
        <f t="shared" si="4"/>
        <v>775000</v>
      </c>
      <c r="D75" s="641">
        <v>775000</v>
      </c>
      <c r="E75" s="263"/>
      <c r="F75" s="263"/>
      <c r="G75" s="100"/>
    </row>
    <row r="76" spans="1:7" ht="78" thickTop="1" thickBot="1" x14ac:dyDescent="0.3">
      <c r="A76" s="638">
        <v>21082400</v>
      </c>
      <c r="B76" s="639" t="s">
        <v>1307</v>
      </c>
      <c r="C76" s="640">
        <f t="shared" si="4"/>
        <v>70000</v>
      </c>
      <c r="D76" s="641">
        <v>70000</v>
      </c>
      <c r="E76" s="263"/>
      <c r="F76" s="263"/>
      <c r="G76" s="100"/>
    </row>
    <row r="77" spans="1:7" ht="27" thickTop="1" thickBot="1" x14ac:dyDescent="0.3">
      <c r="A77" s="396">
        <v>22000000</v>
      </c>
      <c r="B77" s="396" t="s">
        <v>88</v>
      </c>
      <c r="C77" s="640">
        <f t="shared" si="4"/>
        <v>68503671</v>
      </c>
      <c r="D77" s="640">
        <f>SUM(D78,D84,D86,D82)</f>
        <v>68503671</v>
      </c>
      <c r="E77" s="263"/>
      <c r="F77" s="263"/>
      <c r="G77" s="96"/>
    </row>
    <row r="78" spans="1:7" ht="24.75" customHeight="1" thickTop="1" thickBot="1" x14ac:dyDescent="0.3">
      <c r="A78" s="642">
        <v>22010000</v>
      </c>
      <c r="B78" s="643" t="s">
        <v>519</v>
      </c>
      <c r="C78" s="644">
        <f t="shared" si="4"/>
        <v>43250071</v>
      </c>
      <c r="D78" s="644">
        <f>SUM(D79:D81)</f>
        <v>43250071</v>
      </c>
      <c r="E78" s="260"/>
      <c r="F78" s="260"/>
      <c r="G78" s="96"/>
    </row>
    <row r="79" spans="1:7" ht="52.5" thickTop="1" thickBot="1" x14ac:dyDescent="0.3">
      <c r="A79" s="638">
        <v>22010300</v>
      </c>
      <c r="B79" s="639" t="s">
        <v>1415</v>
      </c>
      <c r="C79" s="640">
        <f t="shared" si="1"/>
        <v>1265100</v>
      </c>
      <c r="D79" s="641">
        <v>1265100</v>
      </c>
      <c r="E79" s="263"/>
      <c r="F79" s="263"/>
      <c r="G79" s="96"/>
    </row>
    <row r="80" spans="1:7" ht="16.5" thickTop="1" thickBot="1" x14ac:dyDescent="0.3">
      <c r="A80" s="638">
        <v>22012500</v>
      </c>
      <c r="B80" s="639" t="s">
        <v>90</v>
      </c>
      <c r="C80" s="640">
        <f t="shared" si="1"/>
        <v>38634750</v>
      </c>
      <c r="D80" s="641">
        <v>38634750</v>
      </c>
      <c r="E80" s="263"/>
      <c r="F80" s="263"/>
      <c r="G80" s="96"/>
    </row>
    <row r="81" spans="1:7" ht="27" thickTop="1" thickBot="1" x14ac:dyDescent="0.3">
      <c r="A81" s="638">
        <v>22012600</v>
      </c>
      <c r="B81" s="639" t="s">
        <v>89</v>
      </c>
      <c r="C81" s="640">
        <f>SUM(D81,E81)</f>
        <v>3350221</v>
      </c>
      <c r="D81" s="641">
        <v>3350221</v>
      </c>
      <c r="E81" s="263"/>
      <c r="F81" s="263"/>
      <c r="G81" s="96"/>
    </row>
    <row r="82" spans="1:7" ht="42" thickTop="1" thickBot="1" x14ac:dyDescent="0.3">
      <c r="A82" s="642">
        <v>22020000</v>
      </c>
      <c r="B82" s="643" t="s">
        <v>1354</v>
      </c>
      <c r="C82" s="644">
        <f t="shared" ref="C82" si="5">SUM(D82,E82)</f>
        <v>1005000</v>
      </c>
      <c r="D82" s="644">
        <f>SUM(D83)</f>
        <v>1005000</v>
      </c>
      <c r="E82" s="260"/>
      <c r="F82" s="260"/>
      <c r="G82" s="96"/>
    </row>
    <row r="83" spans="1:7" ht="39.75" thickTop="1" thickBot="1" x14ac:dyDescent="0.3">
      <c r="A83" s="638">
        <v>22020400</v>
      </c>
      <c r="B83" s="639" t="s">
        <v>1355</v>
      </c>
      <c r="C83" s="640">
        <f>SUM(D83,E83)</f>
        <v>1005000</v>
      </c>
      <c r="D83" s="641">
        <v>1005000</v>
      </c>
      <c r="E83" s="263"/>
      <c r="F83" s="263"/>
      <c r="G83" s="96"/>
    </row>
    <row r="84" spans="1:7" ht="42" thickTop="1" thickBot="1" x14ac:dyDescent="0.3">
      <c r="A84" s="642">
        <v>2208000</v>
      </c>
      <c r="B84" s="643" t="s">
        <v>520</v>
      </c>
      <c r="C84" s="644">
        <f t="shared" si="1"/>
        <v>22848600</v>
      </c>
      <c r="D84" s="644">
        <f>D85</f>
        <v>22848600</v>
      </c>
      <c r="E84" s="260"/>
      <c r="F84" s="260"/>
      <c r="G84" s="96"/>
    </row>
    <row r="85" spans="1:7" ht="52.5" thickTop="1" thickBot="1" x14ac:dyDescent="0.3">
      <c r="A85" s="638">
        <v>22080400</v>
      </c>
      <c r="B85" s="653" t="s">
        <v>91</v>
      </c>
      <c r="C85" s="640">
        <f t="shared" si="1"/>
        <v>22848600</v>
      </c>
      <c r="D85" s="641">
        <v>22848600</v>
      </c>
      <c r="E85" s="263"/>
      <c r="F85" s="263"/>
      <c r="G85" s="96"/>
    </row>
    <row r="86" spans="1:7" ht="16.5" thickTop="1" thickBot="1" x14ac:dyDescent="0.3">
      <c r="A86" s="642">
        <v>22090000</v>
      </c>
      <c r="B86" s="654" t="s">
        <v>92</v>
      </c>
      <c r="C86" s="644">
        <f t="shared" si="1"/>
        <v>1400000</v>
      </c>
      <c r="D86" s="644">
        <f>SUM(D87:D88)</f>
        <v>1400000</v>
      </c>
      <c r="E86" s="260"/>
      <c r="F86" s="260"/>
      <c r="G86" s="96"/>
    </row>
    <row r="87" spans="1:7" ht="52.5" thickTop="1" thickBot="1" x14ac:dyDescent="0.3">
      <c r="A87" s="638">
        <v>22090100</v>
      </c>
      <c r="B87" s="645" t="s">
        <v>93</v>
      </c>
      <c r="C87" s="640">
        <f t="shared" si="1"/>
        <v>1370000</v>
      </c>
      <c r="D87" s="641">
        <v>1370000</v>
      </c>
      <c r="E87" s="263"/>
      <c r="F87" s="263"/>
      <c r="G87" s="96"/>
    </row>
    <row r="88" spans="1:7" ht="39.75" thickTop="1" thickBot="1" x14ac:dyDescent="0.25">
      <c r="A88" s="638">
        <v>22090400</v>
      </c>
      <c r="B88" s="645" t="s">
        <v>94</v>
      </c>
      <c r="C88" s="640">
        <f t="shared" si="1"/>
        <v>30000</v>
      </c>
      <c r="D88" s="641">
        <v>30000</v>
      </c>
      <c r="E88" s="263"/>
      <c r="F88" s="263"/>
      <c r="G88" s="98"/>
    </row>
    <row r="89" spans="1:7" ht="78" thickTop="1" thickBot="1" x14ac:dyDescent="0.25">
      <c r="A89" s="396">
        <v>22130000</v>
      </c>
      <c r="B89" s="655" t="s">
        <v>1308</v>
      </c>
      <c r="C89" s="640">
        <f t="shared" si="1"/>
        <v>104690</v>
      </c>
      <c r="D89" s="640">
        <v>104690</v>
      </c>
      <c r="E89" s="259"/>
      <c r="F89" s="259"/>
      <c r="G89" s="98"/>
    </row>
    <row r="90" spans="1:7" ht="20.25" customHeight="1" thickTop="1" thickBot="1" x14ac:dyDescent="0.3">
      <c r="A90" s="396">
        <v>24000000</v>
      </c>
      <c r="B90" s="655" t="s">
        <v>95</v>
      </c>
      <c r="C90" s="640">
        <f t="shared" si="1"/>
        <v>12682024</v>
      </c>
      <c r="D90" s="640">
        <f>D91+D92+D94+D93</f>
        <v>11500000</v>
      </c>
      <c r="E90" s="640">
        <f>E91+E92+E94+E93</f>
        <v>1182024</v>
      </c>
      <c r="F90" s="640">
        <f>F91+F92+F94+F93</f>
        <v>1182024</v>
      </c>
      <c r="G90" s="96"/>
    </row>
    <row r="91" spans="1:7" ht="16.5" thickTop="1" thickBot="1" x14ac:dyDescent="0.3">
      <c r="A91" s="638">
        <v>24060300</v>
      </c>
      <c r="B91" s="639" t="s">
        <v>96</v>
      </c>
      <c r="C91" s="640">
        <f t="shared" si="1"/>
        <v>10000000</v>
      </c>
      <c r="D91" s="641">
        <v>10000000</v>
      </c>
      <c r="E91" s="263"/>
      <c r="F91" s="263"/>
      <c r="G91" s="96"/>
    </row>
    <row r="92" spans="1:7" ht="65.25" thickTop="1" thickBot="1" x14ac:dyDescent="0.3">
      <c r="A92" s="638">
        <v>24062200</v>
      </c>
      <c r="B92" s="639" t="s">
        <v>368</v>
      </c>
      <c r="C92" s="640">
        <f t="shared" si="1"/>
        <v>1500000</v>
      </c>
      <c r="D92" s="641">
        <v>1500000</v>
      </c>
      <c r="E92" s="263"/>
      <c r="F92" s="263"/>
      <c r="G92" s="96"/>
    </row>
    <row r="93" spans="1:7" ht="39.75" thickTop="1" thickBot="1" x14ac:dyDescent="0.3">
      <c r="A93" s="638">
        <v>24110700</v>
      </c>
      <c r="B93" s="656" t="s">
        <v>568</v>
      </c>
      <c r="C93" s="640">
        <f t="shared" si="1"/>
        <v>24</v>
      </c>
      <c r="D93" s="641"/>
      <c r="E93" s="641">
        <v>24</v>
      </c>
      <c r="F93" s="641">
        <v>24</v>
      </c>
      <c r="G93" s="96"/>
    </row>
    <row r="94" spans="1:7" ht="27" thickTop="1" thickBot="1" x14ac:dyDescent="0.25">
      <c r="A94" s="638">
        <v>24170000</v>
      </c>
      <c r="B94" s="645" t="s">
        <v>97</v>
      </c>
      <c r="C94" s="640">
        <f t="shared" ref="C94:C100" si="6">SUM(D94,E94)</f>
        <v>1182000</v>
      </c>
      <c r="D94" s="641"/>
      <c r="E94" s="641">
        <v>1182000</v>
      </c>
      <c r="F94" s="641">
        <v>1182000</v>
      </c>
      <c r="G94" s="97"/>
    </row>
    <row r="95" spans="1:7" ht="16.5" thickTop="1" thickBot="1" x14ac:dyDescent="0.3">
      <c r="A95" s="396">
        <v>25000000</v>
      </c>
      <c r="B95" s="657" t="s">
        <v>98</v>
      </c>
      <c r="C95" s="640">
        <f t="shared" si="6"/>
        <v>285195418</v>
      </c>
      <c r="D95" s="640">
        <f>SUM(D96:D100,)</f>
        <v>0</v>
      </c>
      <c r="E95" s="640">
        <f>SUM(E96)</f>
        <v>285195418</v>
      </c>
      <c r="F95" s="259"/>
      <c r="G95" s="96"/>
    </row>
    <row r="96" spans="1:7" ht="42" thickTop="1" thickBot="1" x14ac:dyDescent="0.3">
      <c r="A96" s="642">
        <v>25010000</v>
      </c>
      <c r="B96" s="647" t="s">
        <v>99</v>
      </c>
      <c r="C96" s="644">
        <f t="shared" si="6"/>
        <v>285195418</v>
      </c>
      <c r="D96" s="644">
        <v>0</v>
      </c>
      <c r="E96" s="644">
        <f>SUM(E97:E100)</f>
        <v>285195418</v>
      </c>
      <c r="F96" s="260"/>
      <c r="G96" s="96"/>
    </row>
    <row r="97" spans="1:7" ht="27" thickTop="1" thickBot="1" x14ac:dyDescent="0.3">
      <c r="A97" s="638">
        <v>25010100</v>
      </c>
      <c r="B97" s="645" t="s">
        <v>100</v>
      </c>
      <c r="C97" s="640">
        <f t="shared" si="6"/>
        <v>266049738</v>
      </c>
      <c r="D97" s="641"/>
      <c r="E97" s="641">
        <v>266049738</v>
      </c>
      <c r="F97" s="263"/>
      <c r="G97" s="96"/>
    </row>
    <row r="98" spans="1:7" ht="27" thickTop="1" thickBot="1" x14ac:dyDescent="0.3">
      <c r="A98" s="638">
        <v>25010200</v>
      </c>
      <c r="B98" s="645" t="s">
        <v>101</v>
      </c>
      <c r="C98" s="640">
        <f t="shared" si="6"/>
        <v>13218390</v>
      </c>
      <c r="D98" s="641"/>
      <c r="E98" s="641">
        <v>13218390</v>
      </c>
      <c r="F98" s="263"/>
      <c r="G98" s="96"/>
    </row>
    <row r="99" spans="1:7" ht="16.5" thickTop="1" thickBot="1" x14ac:dyDescent="0.3">
      <c r="A99" s="638">
        <v>25010300</v>
      </c>
      <c r="B99" s="645" t="s">
        <v>102</v>
      </c>
      <c r="C99" s="640">
        <f t="shared" si="6"/>
        <v>5856720</v>
      </c>
      <c r="D99" s="641"/>
      <c r="E99" s="641">
        <v>5856720</v>
      </c>
      <c r="F99" s="263"/>
      <c r="G99" s="96"/>
    </row>
    <row r="100" spans="1:7" ht="39.75" thickTop="1" thickBot="1" x14ac:dyDescent="0.3">
      <c r="A100" s="638">
        <v>25010400</v>
      </c>
      <c r="B100" s="645" t="s">
        <v>103</v>
      </c>
      <c r="C100" s="640">
        <f t="shared" si="6"/>
        <v>70570</v>
      </c>
      <c r="D100" s="641"/>
      <c r="E100" s="641">
        <v>70570</v>
      </c>
      <c r="F100" s="263"/>
      <c r="G100" s="96"/>
    </row>
    <row r="101" spans="1:7" ht="24.75" customHeight="1" thickTop="1" thickBot="1" x14ac:dyDescent="0.25">
      <c r="A101" s="651">
        <v>30000000</v>
      </c>
      <c r="B101" s="651" t="s">
        <v>104</v>
      </c>
      <c r="C101" s="652">
        <f>SUM(D101,E101)</f>
        <v>20278126</v>
      </c>
      <c r="D101" s="652">
        <f>SUM(D102)+D106</f>
        <v>35000</v>
      </c>
      <c r="E101" s="652">
        <f>SUM(E102)+E106</f>
        <v>20243126</v>
      </c>
      <c r="F101" s="652">
        <f>SUM(F102)+F106</f>
        <v>20243126</v>
      </c>
      <c r="G101" s="98"/>
    </row>
    <row r="102" spans="1:7" ht="27" customHeight="1" thickTop="1" thickBot="1" x14ac:dyDescent="0.3">
      <c r="A102" s="396">
        <v>31000000</v>
      </c>
      <c r="B102" s="396" t="s">
        <v>105</v>
      </c>
      <c r="C102" s="640">
        <f>SUM(D102,E102)</f>
        <v>2735000</v>
      </c>
      <c r="D102" s="640">
        <f>D103+D105</f>
        <v>35000</v>
      </c>
      <c r="E102" s="640">
        <f>E103+E105</f>
        <v>2700000</v>
      </c>
      <c r="F102" s="640">
        <f>F103+F105</f>
        <v>2700000</v>
      </c>
      <c r="G102" s="96"/>
    </row>
    <row r="103" spans="1:7" ht="82.5" thickTop="1" thickBot="1" x14ac:dyDescent="0.3">
      <c r="A103" s="642">
        <v>3101000</v>
      </c>
      <c r="B103" s="643" t="s">
        <v>521</v>
      </c>
      <c r="C103" s="644">
        <f>SUM(D103,E103)</f>
        <v>35000</v>
      </c>
      <c r="D103" s="644">
        <f>D104</f>
        <v>35000</v>
      </c>
      <c r="E103" s="260"/>
      <c r="F103" s="260"/>
      <c r="G103" s="96"/>
    </row>
    <row r="104" spans="1:7" ht="78" thickTop="1" thickBot="1" x14ac:dyDescent="0.3">
      <c r="A104" s="638">
        <v>31010200</v>
      </c>
      <c r="B104" s="645" t="s">
        <v>106</v>
      </c>
      <c r="C104" s="640">
        <f>SUM(D104,E104)</f>
        <v>35000</v>
      </c>
      <c r="D104" s="641">
        <v>35000</v>
      </c>
      <c r="E104" s="263"/>
      <c r="F104" s="263"/>
      <c r="G104" s="96"/>
    </row>
    <row r="105" spans="1:7" ht="55.5" thickTop="1" thickBot="1" x14ac:dyDescent="0.3">
      <c r="A105" s="642">
        <v>31030000</v>
      </c>
      <c r="B105" s="647" t="s">
        <v>107</v>
      </c>
      <c r="C105" s="644">
        <f t="shared" si="1"/>
        <v>2700000</v>
      </c>
      <c r="D105" s="644"/>
      <c r="E105" s="644">
        <v>2700000</v>
      </c>
      <c r="F105" s="644">
        <v>2700000</v>
      </c>
      <c r="G105" s="96"/>
    </row>
    <row r="106" spans="1:7" ht="27" thickTop="1" thickBot="1" x14ac:dyDescent="0.3">
      <c r="A106" s="396">
        <v>33000000</v>
      </c>
      <c r="B106" s="396" t="s">
        <v>108</v>
      </c>
      <c r="C106" s="640">
        <f t="shared" si="1"/>
        <v>17543126</v>
      </c>
      <c r="D106" s="640">
        <f>SUM(D107)</f>
        <v>0</v>
      </c>
      <c r="E106" s="640">
        <f>SUM(E107)</f>
        <v>17543126</v>
      </c>
      <c r="F106" s="640">
        <f>SUM(F107)</f>
        <v>17543126</v>
      </c>
      <c r="G106" s="96"/>
    </row>
    <row r="107" spans="1:7" ht="16.5" thickTop="1" thickBot="1" x14ac:dyDescent="0.3">
      <c r="A107" s="642">
        <v>33010000</v>
      </c>
      <c r="B107" s="643" t="s">
        <v>109</v>
      </c>
      <c r="C107" s="644">
        <f>SUM(D107,E107)</f>
        <v>17543126</v>
      </c>
      <c r="D107" s="644">
        <f>SUM(D108:D110)</f>
        <v>0</v>
      </c>
      <c r="E107" s="644">
        <f>SUM(E108:E110)</f>
        <v>17543126</v>
      </c>
      <c r="F107" s="644">
        <f>SUM(F108:F110)</f>
        <v>17543126</v>
      </c>
      <c r="G107" s="96"/>
    </row>
    <row r="108" spans="1:7" ht="52.5" thickTop="1" thickBot="1" x14ac:dyDescent="0.3">
      <c r="A108" s="638">
        <v>33010100</v>
      </c>
      <c r="B108" s="645" t="s">
        <v>337</v>
      </c>
      <c r="C108" s="640">
        <f t="shared" si="1"/>
        <v>16896670</v>
      </c>
      <c r="D108" s="641"/>
      <c r="E108" s="641">
        <v>16896670</v>
      </c>
      <c r="F108" s="641">
        <v>16896670</v>
      </c>
      <c r="G108" s="96"/>
    </row>
    <row r="109" spans="1:7" ht="52.5" thickTop="1" thickBot="1" x14ac:dyDescent="0.3">
      <c r="A109" s="638">
        <v>33010200</v>
      </c>
      <c r="B109" s="645" t="s">
        <v>110</v>
      </c>
      <c r="C109" s="640">
        <f>SUM(D109,E109)</f>
        <v>646456</v>
      </c>
      <c r="D109" s="641"/>
      <c r="E109" s="641">
        <v>646456</v>
      </c>
      <c r="F109" s="641">
        <v>646456</v>
      </c>
      <c r="G109" s="96"/>
    </row>
    <row r="110" spans="1:7" ht="65.25" hidden="1" thickTop="1" thickBot="1" x14ac:dyDescent="0.3">
      <c r="A110" s="261">
        <v>33010500</v>
      </c>
      <c r="B110" s="264" t="s">
        <v>1222</v>
      </c>
      <c r="C110" s="259">
        <f>SUM(D110,E110)</f>
        <v>0</v>
      </c>
      <c r="D110" s="263"/>
      <c r="E110" s="263">
        <v>0</v>
      </c>
      <c r="F110" s="263">
        <v>0</v>
      </c>
      <c r="G110" s="96"/>
    </row>
    <row r="111" spans="1:7" ht="27" customHeight="1" thickTop="1" thickBot="1" x14ac:dyDescent="0.3">
      <c r="A111" s="651">
        <v>50000000</v>
      </c>
      <c r="B111" s="651" t="s">
        <v>475</v>
      </c>
      <c r="C111" s="652">
        <f>SUM(D111,E111)</f>
        <v>7105000</v>
      </c>
      <c r="D111" s="652">
        <f>SUM(D112)</f>
        <v>0</v>
      </c>
      <c r="E111" s="652">
        <f>SUM(E112)</f>
        <v>7105000</v>
      </c>
      <c r="F111" s="652">
        <f>SUM(F112)</f>
        <v>0</v>
      </c>
      <c r="G111" s="96"/>
    </row>
    <row r="112" spans="1:7" ht="52.5" thickTop="1" thickBot="1" x14ac:dyDescent="0.3">
      <c r="A112" s="396">
        <v>50110000</v>
      </c>
      <c r="B112" s="650" t="s">
        <v>111</v>
      </c>
      <c r="C112" s="640">
        <f t="shared" ref="C112:C154" si="7">SUM(D112,E112)</f>
        <v>7105000</v>
      </c>
      <c r="D112" s="641"/>
      <c r="E112" s="640">
        <v>7105000</v>
      </c>
      <c r="F112" s="641"/>
      <c r="G112" s="96"/>
    </row>
    <row r="113" spans="1:10" ht="45.75" customHeight="1" thickTop="1" thickBot="1" x14ac:dyDescent="0.25">
      <c r="A113" s="659"/>
      <c r="B113" s="660" t="s">
        <v>476</v>
      </c>
      <c r="C113" s="658">
        <f t="shared" ref="C113:C120" si="8">SUM(D113,E113)</f>
        <v>4671022394</v>
      </c>
      <c r="D113" s="658">
        <f>D111+D101+D66+D15</f>
        <v>4354796826</v>
      </c>
      <c r="E113" s="658">
        <f>E111+E101+E66+E15</f>
        <v>316225568</v>
      </c>
      <c r="F113" s="658">
        <f>F111+F101+F66+F15</f>
        <v>21425150</v>
      </c>
      <c r="G113" s="97"/>
    </row>
    <row r="114" spans="1:10" ht="15.75" thickTop="1" thickBot="1" x14ac:dyDescent="0.25">
      <c r="A114" s="651">
        <v>40000000</v>
      </c>
      <c r="B114" s="651" t="s">
        <v>419</v>
      </c>
      <c r="C114" s="652">
        <f>SUM(D114,E114)</f>
        <v>23699947</v>
      </c>
      <c r="D114" s="652">
        <f>SUM(D119,D115)</f>
        <v>23699947</v>
      </c>
      <c r="E114" s="652">
        <f>SUM(E119,E115)</f>
        <v>0</v>
      </c>
      <c r="F114" s="652">
        <f>SUM(F119,F115)</f>
        <v>0</v>
      </c>
      <c r="G114" s="97"/>
    </row>
    <row r="115" spans="1:10" ht="27" thickTop="1" thickBot="1" x14ac:dyDescent="0.25">
      <c r="A115" s="661"/>
      <c r="B115" s="662" t="s">
        <v>1172</v>
      </c>
      <c r="C115" s="663">
        <f>SUM(C116:C118)</f>
        <v>21976300</v>
      </c>
      <c r="D115" s="663">
        <f>SUM(D116:D118)</f>
        <v>21976300</v>
      </c>
      <c r="E115" s="663"/>
      <c r="F115" s="663"/>
      <c r="G115" s="97"/>
    </row>
    <row r="116" spans="1:10" ht="103.5" thickTop="1" thickBot="1" x14ac:dyDescent="0.25">
      <c r="A116" s="664">
        <v>41021400</v>
      </c>
      <c r="B116" s="665" t="s">
        <v>1174</v>
      </c>
      <c r="C116" s="663">
        <f t="shared" ref="C116" si="9">SUM(D116,E116)</f>
        <v>17727100</v>
      </c>
      <c r="D116" s="666">
        <v>17727100</v>
      </c>
      <c r="E116" s="663"/>
      <c r="F116" s="663"/>
      <c r="G116" s="97"/>
    </row>
    <row r="117" spans="1:10" ht="65.25" thickTop="1" thickBot="1" x14ac:dyDescent="0.25">
      <c r="A117" s="664">
        <v>41040200</v>
      </c>
      <c r="B117" s="665" t="s">
        <v>1053</v>
      </c>
      <c r="C117" s="663">
        <f t="shared" si="8"/>
        <v>4249200</v>
      </c>
      <c r="D117" s="666">
        <v>4249200</v>
      </c>
      <c r="E117" s="259"/>
      <c r="F117" s="259"/>
      <c r="G117" s="97"/>
    </row>
    <row r="118" spans="1:10" ht="21" hidden="1" customHeight="1" thickTop="1" thickBot="1" x14ac:dyDescent="0.25">
      <c r="A118" s="261">
        <v>41040400</v>
      </c>
      <c r="B118" s="264" t="s">
        <v>1102</v>
      </c>
      <c r="C118" s="259">
        <f t="shared" si="8"/>
        <v>0</v>
      </c>
      <c r="D118" s="263"/>
      <c r="E118" s="259"/>
      <c r="F118" s="259"/>
      <c r="G118" s="97"/>
    </row>
    <row r="119" spans="1:10" s="311" customFormat="1" ht="15.75" thickTop="1" thickBot="1" x14ac:dyDescent="0.25">
      <c r="A119" s="661">
        <v>41000000</v>
      </c>
      <c r="B119" s="661" t="s">
        <v>112</v>
      </c>
      <c r="C119" s="663">
        <f t="shared" si="8"/>
        <v>1723647</v>
      </c>
      <c r="D119" s="663">
        <f>SUM(D120,D132)</f>
        <v>1723647</v>
      </c>
      <c r="E119" s="663">
        <f>SUM(E120,E132)</f>
        <v>0</v>
      </c>
      <c r="F119" s="663">
        <f>SUM(F120,F132)</f>
        <v>0</v>
      </c>
      <c r="G119" s="97"/>
      <c r="H119" s="95"/>
      <c r="I119" s="95"/>
      <c r="J119" s="95"/>
    </row>
    <row r="120" spans="1:10" s="311" customFormat="1" ht="27" hidden="1" thickTop="1" thickBot="1" x14ac:dyDescent="0.3">
      <c r="A120" s="258">
        <v>41030000</v>
      </c>
      <c r="B120" s="366" t="s">
        <v>430</v>
      </c>
      <c r="C120" s="259">
        <f t="shared" si="8"/>
        <v>0</v>
      </c>
      <c r="D120" s="259">
        <f>SUM(D121:D131)</f>
        <v>0</v>
      </c>
      <c r="E120" s="259">
        <f>SUM(E121:E131)</f>
        <v>0</v>
      </c>
      <c r="F120" s="259">
        <f>SUM(F121:F131)</f>
        <v>0</v>
      </c>
      <c r="G120" s="96"/>
      <c r="H120" s="95"/>
      <c r="I120" s="95"/>
      <c r="J120" s="95"/>
    </row>
    <row r="121" spans="1:10" ht="52.5" hidden="1" thickTop="1" thickBot="1" x14ac:dyDescent="0.3">
      <c r="A121" s="261">
        <v>41032300</v>
      </c>
      <c r="B121" s="262" t="s">
        <v>925</v>
      </c>
      <c r="C121" s="259">
        <f t="shared" si="7"/>
        <v>0</v>
      </c>
      <c r="D121" s="263">
        <v>0</v>
      </c>
      <c r="E121" s="259"/>
      <c r="F121" s="263"/>
      <c r="G121" s="96"/>
    </row>
    <row r="122" spans="1:10" ht="52.5" hidden="1" thickTop="1" thickBot="1" x14ac:dyDescent="0.3">
      <c r="A122" s="261">
        <v>41033300</v>
      </c>
      <c r="B122" s="262" t="s">
        <v>1370</v>
      </c>
      <c r="C122" s="259">
        <f t="shared" si="7"/>
        <v>0</v>
      </c>
      <c r="D122" s="263">
        <v>0</v>
      </c>
      <c r="E122" s="259"/>
      <c r="F122" s="263"/>
      <c r="G122" s="96"/>
    </row>
    <row r="123" spans="1:10" ht="52.5" hidden="1" thickTop="1" thickBot="1" x14ac:dyDescent="0.3">
      <c r="A123" s="261">
        <v>41033800</v>
      </c>
      <c r="B123" s="262" t="s">
        <v>971</v>
      </c>
      <c r="C123" s="259">
        <f t="shared" si="7"/>
        <v>0</v>
      </c>
      <c r="D123" s="263">
        <v>0</v>
      </c>
      <c r="E123" s="259"/>
      <c r="F123" s="263"/>
      <c r="G123" s="96"/>
    </row>
    <row r="124" spans="1:10" ht="27" hidden="1" thickTop="1" thickBot="1" x14ac:dyDescent="0.3">
      <c r="A124" s="261">
        <v>41033900</v>
      </c>
      <c r="B124" s="262" t="s">
        <v>113</v>
      </c>
      <c r="C124" s="259">
        <f t="shared" si="7"/>
        <v>0</v>
      </c>
      <c r="D124" s="263"/>
      <c r="E124" s="263"/>
      <c r="F124" s="263"/>
      <c r="G124" s="96"/>
    </row>
    <row r="125" spans="1:10" ht="39.75" hidden="1" thickTop="1" thickBot="1" x14ac:dyDescent="0.3">
      <c r="A125" s="261">
        <v>41034500</v>
      </c>
      <c r="B125" s="262" t="s">
        <v>972</v>
      </c>
      <c r="C125" s="259">
        <f t="shared" si="7"/>
        <v>0</v>
      </c>
      <c r="D125" s="263">
        <v>0</v>
      </c>
      <c r="E125" s="263">
        <v>0</v>
      </c>
      <c r="F125" s="263">
        <v>0</v>
      </c>
      <c r="G125" s="96"/>
    </row>
    <row r="126" spans="1:10" ht="39.75" hidden="1" thickTop="1" thickBot="1" x14ac:dyDescent="0.3">
      <c r="A126" s="261">
        <v>41035400</v>
      </c>
      <c r="B126" s="262" t="s">
        <v>1425</v>
      </c>
      <c r="C126" s="259">
        <f t="shared" si="7"/>
        <v>0</v>
      </c>
      <c r="D126" s="263"/>
      <c r="E126" s="263"/>
      <c r="F126" s="263"/>
      <c r="G126" s="96"/>
    </row>
    <row r="127" spans="1:10" ht="52.5" hidden="1" thickTop="1" thickBot="1" x14ac:dyDescent="0.3">
      <c r="A127" s="261">
        <v>41035500</v>
      </c>
      <c r="B127" s="262" t="s">
        <v>927</v>
      </c>
      <c r="C127" s="259">
        <f t="shared" si="7"/>
        <v>0</v>
      </c>
      <c r="D127" s="263">
        <v>0</v>
      </c>
      <c r="E127" s="263"/>
      <c r="F127" s="263"/>
      <c r="G127" s="96"/>
    </row>
    <row r="128" spans="1:10" ht="65.25" hidden="1" thickTop="1" thickBot="1" x14ac:dyDescent="0.3">
      <c r="A128" s="261">
        <v>41035600</v>
      </c>
      <c r="B128" s="262" t="s">
        <v>943</v>
      </c>
      <c r="C128" s="259">
        <f t="shared" si="7"/>
        <v>0</v>
      </c>
      <c r="D128" s="263">
        <v>0</v>
      </c>
      <c r="E128" s="263"/>
      <c r="F128" s="263"/>
      <c r="G128" s="96"/>
    </row>
    <row r="129" spans="1:10" ht="65.25" hidden="1" thickTop="1" thickBot="1" x14ac:dyDescent="0.3">
      <c r="A129" s="261">
        <v>41036000</v>
      </c>
      <c r="B129" s="262" t="s">
        <v>1468</v>
      </c>
      <c r="C129" s="259">
        <f t="shared" si="7"/>
        <v>0</v>
      </c>
      <c r="D129" s="263"/>
      <c r="E129" s="263"/>
      <c r="F129" s="263"/>
      <c r="G129" s="96"/>
    </row>
    <row r="130" spans="1:10" ht="39.75" hidden="1" thickTop="1" thickBot="1" x14ac:dyDescent="0.3">
      <c r="A130" s="261">
        <v>41036300</v>
      </c>
      <c r="B130" s="262" t="s">
        <v>1426</v>
      </c>
      <c r="C130" s="259">
        <f t="shared" si="7"/>
        <v>0</v>
      </c>
      <c r="D130" s="263"/>
      <c r="E130" s="263"/>
      <c r="F130" s="263"/>
      <c r="G130" s="96"/>
    </row>
    <row r="131" spans="1:10" ht="39.75" hidden="1" thickTop="1" thickBot="1" x14ac:dyDescent="0.3">
      <c r="A131" s="261">
        <v>41035700</v>
      </c>
      <c r="B131" s="262" t="s">
        <v>918</v>
      </c>
      <c r="C131" s="259">
        <f t="shared" si="7"/>
        <v>0</v>
      </c>
      <c r="D131" s="263">
        <v>0</v>
      </c>
      <c r="E131" s="263"/>
      <c r="F131" s="263"/>
      <c r="G131" s="96"/>
    </row>
    <row r="132" spans="1:10" s="311" customFormat="1" ht="27" thickTop="1" thickBot="1" x14ac:dyDescent="0.3">
      <c r="A132" s="661">
        <v>41050000</v>
      </c>
      <c r="B132" s="671" t="s">
        <v>461</v>
      </c>
      <c r="C132" s="663">
        <f>SUM(D132,E132)</f>
        <v>1723647</v>
      </c>
      <c r="D132" s="663">
        <f>SUM(D133:D148)+D155+D156+D157+D158</f>
        <v>1723647</v>
      </c>
      <c r="E132" s="663">
        <f>SUM(E133:E148)+E155+E156++E157+E158</f>
        <v>0</v>
      </c>
      <c r="F132" s="663">
        <f>SUM(F133:F148)+F155+F156++F157+F158</f>
        <v>0</v>
      </c>
      <c r="G132" s="96"/>
      <c r="H132" s="95"/>
      <c r="I132" s="95"/>
      <c r="J132" s="95"/>
    </row>
    <row r="133" spans="1:10" s="311" customFormat="1" ht="90.75" hidden="1" thickTop="1" thickBot="1" x14ac:dyDescent="0.3">
      <c r="A133" s="261">
        <v>41050100</v>
      </c>
      <c r="B133" s="262" t="s">
        <v>1492</v>
      </c>
      <c r="C133" s="259">
        <f t="shared" si="7"/>
        <v>0</v>
      </c>
      <c r="D133" s="263"/>
      <c r="E133" s="263"/>
      <c r="F133" s="263"/>
      <c r="G133" s="96"/>
      <c r="H133" s="95"/>
      <c r="I133" s="95"/>
      <c r="J133" s="95"/>
    </row>
    <row r="134" spans="1:10" s="311" customFormat="1" ht="320.25" hidden="1" thickTop="1" thickBot="1" x14ac:dyDescent="0.3">
      <c r="A134" s="261">
        <v>41050200</v>
      </c>
      <c r="B134" s="262" t="s">
        <v>1471</v>
      </c>
      <c r="C134" s="259">
        <f t="shared" ref="C134:C142" si="10">SUM(D134,E134)</f>
        <v>0</v>
      </c>
      <c r="D134" s="263"/>
      <c r="E134" s="263"/>
      <c r="F134" s="263"/>
      <c r="G134" s="96"/>
      <c r="H134" s="95"/>
      <c r="I134" s="95"/>
      <c r="J134" s="95"/>
    </row>
    <row r="135" spans="1:10" ht="307.5" hidden="1" thickTop="1" thickBot="1" x14ac:dyDescent="0.3">
      <c r="A135" s="261">
        <v>41050400</v>
      </c>
      <c r="B135" s="262" t="s">
        <v>1237</v>
      </c>
      <c r="C135" s="259">
        <f t="shared" si="10"/>
        <v>0</v>
      </c>
      <c r="D135" s="263">
        <v>0</v>
      </c>
      <c r="E135" s="263"/>
      <c r="F135" s="263"/>
      <c r="G135" s="96"/>
    </row>
    <row r="136" spans="1:10" ht="218.25" hidden="1" thickTop="1" thickBot="1" x14ac:dyDescent="0.3">
      <c r="A136" s="261">
        <v>41050500</v>
      </c>
      <c r="B136" s="262" t="s">
        <v>973</v>
      </c>
      <c r="C136" s="259">
        <f t="shared" si="10"/>
        <v>0</v>
      </c>
      <c r="D136" s="263">
        <v>0</v>
      </c>
      <c r="E136" s="263"/>
      <c r="F136" s="263"/>
      <c r="G136" s="96"/>
    </row>
    <row r="137" spans="1:10" ht="307.5" hidden="1" thickTop="1" thickBot="1" x14ac:dyDescent="0.3">
      <c r="A137" s="261">
        <v>41050600</v>
      </c>
      <c r="B137" s="262" t="s">
        <v>1238</v>
      </c>
      <c r="C137" s="259">
        <f t="shared" si="10"/>
        <v>0</v>
      </c>
      <c r="D137" s="263">
        <v>0</v>
      </c>
      <c r="E137" s="263"/>
      <c r="F137" s="263"/>
      <c r="G137" s="96"/>
    </row>
    <row r="138" spans="1:10" ht="116.25" hidden="1" thickTop="1" thickBot="1" x14ac:dyDescent="0.3">
      <c r="A138" s="261">
        <v>41050900</v>
      </c>
      <c r="B138" s="262" t="s">
        <v>974</v>
      </c>
      <c r="C138" s="259">
        <f t="shared" si="10"/>
        <v>0</v>
      </c>
      <c r="D138" s="263">
        <v>0</v>
      </c>
      <c r="E138" s="263"/>
      <c r="F138" s="263"/>
      <c r="G138" s="96"/>
    </row>
    <row r="139" spans="1:10" s="311" customFormat="1" ht="39.75" hidden="1" thickTop="1" thickBot="1" x14ac:dyDescent="0.3">
      <c r="A139" s="261">
        <v>41051000</v>
      </c>
      <c r="B139" s="262" t="s">
        <v>462</v>
      </c>
      <c r="C139" s="259">
        <f t="shared" si="10"/>
        <v>0</v>
      </c>
      <c r="D139" s="263"/>
      <c r="E139" s="263"/>
      <c r="F139" s="263"/>
      <c r="G139" s="96"/>
      <c r="H139" s="95"/>
      <c r="I139" s="95"/>
      <c r="J139" s="95"/>
    </row>
    <row r="140" spans="1:10" ht="39.75" hidden="1" thickTop="1" thickBot="1" x14ac:dyDescent="0.3">
      <c r="A140" s="261">
        <v>41051100</v>
      </c>
      <c r="B140" s="262" t="s">
        <v>1330</v>
      </c>
      <c r="C140" s="259">
        <f t="shared" si="10"/>
        <v>0</v>
      </c>
      <c r="D140" s="263"/>
      <c r="E140" s="263">
        <v>0</v>
      </c>
      <c r="F140" s="263"/>
      <c r="G140" s="96"/>
    </row>
    <row r="141" spans="1:10" s="311" customFormat="1" ht="52.5" hidden="1" thickTop="1" thickBot="1" x14ac:dyDescent="0.3">
      <c r="A141" s="261">
        <v>41051200</v>
      </c>
      <c r="B141" s="262" t="s">
        <v>1151</v>
      </c>
      <c r="C141" s="259">
        <f>SUM(D141,E141)</f>
        <v>0</v>
      </c>
      <c r="D141" s="263">
        <v>0</v>
      </c>
      <c r="E141" s="263"/>
      <c r="F141" s="263"/>
      <c r="G141" s="96"/>
      <c r="H141" s="95"/>
      <c r="I141" s="95"/>
      <c r="J141" s="95"/>
    </row>
    <row r="142" spans="1:10" ht="65.25" hidden="1" thickTop="1" thickBot="1" x14ac:dyDescent="0.3">
      <c r="A142" s="261">
        <v>41051400</v>
      </c>
      <c r="B142" s="262" t="s">
        <v>1358</v>
      </c>
      <c r="C142" s="259">
        <f t="shared" si="10"/>
        <v>0</v>
      </c>
      <c r="D142" s="263">
        <v>0</v>
      </c>
      <c r="E142" s="263"/>
      <c r="F142" s="263"/>
      <c r="G142" s="96"/>
    </row>
    <row r="143" spans="1:10" ht="65.25" hidden="1" thickTop="1" thickBot="1" x14ac:dyDescent="0.3">
      <c r="A143" s="261">
        <v>41051700</v>
      </c>
      <c r="B143" s="262" t="s">
        <v>894</v>
      </c>
      <c r="C143" s="259">
        <f t="shared" si="7"/>
        <v>0</v>
      </c>
      <c r="D143" s="263">
        <v>0</v>
      </c>
      <c r="E143" s="263"/>
      <c r="F143" s="263"/>
      <c r="G143" s="96"/>
    </row>
    <row r="144" spans="1:10" ht="90.75" hidden="1" thickTop="1" thickBot="1" x14ac:dyDescent="0.3">
      <c r="A144" s="266">
        <v>41056600</v>
      </c>
      <c r="B144" s="267" t="s">
        <v>957</v>
      </c>
      <c r="C144" s="268">
        <f t="shared" si="7"/>
        <v>0</v>
      </c>
      <c r="D144" s="269">
        <f>10623233.82-10623233.82</f>
        <v>0</v>
      </c>
      <c r="E144" s="269"/>
      <c r="F144" s="269"/>
      <c r="G144" s="96"/>
    </row>
    <row r="145" spans="1:10" ht="52.5" hidden="1" thickTop="1" thickBot="1" x14ac:dyDescent="0.25">
      <c r="A145" s="266">
        <v>41055000</v>
      </c>
      <c r="B145" s="267" t="s">
        <v>975</v>
      </c>
      <c r="C145" s="268">
        <f t="shared" si="7"/>
        <v>0</v>
      </c>
      <c r="D145" s="269">
        <v>0</v>
      </c>
      <c r="E145" s="269"/>
      <c r="F145" s="269"/>
      <c r="G145" s="97"/>
    </row>
    <row r="146" spans="1:10" ht="27" hidden="1" thickTop="1" thickBot="1" x14ac:dyDescent="0.25">
      <c r="A146" s="266">
        <v>41053600</v>
      </c>
      <c r="B146" s="267" t="s">
        <v>896</v>
      </c>
      <c r="C146" s="268">
        <f t="shared" si="7"/>
        <v>0</v>
      </c>
      <c r="D146" s="269"/>
      <c r="E146" s="269">
        <v>0</v>
      </c>
      <c r="F146" s="269"/>
      <c r="G146" s="97"/>
    </row>
    <row r="147" spans="1:10" ht="205.5" hidden="1" thickTop="1" thickBot="1" x14ac:dyDescent="0.25">
      <c r="A147" s="266">
        <v>41054200</v>
      </c>
      <c r="B147" s="267" t="s">
        <v>976</v>
      </c>
      <c r="C147" s="268">
        <f t="shared" si="7"/>
        <v>0</v>
      </c>
      <c r="D147" s="269">
        <v>0</v>
      </c>
      <c r="E147" s="269"/>
      <c r="F147" s="269"/>
      <c r="G147" s="97"/>
    </row>
    <row r="148" spans="1:10" s="311" customFormat="1" ht="27" thickTop="1" thickBot="1" x14ac:dyDescent="0.25">
      <c r="A148" s="664">
        <v>41053900</v>
      </c>
      <c r="B148" s="667" t="s">
        <v>864</v>
      </c>
      <c r="C148" s="663">
        <f t="shared" si="7"/>
        <v>1723647</v>
      </c>
      <c r="D148" s="663">
        <f>SUM(D149:D154)</f>
        <v>1723647</v>
      </c>
      <c r="E148" s="663">
        <f>SUM(E149:E154)</f>
        <v>0</v>
      </c>
      <c r="F148" s="663">
        <f>SUM(F149:F154)</f>
        <v>0</v>
      </c>
      <c r="G148" s="97"/>
      <c r="H148" s="95"/>
      <c r="I148" s="95"/>
      <c r="J148" s="95"/>
    </row>
    <row r="149" spans="1:10" ht="15.75" hidden="1" thickTop="1" thickBot="1" x14ac:dyDescent="0.25">
      <c r="A149" s="664"/>
      <c r="B149" s="668" t="s">
        <v>897</v>
      </c>
      <c r="C149" s="669">
        <f>SUM(D149,E149)</f>
        <v>0</v>
      </c>
      <c r="D149" s="670"/>
      <c r="E149" s="265">
        <v>0</v>
      </c>
      <c r="F149" s="265">
        <v>0</v>
      </c>
      <c r="G149" s="97"/>
    </row>
    <row r="150" spans="1:10" ht="51.75" customHeight="1" thickTop="1" thickBot="1" x14ac:dyDescent="0.25">
      <c r="A150" s="664"/>
      <c r="B150" s="668" t="s">
        <v>865</v>
      </c>
      <c r="C150" s="669">
        <f t="shared" si="7"/>
        <v>399986</v>
      </c>
      <c r="D150" s="670">
        <v>399986</v>
      </c>
      <c r="E150" s="265"/>
      <c r="F150" s="265"/>
      <c r="G150" s="97"/>
    </row>
    <row r="151" spans="1:10" ht="62.25" customHeight="1" thickTop="1" thickBot="1" x14ac:dyDescent="0.25">
      <c r="A151" s="664"/>
      <c r="B151" s="668" t="s">
        <v>866</v>
      </c>
      <c r="C151" s="669">
        <f t="shared" si="7"/>
        <v>177006</v>
      </c>
      <c r="D151" s="670">
        <v>177006</v>
      </c>
      <c r="E151" s="265"/>
      <c r="F151" s="265"/>
      <c r="G151" s="97"/>
    </row>
    <row r="152" spans="1:10" ht="36.75" customHeight="1" thickTop="1" thickBot="1" x14ac:dyDescent="0.25">
      <c r="A152" s="664"/>
      <c r="B152" s="668" t="s">
        <v>867</v>
      </c>
      <c r="C152" s="669">
        <f t="shared" si="7"/>
        <v>1146655</v>
      </c>
      <c r="D152" s="670">
        <v>1146655</v>
      </c>
      <c r="E152" s="265"/>
      <c r="F152" s="265"/>
      <c r="G152" s="97"/>
    </row>
    <row r="153" spans="1:10" ht="39.75" hidden="1" thickTop="1" thickBot="1" x14ac:dyDescent="0.25">
      <c r="A153" s="266"/>
      <c r="B153" s="270" t="s">
        <v>1011</v>
      </c>
      <c r="C153" s="101">
        <f t="shared" si="7"/>
        <v>0</v>
      </c>
      <c r="D153" s="102">
        <v>0</v>
      </c>
      <c r="E153" s="102"/>
      <c r="F153" s="102"/>
      <c r="G153" s="97"/>
    </row>
    <row r="154" spans="1:10" ht="27" hidden="1" thickTop="1" thickBot="1" x14ac:dyDescent="0.25">
      <c r="A154" s="266"/>
      <c r="B154" s="270" t="s">
        <v>1012</v>
      </c>
      <c r="C154" s="101">
        <f t="shared" si="7"/>
        <v>0</v>
      </c>
      <c r="D154" s="102"/>
      <c r="E154" s="102">
        <v>0</v>
      </c>
      <c r="F154" s="102">
        <v>0</v>
      </c>
      <c r="G154" s="97"/>
    </row>
    <row r="155" spans="1:10" ht="65.25" hidden="1" thickTop="1" thickBot="1" x14ac:dyDescent="0.25">
      <c r="A155" s="261">
        <v>41057700</v>
      </c>
      <c r="B155" s="262" t="s">
        <v>1200</v>
      </c>
      <c r="C155" s="259">
        <f>SUM(D155,E155)</f>
        <v>0</v>
      </c>
      <c r="D155" s="263"/>
      <c r="E155" s="263"/>
      <c r="F155" s="263"/>
      <c r="G155" s="97"/>
    </row>
    <row r="156" spans="1:10" ht="52.5" hidden="1" thickTop="1" thickBot="1" x14ac:dyDescent="0.25">
      <c r="A156" s="261">
        <v>41059000</v>
      </c>
      <c r="B156" s="262" t="s">
        <v>1223</v>
      </c>
      <c r="C156" s="259">
        <f>SUM(D156,E156)</f>
        <v>0</v>
      </c>
      <c r="D156" s="263">
        <v>0</v>
      </c>
      <c r="E156" s="263"/>
      <c r="F156" s="263"/>
      <c r="G156" s="97"/>
    </row>
    <row r="157" spans="1:10" ht="90.75" hidden="1" thickTop="1" thickBot="1" x14ac:dyDescent="0.25">
      <c r="A157" s="261">
        <v>41059300</v>
      </c>
      <c r="B157" s="262" t="s">
        <v>1445</v>
      </c>
      <c r="C157" s="259">
        <f>SUM(D157,E157)</f>
        <v>0</v>
      </c>
      <c r="D157" s="263"/>
      <c r="E157" s="263"/>
      <c r="F157" s="263"/>
      <c r="G157" s="97"/>
    </row>
    <row r="158" spans="1:10" ht="78" hidden="1" thickTop="1" thickBot="1" x14ac:dyDescent="0.25">
      <c r="A158" s="261">
        <v>41059700</v>
      </c>
      <c r="B158" s="262" t="s">
        <v>1428</v>
      </c>
      <c r="C158" s="259">
        <f>SUM(D158,E158)</f>
        <v>0</v>
      </c>
      <c r="D158" s="263"/>
      <c r="E158" s="263"/>
      <c r="F158" s="263"/>
      <c r="G158" s="97"/>
    </row>
    <row r="159" spans="1:10" ht="33.75" customHeight="1" thickTop="1" thickBot="1" x14ac:dyDescent="0.3">
      <c r="A159" s="659"/>
      <c r="B159" s="660" t="s">
        <v>968</v>
      </c>
      <c r="C159" s="658">
        <f>SUM(D159,E159)</f>
        <v>4694722341</v>
      </c>
      <c r="D159" s="658">
        <f>SUM(D113,D114)</f>
        <v>4378496773</v>
      </c>
      <c r="E159" s="658">
        <f>SUM(E113,E114)</f>
        <v>316225568</v>
      </c>
      <c r="F159" s="658">
        <f>SUM(F113,F114)</f>
        <v>21425150</v>
      </c>
      <c r="G159" s="672" t="b">
        <f>C159=C152+C151+C150+C141+C139+C117+C112+C109+C108+C105+C104+C100+C99+C98+C97+C94+C93+C92+C91+C89+C88+C87+C85+C81+C80+C79+C76+C75+C74+C73+C72+C69+C65+C64+C63+C60+C59+C58+C56+C55+C53+C51+C50+C49+C48+C47+C46+C45+C44+C43+C42+C39+C38+C36+C34+C31+C29+C28+C25+C23+C22+C21+C20+C18+C124+C158+C130+C126+C157+C129+C155+C118+C134+C133+C83+C116</f>
        <v>1</v>
      </c>
      <c r="H159" s="672" t="b">
        <f>D159=D152+D151+D150+D141+D139+D117+D112+D109+D108+D105+D104+D100+D99+D98+D97+D94+D93+D92+D91+D89+D88+D87+D85+D81+D80+D79+D76+D75+D74+D73+D72+D69+D65+D64+D63+D60+D59+D58+D56+D55+D53+D51+D50+D49+D48+D47+D46+D45+D44+D43+D42+D39+D38+D36+D34+D31+D29+D28+D25+D23+D22+D21+D20+D18+D124+D158+D130+D126+D157+D129+D155+D118+D134+D133+D83+D116</f>
        <v>1</v>
      </c>
      <c r="I159" s="672" t="b">
        <f>E159=E152+E151+E150+E141+E139+E117+E112+E109+E108+E105+E104+E100+E99+E98+E97+E94+E93+E92+E91+E89+E88+E87+E85+E81+E80+E79+E76+E75+E74+E73+E72+E69+E65+E64+E63+E60+E59+E58+E56+E55+E53+E51+E50+E49+E48+E47+E46+E45+E44+E43+E42+E39+E38+E36+E34+E31+E29+E28+E25+E23+E22+E21+E20+E18+E124+E158+E130+E126+E157+E129+E155+E118+E134+E133+E83+E116</f>
        <v>1</v>
      </c>
      <c r="J159" s="672" t="b">
        <f>F159=F152+F151+F150+F141+F139+F117+F112+F109+F108+F105+F104+F100+F99+F98+F97+F94+F93+F92+F91+F89+F88+F87+F85+F81+F80+F79+F76+F75+F74+F73+F72+F69+F65+F64+F63+F60+F59+F58+F56+F55+F53+F51+F50+F49+F48+F47+F46+F45+F44+F43+F42+F39+F38+F36+F34+F31+F29+F28+F25+F23+F22+F21+F20+F18+F124+F158+F130+F126+F157+F129+F155+F118+F134+F133+F83+F116</f>
        <v>1</v>
      </c>
    </row>
    <row r="160" spans="1:10" ht="16.5" thickTop="1" x14ac:dyDescent="0.25">
      <c r="B160" s="103"/>
      <c r="G160" s="672" t="b">
        <f>(4694722341-'d2'!C38-'d2'!C22)=C159</f>
        <v>1</v>
      </c>
    </row>
    <row r="161" spans="1:7" ht="16.5" customHeight="1" x14ac:dyDescent="0.2">
      <c r="B161" s="692" t="s">
        <v>1447</v>
      </c>
      <c r="C161" s="13"/>
      <c r="D161" s="13"/>
      <c r="E161" s="693" t="s">
        <v>1448</v>
      </c>
      <c r="F161" s="105"/>
      <c r="G161" s="104"/>
    </row>
    <row r="162" spans="1:7" ht="15.75" hidden="1" x14ac:dyDescent="0.2">
      <c r="B162" s="406" t="s">
        <v>1254</v>
      </c>
      <c r="C162"/>
      <c r="D162"/>
      <c r="E162" s="407" t="s">
        <v>1255</v>
      </c>
      <c r="F162" s="105"/>
      <c r="G162" s="104"/>
    </row>
    <row r="163" spans="1:7" ht="47.25" hidden="1" x14ac:dyDescent="0.2">
      <c r="B163" s="367" t="s">
        <v>1509</v>
      </c>
      <c r="C163" s="13"/>
      <c r="D163" s="13"/>
      <c r="E163" s="271" t="s">
        <v>1508</v>
      </c>
      <c r="F163" s="105"/>
      <c r="G163" s="104"/>
    </row>
    <row r="164" spans="1:7" ht="9" customHeight="1" x14ac:dyDescent="0.25">
      <c r="B164" s="1"/>
      <c r="C164" s="311"/>
      <c r="D164" s="311"/>
      <c r="E164" s="1"/>
    </row>
    <row r="165" spans="1:7" ht="15.75" x14ac:dyDescent="0.25">
      <c r="A165" s="106"/>
      <c r="B165" s="309" t="s">
        <v>506</v>
      </c>
      <c r="C165" s="1"/>
      <c r="D165" s="1"/>
      <c r="E165" s="1" t="s">
        <v>1175</v>
      </c>
      <c r="F165" s="106"/>
    </row>
    <row r="168" spans="1:7" x14ac:dyDescent="0.2">
      <c r="C168" s="104"/>
      <c r="D168" s="104"/>
      <c r="E168" s="104"/>
      <c r="F168" s="104"/>
    </row>
  </sheetData>
  <mergeCells count="13">
    <mergeCell ref="A6:F6"/>
    <mergeCell ref="A8:F8"/>
    <mergeCell ref="A9:F9"/>
    <mergeCell ref="A12:A13"/>
    <mergeCell ref="B12:B13"/>
    <mergeCell ref="C12:C13"/>
    <mergeCell ref="D12:D13"/>
    <mergeCell ref="E12:F12"/>
    <mergeCell ref="D1:G1"/>
    <mergeCell ref="D2:G2"/>
    <mergeCell ref="D3:G3"/>
    <mergeCell ref="A4:E4"/>
    <mergeCell ref="A5:F5"/>
  </mergeCells>
  <hyperlinks>
    <hyperlink ref="B102" location="_ftn1" display="_ftn1"/>
    <hyperlink ref="B101" location="_ftn1" display="_ftn1"/>
    <hyperlink ref="B88" location="_ftn1" display="_ftn1"/>
    <hyperlink ref="B20" location="_ftn1" display="_ftn1"/>
    <hyperlink ref="B19" location="_ftn1" display="_ftn1"/>
    <hyperlink ref="B64" location="_ftn1" display="_ftn1"/>
    <hyperlink ref="B106" location="_ftn1" display="_ftn1"/>
    <hyperlink ref="B107" location="_ftn1" display="_ftn1"/>
    <hyperlink ref="B72" location="_ftn1" display="_ftn1"/>
  </hyperlinks>
  <printOptions horizontalCentered="1"/>
  <pageMargins left="0.35433070866141736" right="0.15748031496062992" top="0.59055118110236227" bottom="0.51181102362204722" header="0.51181102362204722" footer="0.51181102362204722"/>
  <pageSetup paperSize="9" scale="86" fitToHeight="0" orientation="portrait" horizontalDpi="300" verticalDpi="300" r:id="rId1"/>
  <headerFooter alignWithMargins="0"/>
  <rowBreaks count="1" manualBreakCount="1">
    <brk id="84" max="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67"/>
  <sheetViews>
    <sheetView view="pageBreakPreview" zoomScale="90" zoomScaleSheetLayoutView="90" workbookViewId="0">
      <selection activeCell="E3" sqref="E3:F3"/>
    </sheetView>
  </sheetViews>
  <sheetFormatPr defaultColWidth="9.140625" defaultRowHeight="12.75" x14ac:dyDescent="0.2"/>
  <cols>
    <col min="1" max="1" width="9.7109375" style="13" customWidth="1"/>
    <col min="2" max="3" width="22.140625" style="13" customWidth="1"/>
    <col min="4" max="4" width="15.5703125" style="13" customWidth="1"/>
    <col min="5" max="5" width="15.28515625" style="13" customWidth="1"/>
    <col min="6" max="6" width="14.85546875" style="13" customWidth="1"/>
    <col min="7" max="7" width="18.85546875" style="13" customWidth="1"/>
    <col min="8" max="8" width="16.42578125" style="13" customWidth="1"/>
    <col min="9" max="9" width="19.28515625" style="13" customWidth="1"/>
    <col min="10" max="10" width="13.5703125" style="13" customWidth="1"/>
    <col min="11" max="11" width="9.7109375" style="13" customWidth="1"/>
    <col min="12" max="12" width="9.140625" style="13"/>
    <col min="13" max="13" width="8.140625" style="13" customWidth="1"/>
    <col min="14" max="16384" width="9.140625" style="13"/>
  </cols>
  <sheetData>
    <row r="1" spans="1:17" x14ac:dyDescent="0.2">
      <c r="A1"/>
      <c r="B1"/>
      <c r="C1"/>
      <c r="D1"/>
      <c r="E1" s="715" t="s">
        <v>114</v>
      </c>
      <c r="F1" s="715"/>
    </row>
    <row r="2" spans="1:17" x14ac:dyDescent="0.2">
      <c r="A2"/>
      <c r="B2"/>
      <c r="C2"/>
      <c r="D2"/>
      <c r="E2" s="917" t="s">
        <v>1742</v>
      </c>
      <c r="F2" s="715"/>
    </row>
    <row r="3" spans="1:17" x14ac:dyDescent="0.2">
      <c r="A3"/>
      <c r="B3"/>
      <c r="C3"/>
      <c r="D3"/>
      <c r="E3" s="917" t="s">
        <v>1738</v>
      </c>
      <c r="F3" s="715"/>
    </row>
    <row r="4" spans="1:17" x14ac:dyDescent="0.2">
      <c r="A4"/>
      <c r="B4"/>
      <c r="C4"/>
      <c r="D4"/>
      <c r="E4"/>
      <c r="F4"/>
    </row>
    <row r="5" spans="1:17" ht="18.75" x14ac:dyDescent="0.2">
      <c r="A5" s="717" t="s">
        <v>553</v>
      </c>
      <c r="B5" s="717"/>
      <c r="C5" s="717"/>
      <c r="D5" s="717"/>
      <c r="E5" s="717"/>
      <c r="F5" s="717"/>
    </row>
    <row r="6" spans="1:17" ht="18.75" x14ac:dyDescent="0.2">
      <c r="A6" s="717" t="s">
        <v>1512</v>
      </c>
      <c r="B6" s="717"/>
      <c r="C6" s="717"/>
      <c r="D6" s="717"/>
      <c r="E6" s="717"/>
      <c r="F6" s="717"/>
    </row>
    <row r="7" spans="1:17" ht="18.75" x14ac:dyDescent="0.2">
      <c r="A7" s="397"/>
      <c r="B7" s="397"/>
      <c r="C7" s="397"/>
      <c r="D7" s="397"/>
      <c r="E7" s="397"/>
      <c r="F7" s="397"/>
    </row>
    <row r="8" spans="1:17" x14ac:dyDescent="0.2">
      <c r="A8" s="718">
        <v>2256400000</v>
      </c>
      <c r="B8" s="719"/>
      <c r="C8" s="720"/>
      <c r="D8" s="720"/>
      <c r="E8" s="720"/>
      <c r="F8" s="720"/>
      <c r="G8" s="18"/>
    </row>
    <row r="9" spans="1:17" ht="15" customHeight="1" x14ac:dyDescent="0.2">
      <c r="A9" s="721" t="s">
        <v>478</v>
      </c>
      <c r="B9" s="722"/>
      <c r="C9" s="720"/>
      <c r="D9" s="720"/>
      <c r="E9" s="720"/>
      <c r="F9" s="720"/>
      <c r="G9" s="18"/>
    </row>
    <row r="10" spans="1:17" ht="13.5" thickBot="1" x14ac:dyDescent="0.25">
      <c r="A10" s="399"/>
      <c r="B10" s="399"/>
      <c r="C10"/>
      <c r="D10"/>
      <c r="E10"/>
      <c r="F10" s="400" t="s">
        <v>397</v>
      </c>
      <c r="G10" s="18"/>
    </row>
    <row r="11" spans="1:17" ht="14.25" thickTop="1" thickBot="1" x14ac:dyDescent="0.25">
      <c r="A11" s="723" t="s">
        <v>57</v>
      </c>
      <c r="B11" s="723" t="s">
        <v>371</v>
      </c>
      <c r="C11" s="723" t="s">
        <v>376</v>
      </c>
      <c r="D11" s="723" t="s">
        <v>12</v>
      </c>
      <c r="E11" s="723" t="s">
        <v>52</v>
      </c>
      <c r="F11" s="723"/>
      <c r="G11" s="18"/>
    </row>
    <row r="12" spans="1:17" ht="35.450000000000003" customHeight="1" thickTop="1" thickBot="1" x14ac:dyDescent="0.25">
      <c r="A12" s="723"/>
      <c r="B12" s="723"/>
      <c r="C12" s="723"/>
      <c r="D12" s="724"/>
      <c r="E12" s="401" t="s">
        <v>377</v>
      </c>
      <c r="F12" s="401" t="s">
        <v>378</v>
      </c>
      <c r="G12" s="18"/>
    </row>
    <row r="13" spans="1:17" ht="14.25" thickTop="1" thickBot="1" x14ac:dyDescent="0.25">
      <c r="A13" s="402">
        <v>1</v>
      </c>
      <c r="B13" s="402">
        <v>2</v>
      </c>
      <c r="C13" s="402">
        <v>3</v>
      </c>
      <c r="D13" s="402">
        <v>4</v>
      </c>
      <c r="E13" s="402">
        <v>5</v>
      </c>
      <c r="F13" s="402">
        <v>6</v>
      </c>
      <c r="G13" s="18"/>
    </row>
    <row r="14" spans="1:17" ht="30.75" customHeight="1" thickTop="1" thickBot="1" x14ac:dyDescent="0.25">
      <c r="A14" s="725" t="s">
        <v>372</v>
      </c>
      <c r="B14" s="725"/>
      <c r="C14" s="726"/>
      <c r="D14" s="726"/>
      <c r="E14" s="726"/>
      <c r="F14" s="726"/>
      <c r="G14" s="18"/>
    </row>
    <row r="15" spans="1:17" ht="39.75" customHeight="1" thickTop="1" thickBot="1" x14ac:dyDescent="0.25">
      <c r="A15" s="676" t="s">
        <v>115</v>
      </c>
      <c r="B15" s="677" t="s">
        <v>116</v>
      </c>
      <c r="C15" s="676">
        <f>C16+C25+C20</f>
        <v>0</v>
      </c>
      <c r="D15" s="676">
        <f>D16+D25+D20</f>
        <v>-120175522.57999992</v>
      </c>
      <c r="E15" s="676">
        <f>E16+E25+E20</f>
        <v>120175522.57999992</v>
      </c>
      <c r="F15" s="676">
        <f>F16+F25+F20</f>
        <v>120175522.57999992</v>
      </c>
      <c r="G15" s="273">
        <f>E15-F15</f>
        <v>0</v>
      </c>
      <c r="H15" s="108"/>
      <c r="I15" s="108"/>
      <c r="J15" s="108"/>
      <c r="K15" s="108"/>
      <c r="L15" s="108"/>
      <c r="M15" s="108"/>
      <c r="N15" s="108"/>
      <c r="O15" s="108"/>
      <c r="P15" s="108"/>
      <c r="Q15" s="108"/>
    </row>
    <row r="16" spans="1:17" ht="42" hidden="1" thickTop="1" thickBot="1" x14ac:dyDescent="0.25">
      <c r="A16" s="333">
        <v>202000</v>
      </c>
      <c r="B16" s="334" t="s">
        <v>909</v>
      </c>
      <c r="C16" s="274">
        <f t="shared" ref="C16:C17" si="0">SUM(D16,E16)</f>
        <v>0</v>
      </c>
      <c r="D16" s="274">
        <f t="shared" ref="D16" si="1">D17</f>
        <v>0</v>
      </c>
      <c r="E16" s="274">
        <f>E17</f>
        <v>0</v>
      </c>
      <c r="F16" s="274">
        <f t="shared" ref="F16" si="2">F17</f>
        <v>0</v>
      </c>
      <c r="G16" s="273"/>
      <c r="H16" s="108"/>
      <c r="I16" s="108"/>
      <c r="J16" s="108"/>
      <c r="K16" s="108"/>
      <c r="L16" s="108"/>
      <c r="M16" s="108"/>
      <c r="N16" s="108"/>
      <c r="O16" s="108"/>
      <c r="P16" s="108"/>
      <c r="Q16" s="108"/>
    </row>
    <row r="17" spans="1:17" ht="27" hidden="1" thickTop="1" thickBot="1" x14ac:dyDescent="0.25">
      <c r="A17" s="368">
        <v>202200</v>
      </c>
      <c r="B17" s="369" t="s">
        <v>911</v>
      </c>
      <c r="C17" s="252">
        <f t="shared" si="0"/>
        <v>0</v>
      </c>
      <c r="D17" s="252">
        <f>SUM(D18:D19)</f>
        <v>0</v>
      </c>
      <c r="E17" s="252">
        <f>SUM(E18:E19)</f>
        <v>0</v>
      </c>
      <c r="F17" s="252">
        <f>SUM(F18:F19)</f>
        <v>0</v>
      </c>
      <c r="G17" s="273"/>
      <c r="H17" s="108"/>
      <c r="I17" s="108"/>
      <c r="J17" s="108"/>
      <c r="K17" s="108"/>
      <c r="L17" s="108"/>
      <c r="M17" s="108"/>
      <c r="N17" s="108"/>
      <c r="O17" s="108"/>
      <c r="P17" s="108"/>
      <c r="Q17" s="108"/>
    </row>
    <row r="18" spans="1:17" ht="14.25" hidden="1" thickTop="1" thickBot="1" x14ac:dyDescent="0.25">
      <c r="A18" s="275">
        <v>202210</v>
      </c>
      <c r="B18" s="276" t="s">
        <v>910</v>
      </c>
      <c r="C18" s="253">
        <f>SUM(D18,E18)</f>
        <v>0</v>
      </c>
      <c r="D18" s="252"/>
      <c r="E18" s="253">
        <v>0</v>
      </c>
      <c r="F18" s="253">
        <v>0</v>
      </c>
      <c r="G18" s="273"/>
      <c r="H18" s="108"/>
      <c r="I18" s="108"/>
      <c r="J18" s="108"/>
      <c r="K18" s="108"/>
      <c r="L18" s="108"/>
      <c r="M18" s="108"/>
      <c r="N18" s="108"/>
      <c r="O18" s="108"/>
      <c r="P18" s="108"/>
      <c r="Q18" s="108"/>
    </row>
    <row r="19" spans="1:17" ht="14.25" hidden="1" thickTop="1" thickBot="1" x14ac:dyDescent="0.25">
      <c r="A19" s="275">
        <v>202220</v>
      </c>
      <c r="B19" s="276" t="s">
        <v>352</v>
      </c>
      <c r="C19" s="253">
        <f>SUM(D19,E19)</f>
        <v>0</v>
      </c>
      <c r="D19" s="252"/>
      <c r="E19" s="253">
        <v>0</v>
      </c>
      <c r="F19" s="253">
        <v>0</v>
      </c>
      <c r="G19" s="273"/>
      <c r="H19" s="108"/>
      <c r="I19" s="108"/>
      <c r="J19" s="108"/>
      <c r="K19" s="108"/>
      <c r="L19" s="108"/>
      <c r="M19" s="108"/>
      <c r="N19" s="108"/>
      <c r="O19" s="108"/>
      <c r="P19" s="108"/>
      <c r="Q19" s="108"/>
    </row>
    <row r="20" spans="1:17" ht="69" hidden="1" customHeight="1" thickTop="1" thickBot="1" x14ac:dyDescent="0.25">
      <c r="A20" s="333">
        <v>206000</v>
      </c>
      <c r="B20" s="370" t="s">
        <v>1275</v>
      </c>
      <c r="C20" s="274">
        <f>C21+C23</f>
        <v>0</v>
      </c>
      <c r="D20" s="274">
        <f t="shared" ref="D20:F20" si="3">D21+D23</f>
        <v>0</v>
      </c>
      <c r="E20" s="274">
        <f t="shared" si="3"/>
        <v>0</v>
      </c>
      <c r="F20" s="274">
        <f t="shared" si="3"/>
        <v>0</v>
      </c>
      <c r="G20" s="273"/>
      <c r="H20" s="108"/>
      <c r="I20" s="108"/>
      <c r="J20" s="108"/>
      <c r="K20" s="108"/>
      <c r="L20" s="108"/>
      <c r="M20" s="108"/>
      <c r="N20" s="108"/>
      <c r="O20" s="108"/>
      <c r="P20" s="108"/>
      <c r="Q20" s="108"/>
    </row>
    <row r="21" spans="1:17" ht="65.25" hidden="1" thickTop="1" thickBot="1" x14ac:dyDescent="0.25">
      <c r="A21" s="277">
        <v>206100</v>
      </c>
      <c r="B21" s="371" t="s">
        <v>1276</v>
      </c>
      <c r="C21" s="278">
        <f>C22</f>
        <v>0</v>
      </c>
      <c r="D21" s="278">
        <f t="shared" ref="D21" si="4">D22</f>
        <v>0</v>
      </c>
      <c r="E21" s="278">
        <f t="shared" ref="E21" si="5">E22</f>
        <v>0</v>
      </c>
      <c r="F21" s="278">
        <f t="shared" ref="F21" si="6">F22</f>
        <v>0</v>
      </c>
      <c r="G21" s="273"/>
      <c r="H21" s="108"/>
      <c r="I21" s="108"/>
      <c r="J21" s="108"/>
      <c r="K21" s="108"/>
      <c r="L21" s="108"/>
      <c r="M21" s="108"/>
      <c r="N21" s="108"/>
      <c r="O21" s="108"/>
      <c r="P21" s="108"/>
      <c r="Q21" s="108"/>
    </row>
    <row r="22" spans="1:17" ht="39.75" hidden="1" thickTop="1" thickBot="1" x14ac:dyDescent="0.25">
      <c r="A22" s="275">
        <v>206120</v>
      </c>
      <c r="B22" s="276" t="s">
        <v>1278</v>
      </c>
      <c r="C22" s="253">
        <f>D22+E22</f>
        <v>0</v>
      </c>
      <c r="D22" s="253">
        <v>0</v>
      </c>
      <c r="E22" s="253">
        <v>0</v>
      </c>
      <c r="F22" s="253">
        <v>0</v>
      </c>
      <c r="G22" s="273"/>
      <c r="H22" s="108"/>
      <c r="I22" s="108"/>
      <c r="J22" s="108"/>
      <c r="K22" s="108"/>
      <c r="L22" s="108"/>
      <c r="M22" s="108"/>
      <c r="N22" s="108"/>
      <c r="O22" s="108"/>
      <c r="P22" s="108"/>
      <c r="Q22" s="108"/>
    </row>
    <row r="23" spans="1:17" ht="52.5" hidden="1" thickTop="1" thickBot="1" x14ac:dyDescent="0.25">
      <c r="A23" s="277">
        <v>206200</v>
      </c>
      <c r="B23" s="371" t="s">
        <v>1277</v>
      </c>
      <c r="C23" s="278">
        <f>C24</f>
        <v>0</v>
      </c>
      <c r="D23" s="278">
        <f t="shared" ref="D23:F23" si="7">D24</f>
        <v>0</v>
      </c>
      <c r="E23" s="278">
        <f t="shared" si="7"/>
        <v>0</v>
      </c>
      <c r="F23" s="278">
        <f t="shared" si="7"/>
        <v>0</v>
      </c>
      <c r="G23" s="273"/>
      <c r="H23" s="108"/>
      <c r="I23" s="108"/>
      <c r="J23" s="108"/>
      <c r="K23" s="108"/>
      <c r="L23" s="108"/>
      <c r="M23" s="108"/>
      <c r="N23" s="108"/>
      <c r="O23" s="108"/>
      <c r="P23" s="108"/>
      <c r="Q23" s="108"/>
    </row>
    <row r="24" spans="1:17" ht="27" hidden="1" thickTop="1" thickBot="1" x14ac:dyDescent="0.25">
      <c r="A24" s="275">
        <v>206220</v>
      </c>
      <c r="B24" s="276" t="s">
        <v>1279</v>
      </c>
      <c r="C24" s="253">
        <f>D24+E24</f>
        <v>0</v>
      </c>
      <c r="D24" s="253">
        <v>0</v>
      </c>
      <c r="E24" s="253">
        <v>0</v>
      </c>
      <c r="F24" s="253">
        <v>0</v>
      </c>
      <c r="G24" s="273"/>
      <c r="H24" s="108"/>
      <c r="I24" s="108"/>
      <c r="J24" s="108"/>
      <c r="K24" s="108"/>
      <c r="L24" s="108"/>
      <c r="M24" s="108"/>
      <c r="N24" s="108"/>
      <c r="O24" s="108"/>
      <c r="P24" s="108"/>
      <c r="Q24" s="108"/>
    </row>
    <row r="25" spans="1:17" ht="57.75" customHeight="1" thickTop="1" thickBot="1" x14ac:dyDescent="0.25">
      <c r="A25" s="678">
        <v>208000</v>
      </c>
      <c r="B25" s="679" t="s">
        <v>913</v>
      </c>
      <c r="C25" s="680">
        <f>(C26-C27)+C30+C28</f>
        <v>0</v>
      </c>
      <c r="D25" s="680">
        <f>(D26-D27)+D30+D28</f>
        <v>-120175522.57999992</v>
      </c>
      <c r="E25" s="680">
        <f>(E26-E27)+E30+E28</f>
        <v>120175522.57999992</v>
      </c>
      <c r="F25" s="680">
        <f>(F26-F27)+F30+F28</f>
        <v>120175522.57999992</v>
      </c>
      <c r="G25" s="372">
        <f>E25-F25</f>
        <v>0</v>
      </c>
      <c r="H25" s="372">
        <f>D26-D27</f>
        <v>0</v>
      </c>
      <c r="I25" s="372">
        <f>E26-E27</f>
        <v>0</v>
      </c>
      <c r="J25" s="372">
        <f>F26-F27</f>
        <v>0</v>
      </c>
      <c r="K25" s="108"/>
      <c r="L25" s="108"/>
      <c r="M25" s="108"/>
      <c r="N25" s="108"/>
      <c r="O25" s="108"/>
      <c r="P25" s="108"/>
      <c r="Q25" s="108"/>
    </row>
    <row r="26" spans="1:17" ht="15" hidden="1" thickTop="1" thickBot="1" x14ac:dyDescent="0.25">
      <c r="A26" s="333" t="s">
        <v>117</v>
      </c>
      <c r="B26" s="334" t="s">
        <v>118</v>
      </c>
      <c r="C26" s="274">
        <f>SUM(D26,E26)</f>
        <v>0</v>
      </c>
      <c r="D26" s="274">
        <v>0</v>
      </c>
      <c r="E26" s="274">
        <v>0</v>
      </c>
      <c r="F26" s="274">
        <v>0</v>
      </c>
      <c r="G26" s="372"/>
      <c r="H26" s="108"/>
      <c r="I26" s="108"/>
      <c r="J26" s="108"/>
      <c r="K26" s="108"/>
      <c r="L26" s="108"/>
      <c r="M26" s="108"/>
      <c r="N26" s="108"/>
      <c r="O26" s="108"/>
      <c r="P26" s="108"/>
      <c r="Q26" s="108"/>
    </row>
    <row r="27" spans="1:17" ht="15" hidden="1" thickTop="1" thickBot="1" x14ac:dyDescent="0.25">
      <c r="A27" s="333">
        <v>208200</v>
      </c>
      <c r="B27" s="334" t="s">
        <v>1449</v>
      </c>
      <c r="C27" s="274">
        <f>SUM(D27,E27)</f>
        <v>0</v>
      </c>
      <c r="D27" s="274">
        <v>0</v>
      </c>
      <c r="E27" s="274">
        <v>0</v>
      </c>
      <c r="F27" s="274">
        <v>0</v>
      </c>
      <c r="G27" s="372"/>
      <c r="H27" s="108"/>
      <c r="I27" s="108"/>
      <c r="J27" s="108"/>
      <c r="K27" s="108"/>
      <c r="L27" s="108"/>
      <c r="M27" s="108"/>
      <c r="N27" s="108"/>
      <c r="O27" s="108"/>
      <c r="P27" s="108"/>
      <c r="Q27" s="108"/>
    </row>
    <row r="28" spans="1:17" ht="15" hidden="1" thickTop="1" thickBot="1" x14ac:dyDescent="0.25">
      <c r="A28" s="373">
        <v>208300</v>
      </c>
      <c r="B28" s="374" t="s">
        <v>916</v>
      </c>
      <c r="C28" s="375">
        <f>SUM(D28,E28)</f>
        <v>0</v>
      </c>
      <c r="D28" s="274">
        <f>D29</f>
        <v>0</v>
      </c>
      <c r="E28" s="274">
        <f>E29</f>
        <v>0</v>
      </c>
      <c r="F28" s="274">
        <f>F29</f>
        <v>0</v>
      </c>
      <c r="G28" s="273"/>
      <c r="H28" s="108"/>
      <c r="I28" s="108"/>
      <c r="J28" s="108"/>
      <c r="K28" s="108"/>
      <c r="L28" s="108"/>
      <c r="M28" s="108"/>
      <c r="N28" s="108"/>
      <c r="O28" s="108"/>
      <c r="P28" s="108"/>
      <c r="Q28" s="108"/>
    </row>
    <row r="29" spans="1:17" ht="52.5" hidden="1" thickTop="1" thickBot="1" x14ac:dyDescent="0.25">
      <c r="A29" s="109">
        <v>208330</v>
      </c>
      <c r="B29" s="110" t="s">
        <v>917</v>
      </c>
      <c r="C29" s="375">
        <f>SUM(D29,E29)</f>
        <v>0</v>
      </c>
      <c r="D29" s="253"/>
      <c r="E29" s="253">
        <f>-D29</f>
        <v>0</v>
      </c>
      <c r="F29" s="253">
        <f>E29</f>
        <v>0</v>
      </c>
      <c r="G29" s="273"/>
      <c r="H29" s="108"/>
      <c r="I29" s="108"/>
      <c r="J29" s="108"/>
      <c r="K29" s="108"/>
      <c r="L29" s="108"/>
      <c r="M29" s="108"/>
      <c r="N29" s="108"/>
      <c r="O29" s="108"/>
      <c r="P29" s="108"/>
      <c r="Q29" s="108"/>
    </row>
    <row r="30" spans="1:17" ht="69" customHeight="1" thickTop="1" thickBot="1" x14ac:dyDescent="0.25">
      <c r="A30" s="678">
        <v>208400</v>
      </c>
      <c r="B30" s="681" t="s">
        <v>119</v>
      </c>
      <c r="C30" s="680">
        <f>SUM(D30,E30)</f>
        <v>0</v>
      </c>
      <c r="D30" s="680">
        <f>'d3'!E460-'d1'!D159+'d4'!N29+(-D20)+(-D26-(-D27))</f>
        <v>-120175522.57999992</v>
      </c>
      <c r="E30" s="680">
        <f>-D30</f>
        <v>120175522.57999992</v>
      </c>
      <c r="F30" s="680">
        <f>E30</f>
        <v>120175522.57999992</v>
      </c>
      <c r="G30" s="675" t="b">
        <f>E30=('d3'!J460+'d4'!O29)-('d1'!E159+E31+E26-E27)</f>
        <v>1</v>
      </c>
      <c r="H30" s="108"/>
      <c r="I30" s="108"/>
      <c r="J30" s="108"/>
      <c r="K30" s="108"/>
      <c r="L30" s="108"/>
      <c r="M30" s="108"/>
      <c r="N30" s="108"/>
      <c r="O30" s="108"/>
      <c r="P30" s="108"/>
      <c r="Q30" s="108"/>
    </row>
    <row r="31" spans="1:17" ht="36.75" customHeight="1" thickTop="1" thickBot="1" x14ac:dyDescent="0.25">
      <c r="A31" s="579">
        <v>300000</v>
      </c>
      <c r="B31" s="580" t="s">
        <v>349</v>
      </c>
      <c r="C31" s="581">
        <f>C32</f>
        <v>-2996538.38</v>
      </c>
      <c r="D31" s="581">
        <f>D32</f>
        <v>0</v>
      </c>
      <c r="E31" s="581">
        <f>E32</f>
        <v>-2996538.38</v>
      </c>
      <c r="F31" s="581">
        <f>F32</f>
        <v>-2996538.38</v>
      </c>
      <c r="G31" s="107"/>
      <c r="H31" s="108"/>
      <c r="I31" s="108"/>
      <c r="J31" s="108"/>
      <c r="K31" s="108"/>
      <c r="L31" s="108"/>
      <c r="M31" s="108"/>
      <c r="N31" s="108"/>
      <c r="O31" s="108"/>
      <c r="P31" s="108"/>
      <c r="Q31" s="108"/>
    </row>
    <row r="32" spans="1:17" ht="55.5" customHeight="1" thickTop="1" thickBot="1" x14ac:dyDescent="0.25">
      <c r="A32" s="576">
        <v>301000</v>
      </c>
      <c r="B32" s="577" t="s">
        <v>350</v>
      </c>
      <c r="C32" s="578">
        <f>C33+C34</f>
        <v>-2996538.38</v>
      </c>
      <c r="D32" s="578">
        <f>D33+D34</f>
        <v>0</v>
      </c>
      <c r="E32" s="578">
        <f>E33+E34</f>
        <v>-2996538.38</v>
      </c>
      <c r="F32" s="578">
        <f>F33+F34</f>
        <v>-2996538.38</v>
      </c>
      <c r="G32" s="107"/>
      <c r="H32" s="108"/>
      <c r="I32" s="108"/>
      <c r="J32" s="108"/>
      <c r="K32" s="108"/>
      <c r="L32" s="108"/>
      <c r="M32" s="108"/>
      <c r="N32" s="108"/>
      <c r="O32" s="108"/>
      <c r="P32" s="108"/>
      <c r="Q32" s="108"/>
    </row>
    <row r="33" spans="1:17" ht="27.75" customHeight="1" thickTop="1" thickBot="1" x14ac:dyDescent="0.25">
      <c r="A33" s="573">
        <v>301100</v>
      </c>
      <c r="B33" s="574" t="s">
        <v>351</v>
      </c>
      <c r="C33" s="575">
        <f>SUM(D33,E33)</f>
        <v>0</v>
      </c>
      <c r="D33" s="575"/>
      <c r="E33" s="575">
        <v>0</v>
      </c>
      <c r="F33" s="575">
        <v>0</v>
      </c>
      <c r="G33" s="107"/>
      <c r="H33" s="108"/>
      <c r="I33" s="108"/>
      <c r="J33" s="108"/>
      <c r="K33" s="108"/>
      <c r="L33" s="108"/>
      <c r="M33" s="108"/>
      <c r="N33" s="108"/>
      <c r="O33" s="108"/>
      <c r="P33" s="108"/>
      <c r="Q33" s="108"/>
    </row>
    <row r="34" spans="1:17" ht="33.75" customHeight="1" thickTop="1" thickBot="1" x14ac:dyDescent="0.25">
      <c r="A34" s="573">
        <v>301200</v>
      </c>
      <c r="B34" s="574" t="s">
        <v>352</v>
      </c>
      <c r="C34" s="575">
        <f>SUM(D34,E34)</f>
        <v>-2996538.38</v>
      </c>
      <c r="D34" s="575"/>
      <c r="E34" s="575">
        <v>-2996538.38</v>
      </c>
      <c r="F34" s="575">
        <v>-2996538.38</v>
      </c>
      <c r="G34" s="107"/>
      <c r="H34" s="108"/>
      <c r="I34" s="108"/>
      <c r="J34" s="108"/>
      <c r="K34" s="108"/>
      <c r="L34" s="108"/>
      <c r="M34" s="108"/>
      <c r="N34" s="108"/>
      <c r="O34" s="108"/>
      <c r="P34" s="108"/>
      <c r="Q34" s="108"/>
    </row>
    <row r="35" spans="1:17" ht="24" customHeight="1" thickTop="1" thickBot="1" x14ac:dyDescent="0.25">
      <c r="A35" s="403" t="s">
        <v>374</v>
      </c>
      <c r="B35" s="404" t="s">
        <v>373</v>
      </c>
      <c r="C35" s="405">
        <f>C15+C31</f>
        <v>-2996538.38</v>
      </c>
      <c r="D35" s="405">
        <f>D15+D31</f>
        <v>-120175522.57999992</v>
      </c>
      <c r="E35" s="405">
        <f>E15+E31</f>
        <v>117178984.19999993</v>
      </c>
      <c r="F35" s="405">
        <f>F15+F31</f>
        <v>117178984.19999993</v>
      </c>
      <c r="G35" s="273">
        <f>E35-F35</f>
        <v>0</v>
      </c>
      <c r="H35" s="108"/>
      <c r="I35" s="108"/>
      <c r="J35" s="108"/>
      <c r="K35" s="108"/>
      <c r="L35" s="108"/>
      <c r="M35" s="108"/>
      <c r="N35" s="108"/>
      <c r="O35" s="108"/>
      <c r="P35" s="108"/>
      <c r="Q35" s="108"/>
    </row>
    <row r="36" spans="1:17" ht="35.450000000000003" customHeight="1" thickTop="1" thickBot="1" x14ac:dyDescent="0.25">
      <c r="A36" s="725" t="s">
        <v>375</v>
      </c>
      <c r="B36" s="725"/>
      <c r="C36" s="726"/>
      <c r="D36" s="726"/>
      <c r="E36" s="726"/>
      <c r="F36" s="726"/>
      <c r="G36" s="107"/>
      <c r="H36" s="108"/>
      <c r="I36" s="108"/>
      <c r="J36" s="108"/>
      <c r="K36" s="108"/>
      <c r="L36" s="108"/>
      <c r="M36" s="108"/>
      <c r="N36" s="108"/>
      <c r="O36" s="108"/>
      <c r="P36" s="108"/>
      <c r="Q36" s="108"/>
    </row>
    <row r="37" spans="1:17" ht="45.75" customHeight="1" thickTop="1" thickBot="1" x14ac:dyDescent="0.25">
      <c r="A37" s="579">
        <v>400000</v>
      </c>
      <c r="B37" s="580" t="s">
        <v>120</v>
      </c>
      <c r="C37" s="581">
        <f>C38+C43</f>
        <v>-2996538.38</v>
      </c>
      <c r="D37" s="581">
        <f>D38+D43</f>
        <v>0</v>
      </c>
      <c r="E37" s="581">
        <f>E38+E43</f>
        <v>-2996538.38</v>
      </c>
      <c r="F37" s="581">
        <f>F38+F43</f>
        <v>-2996538.38</v>
      </c>
      <c r="G37" s="107"/>
      <c r="H37" s="108"/>
      <c r="I37" s="108"/>
      <c r="J37" s="108"/>
      <c r="K37" s="108"/>
      <c r="L37" s="108"/>
      <c r="M37" s="108"/>
      <c r="N37" s="108"/>
      <c r="O37" s="108"/>
      <c r="P37" s="108"/>
      <c r="Q37" s="108"/>
    </row>
    <row r="38" spans="1:17" ht="15" hidden="1" thickTop="1" thickBot="1" x14ac:dyDescent="0.25">
      <c r="A38" s="333">
        <v>401000</v>
      </c>
      <c r="B38" s="334" t="s">
        <v>121</v>
      </c>
      <c r="C38" s="274">
        <f>C39+C41</f>
        <v>0</v>
      </c>
      <c r="D38" s="274">
        <f>D39+D41</f>
        <v>0</v>
      </c>
      <c r="E38" s="274">
        <f>E39+E41</f>
        <v>0</v>
      </c>
      <c r="F38" s="274">
        <f>F39+F41</f>
        <v>0</v>
      </c>
      <c r="G38" s="107"/>
      <c r="H38" s="108"/>
      <c r="I38" s="108"/>
      <c r="J38" s="108"/>
      <c r="K38" s="108"/>
      <c r="L38" s="108"/>
      <c r="M38" s="108"/>
      <c r="N38" s="108"/>
      <c r="O38" s="108"/>
      <c r="P38" s="108"/>
      <c r="Q38" s="108"/>
    </row>
    <row r="39" spans="1:17" ht="14.25" hidden="1" thickTop="1" thickBot="1" x14ac:dyDescent="0.25">
      <c r="A39" s="277">
        <v>401100</v>
      </c>
      <c r="B39" s="279" t="s">
        <v>912</v>
      </c>
      <c r="C39" s="278">
        <f>C40</f>
        <v>0</v>
      </c>
      <c r="D39" s="278">
        <f>D40</f>
        <v>0</v>
      </c>
      <c r="E39" s="278">
        <f>E40</f>
        <v>0</v>
      </c>
      <c r="F39" s="278">
        <f>F40</f>
        <v>0</v>
      </c>
      <c r="G39" s="107"/>
      <c r="H39" s="108"/>
      <c r="I39" s="108"/>
      <c r="J39" s="108"/>
      <c r="K39" s="108"/>
      <c r="L39" s="108"/>
      <c r="M39" s="108"/>
      <c r="N39" s="108"/>
      <c r="O39" s="108"/>
      <c r="P39" s="108"/>
      <c r="Q39" s="108"/>
    </row>
    <row r="40" spans="1:17" ht="27" hidden="1" thickTop="1" thickBot="1" x14ac:dyDescent="0.25">
      <c r="A40" s="275">
        <v>401101</v>
      </c>
      <c r="B40" s="276" t="s">
        <v>907</v>
      </c>
      <c r="C40" s="253">
        <f>SUM(D40,E40)</f>
        <v>0</v>
      </c>
      <c r="D40" s="252"/>
      <c r="E40" s="253">
        <v>0</v>
      </c>
      <c r="F40" s="253">
        <v>0</v>
      </c>
      <c r="G40" s="107"/>
      <c r="H40" s="108"/>
      <c r="I40" s="108"/>
      <c r="J40" s="108"/>
      <c r="K40" s="108"/>
      <c r="L40" s="108"/>
      <c r="M40" s="108"/>
      <c r="N40" s="108"/>
      <c r="O40" s="108"/>
      <c r="P40" s="108"/>
      <c r="Q40" s="108"/>
    </row>
    <row r="41" spans="1:17" s="4" customFormat="1" ht="14.25" hidden="1" thickTop="1" thickBot="1" x14ac:dyDescent="0.25">
      <c r="A41" s="277">
        <v>401200</v>
      </c>
      <c r="B41" s="279" t="s">
        <v>353</v>
      </c>
      <c r="C41" s="278">
        <f>SUM(D41,E41)</f>
        <v>0</v>
      </c>
      <c r="D41" s="278"/>
      <c r="E41" s="278">
        <f>E42</f>
        <v>0</v>
      </c>
      <c r="F41" s="278">
        <f>F42</f>
        <v>0</v>
      </c>
      <c r="G41" s="112"/>
      <c r="H41" s="113"/>
      <c r="I41" s="113"/>
      <c r="J41" s="113"/>
      <c r="K41" s="113"/>
      <c r="L41" s="113"/>
      <c r="M41" s="113"/>
      <c r="N41" s="113"/>
      <c r="O41" s="113"/>
      <c r="P41" s="113"/>
      <c r="Q41" s="113"/>
    </row>
    <row r="42" spans="1:17" ht="27" hidden="1" thickTop="1" thickBot="1" x14ac:dyDescent="0.25">
      <c r="A42" s="275">
        <v>401201</v>
      </c>
      <c r="B42" s="276" t="s">
        <v>907</v>
      </c>
      <c r="C42" s="253">
        <f>SUM(D42,E42)</f>
        <v>0</v>
      </c>
      <c r="D42" s="252"/>
      <c r="E42" s="253">
        <f>E33</f>
        <v>0</v>
      </c>
      <c r="F42" s="253">
        <f>F33</f>
        <v>0</v>
      </c>
      <c r="G42" s="107"/>
      <c r="H42" s="108"/>
      <c r="I42" s="108"/>
      <c r="J42" s="108"/>
      <c r="K42" s="108"/>
      <c r="L42" s="108"/>
      <c r="M42" s="108"/>
      <c r="N42" s="108"/>
      <c r="O42" s="108"/>
      <c r="P42" s="108"/>
      <c r="Q42" s="108"/>
    </row>
    <row r="43" spans="1:17" s="4" customFormat="1" ht="39.75" customHeight="1" thickTop="1" thickBot="1" x14ac:dyDescent="0.25">
      <c r="A43" s="576">
        <v>402000</v>
      </c>
      <c r="B43" s="577" t="s">
        <v>354</v>
      </c>
      <c r="C43" s="578">
        <f>C46+C44</f>
        <v>-2996538.38</v>
      </c>
      <c r="D43" s="578">
        <f>D46+D44</f>
        <v>0</v>
      </c>
      <c r="E43" s="578">
        <f>E46+E44</f>
        <v>-2996538.38</v>
      </c>
      <c r="F43" s="578">
        <f>F46+F44</f>
        <v>-2996538.38</v>
      </c>
      <c r="G43" s="112"/>
      <c r="H43" s="113"/>
      <c r="I43" s="113"/>
      <c r="J43" s="113"/>
      <c r="K43" s="113"/>
      <c r="L43" s="113"/>
      <c r="M43" s="113"/>
      <c r="N43" s="113"/>
      <c r="O43" s="113"/>
      <c r="P43" s="113"/>
      <c r="Q43" s="113"/>
    </row>
    <row r="44" spans="1:17" s="4" customFormat="1" ht="14.25" hidden="1" thickTop="1" thickBot="1" x14ac:dyDescent="0.25">
      <c r="A44" s="277">
        <v>402100</v>
      </c>
      <c r="B44" s="279" t="s">
        <v>954</v>
      </c>
      <c r="C44" s="278">
        <f>C45</f>
        <v>0</v>
      </c>
      <c r="D44" s="278">
        <f>D45</f>
        <v>0</v>
      </c>
      <c r="E44" s="278">
        <f>E45</f>
        <v>0</v>
      </c>
      <c r="F44" s="278">
        <f>F45</f>
        <v>0</v>
      </c>
      <c r="G44" s="112"/>
      <c r="H44" s="113"/>
      <c r="I44" s="113"/>
      <c r="J44" s="113"/>
      <c r="K44" s="113"/>
      <c r="L44" s="113"/>
      <c r="M44" s="113"/>
      <c r="N44" s="113"/>
      <c r="O44" s="113"/>
      <c r="P44" s="113"/>
      <c r="Q44" s="113"/>
    </row>
    <row r="45" spans="1:17" s="4" customFormat="1" ht="27" hidden="1" thickTop="1" thickBot="1" x14ac:dyDescent="0.25">
      <c r="A45" s="275">
        <v>402101</v>
      </c>
      <c r="B45" s="276" t="s">
        <v>907</v>
      </c>
      <c r="C45" s="253">
        <f>SUM(D45,E45)</f>
        <v>0</v>
      </c>
      <c r="D45" s="252"/>
      <c r="E45" s="253">
        <v>0</v>
      </c>
      <c r="F45" s="253">
        <v>0</v>
      </c>
      <c r="G45" s="112"/>
      <c r="H45" s="113"/>
      <c r="I45" s="113"/>
      <c r="J45" s="113"/>
      <c r="K45" s="113"/>
      <c r="L45" s="113"/>
      <c r="M45" s="113"/>
      <c r="N45" s="113"/>
      <c r="O45" s="113"/>
      <c r="P45" s="113"/>
      <c r="Q45" s="113"/>
    </row>
    <row r="46" spans="1:17" s="4" customFormat="1" ht="35.25" customHeight="1" thickTop="1" thickBot="1" x14ac:dyDescent="0.25">
      <c r="A46" s="582">
        <v>402200</v>
      </c>
      <c r="B46" s="583" t="s">
        <v>906</v>
      </c>
      <c r="C46" s="584">
        <f>SUM(C47,C48)</f>
        <v>-2996538.38</v>
      </c>
      <c r="D46" s="584"/>
      <c r="E46" s="584">
        <f>SUM(E47,E48)</f>
        <v>-2996538.38</v>
      </c>
      <c r="F46" s="584">
        <f>SUM(F47,F48)</f>
        <v>-2996538.38</v>
      </c>
      <c r="G46" s="112"/>
      <c r="H46" s="113"/>
      <c r="I46" s="113"/>
      <c r="J46" s="113"/>
      <c r="K46" s="113"/>
      <c r="L46" s="113"/>
      <c r="M46" s="113"/>
      <c r="N46" s="113"/>
      <c r="O46" s="113"/>
      <c r="P46" s="113"/>
      <c r="Q46" s="113"/>
    </row>
    <row r="47" spans="1:17" s="4" customFormat="1" ht="41.25" customHeight="1" thickTop="1" thickBot="1" x14ac:dyDescent="0.25">
      <c r="A47" s="573">
        <v>402201</v>
      </c>
      <c r="B47" s="574" t="s">
        <v>907</v>
      </c>
      <c r="C47" s="575">
        <f>SUM(D47,E47)</f>
        <v>-2996538.38</v>
      </c>
      <c r="D47" s="581"/>
      <c r="E47" s="575">
        <f>E34</f>
        <v>-2996538.38</v>
      </c>
      <c r="F47" s="575">
        <f>F34</f>
        <v>-2996538.38</v>
      </c>
      <c r="G47" s="112"/>
      <c r="H47" s="113"/>
      <c r="I47" s="113"/>
      <c r="J47" s="113"/>
      <c r="K47" s="113"/>
      <c r="L47" s="113"/>
      <c r="M47" s="113"/>
      <c r="N47" s="113"/>
      <c r="O47" s="113"/>
      <c r="P47" s="113"/>
      <c r="Q47" s="113"/>
    </row>
    <row r="48" spans="1:17" ht="27" hidden="1" thickTop="1" thickBot="1" x14ac:dyDescent="0.25">
      <c r="A48" s="109">
        <v>402202</v>
      </c>
      <c r="B48" s="110" t="s">
        <v>908</v>
      </c>
      <c r="C48" s="111">
        <f>SUM(D48,E48)</f>
        <v>0</v>
      </c>
      <c r="D48" s="252"/>
      <c r="E48" s="253">
        <v>0</v>
      </c>
      <c r="F48" s="111">
        <v>0</v>
      </c>
      <c r="G48" s="107"/>
      <c r="H48" s="108"/>
      <c r="I48" s="108"/>
      <c r="J48" s="108"/>
      <c r="K48" s="108"/>
      <c r="L48" s="108"/>
      <c r="M48" s="108"/>
      <c r="N48" s="108"/>
      <c r="O48" s="108"/>
      <c r="P48" s="108"/>
      <c r="Q48" s="108"/>
    </row>
    <row r="49" spans="1:17" ht="44.25" customHeight="1" thickTop="1" thickBot="1" x14ac:dyDescent="0.25">
      <c r="A49" s="682" t="s">
        <v>122</v>
      </c>
      <c r="B49" s="683" t="s">
        <v>123</v>
      </c>
      <c r="C49" s="676">
        <f>C55+C50</f>
        <v>0</v>
      </c>
      <c r="D49" s="676">
        <f t="shared" ref="D49:F49" si="8">D55+D50</f>
        <v>-120175522.57999992</v>
      </c>
      <c r="E49" s="676">
        <f t="shared" si="8"/>
        <v>120175522.57999992</v>
      </c>
      <c r="F49" s="676">
        <f t="shared" si="8"/>
        <v>120175522.57999992</v>
      </c>
      <c r="G49" s="107"/>
      <c r="H49" s="108"/>
      <c r="I49" s="108"/>
      <c r="J49" s="108"/>
      <c r="K49" s="108"/>
      <c r="L49" s="108"/>
      <c r="M49" s="108"/>
      <c r="N49" s="108"/>
      <c r="O49" s="108"/>
      <c r="P49" s="108"/>
      <c r="Q49" s="108"/>
    </row>
    <row r="50" spans="1:17" ht="64.5" hidden="1" customHeight="1" thickTop="1" thickBot="1" x14ac:dyDescent="0.25">
      <c r="A50" s="333">
        <v>601000</v>
      </c>
      <c r="B50" s="334" t="s">
        <v>1280</v>
      </c>
      <c r="C50" s="274">
        <f>C51+C53</f>
        <v>0</v>
      </c>
      <c r="D50" s="274">
        <f t="shared" ref="D50:F50" si="9">D51+D53</f>
        <v>0</v>
      </c>
      <c r="E50" s="274">
        <f t="shared" si="9"/>
        <v>0</v>
      </c>
      <c r="F50" s="274">
        <f t="shared" si="9"/>
        <v>0</v>
      </c>
      <c r="G50" s="107"/>
      <c r="H50" s="108"/>
      <c r="I50" s="108"/>
      <c r="J50" s="108"/>
      <c r="K50" s="108"/>
      <c r="L50" s="108"/>
      <c r="M50" s="108"/>
      <c r="N50" s="108"/>
      <c r="O50" s="108"/>
      <c r="P50" s="108"/>
      <c r="Q50" s="108"/>
    </row>
    <row r="51" spans="1:17" ht="73.5" hidden="1" customHeight="1" thickTop="1" thickBot="1" x14ac:dyDescent="0.25">
      <c r="A51" s="277">
        <v>601100</v>
      </c>
      <c r="B51" s="279" t="s">
        <v>1276</v>
      </c>
      <c r="C51" s="278">
        <f>C52</f>
        <v>0</v>
      </c>
      <c r="D51" s="278">
        <f t="shared" ref="D51:F51" si="10">D52</f>
        <v>0</v>
      </c>
      <c r="E51" s="278">
        <f t="shared" si="10"/>
        <v>0</v>
      </c>
      <c r="F51" s="278">
        <f t="shared" si="10"/>
        <v>0</v>
      </c>
      <c r="G51" s="107"/>
      <c r="H51" s="108"/>
      <c r="I51" s="108"/>
      <c r="J51" s="108"/>
      <c r="K51" s="108"/>
      <c r="L51" s="108"/>
      <c r="M51" s="108"/>
      <c r="N51" s="108"/>
      <c r="O51" s="108"/>
      <c r="P51" s="108"/>
      <c r="Q51" s="108"/>
    </row>
    <row r="52" spans="1:17" ht="39.75" hidden="1" thickTop="1" thickBot="1" x14ac:dyDescent="0.25">
      <c r="A52" s="275">
        <v>601120</v>
      </c>
      <c r="B52" s="276" t="s">
        <v>1278</v>
      </c>
      <c r="C52" s="253">
        <f>D52+E52</f>
        <v>0</v>
      </c>
      <c r="D52" s="253">
        <v>0</v>
      </c>
      <c r="E52" s="253">
        <v>0</v>
      </c>
      <c r="F52" s="253">
        <v>0</v>
      </c>
      <c r="G52" s="107"/>
      <c r="H52" s="108"/>
      <c r="I52" s="108"/>
      <c r="J52" s="108"/>
      <c r="K52" s="108"/>
      <c r="L52" s="108"/>
      <c r="M52" s="108"/>
      <c r="N52" s="108"/>
      <c r="O52" s="108"/>
      <c r="P52" s="108"/>
      <c r="Q52" s="108"/>
    </row>
    <row r="53" spans="1:17" ht="52.5" hidden="1" thickTop="1" thickBot="1" x14ac:dyDescent="0.25">
      <c r="A53" s="277">
        <v>601200</v>
      </c>
      <c r="B53" s="279" t="s">
        <v>1281</v>
      </c>
      <c r="C53" s="278">
        <f>C54</f>
        <v>0</v>
      </c>
      <c r="D53" s="278">
        <f t="shared" ref="D53" si="11">D54</f>
        <v>0</v>
      </c>
      <c r="E53" s="278">
        <f t="shared" ref="E53" si="12">E54</f>
        <v>0</v>
      </c>
      <c r="F53" s="278">
        <f t="shared" ref="F53" si="13">F54</f>
        <v>0</v>
      </c>
      <c r="G53" s="107"/>
      <c r="H53" s="108"/>
      <c r="I53" s="108"/>
      <c r="J53" s="108"/>
      <c r="K53" s="108"/>
      <c r="L53" s="108"/>
      <c r="M53" s="108"/>
      <c r="N53" s="108"/>
      <c r="O53" s="108"/>
      <c r="P53" s="108"/>
      <c r="Q53" s="108"/>
    </row>
    <row r="54" spans="1:17" ht="27" hidden="1" thickTop="1" thickBot="1" x14ac:dyDescent="0.25">
      <c r="A54" s="275">
        <v>601220</v>
      </c>
      <c r="B54" s="276" t="s">
        <v>1282</v>
      </c>
      <c r="C54" s="253">
        <f>D54+E54</f>
        <v>0</v>
      </c>
      <c r="D54" s="253">
        <v>0</v>
      </c>
      <c r="E54" s="253">
        <v>0</v>
      </c>
      <c r="F54" s="253">
        <v>0</v>
      </c>
      <c r="G54" s="107"/>
      <c r="H54" s="108"/>
      <c r="I54" s="108"/>
      <c r="J54" s="108"/>
      <c r="K54" s="108"/>
      <c r="L54" s="108"/>
      <c r="M54" s="108"/>
      <c r="N54" s="108"/>
      <c r="O54" s="108"/>
      <c r="P54" s="108"/>
      <c r="Q54" s="108"/>
    </row>
    <row r="55" spans="1:17" ht="44.25" customHeight="1" thickTop="1" thickBot="1" x14ac:dyDescent="0.25">
      <c r="A55" s="678">
        <v>602000</v>
      </c>
      <c r="B55" s="681" t="s">
        <v>914</v>
      </c>
      <c r="C55" s="680">
        <f>(C56-C57)+C60+C58</f>
        <v>0</v>
      </c>
      <c r="D55" s="680">
        <f>(D56-D57)+D60+D58</f>
        <v>-120175522.57999992</v>
      </c>
      <c r="E55" s="680">
        <f>(E56-E57)+E60+E58</f>
        <v>120175522.57999992</v>
      </c>
      <c r="F55" s="680">
        <f>(F56-F57)+F60+F58</f>
        <v>120175522.57999992</v>
      </c>
      <c r="G55" s="107"/>
      <c r="H55" s="108"/>
      <c r="I55" s="108"/>
      <c r="J55" s="108"/>
      <c r="K55" s="108"/>
      <c r="L55" s="108"/>
      <c r="M55" s="108"/>
      <c r="N55" s="108"/>
      <c r="O55" s="108"/>
      <c r="P55" s="108"/>
      <c r="Q55" s="108"/>
    </row>
    <row r="56" spans="1:17" ht="14.25" hidden="1" thickTop="1" thickBot="1" x14ac:dyDescent="0.25">
      <c r="A56" s="277">
        <v>602100</v>
      </c>
      <c r="B56" s="279" t="s">
        <v>915</v>
      </c>
      <c r="C56" s="278">
        <f>SUM(D56,E56)</f>
        <v>0</v>
      </c>
      <c r="D56" s="278">
        <f t="shared" ref="D56:F57" si="14">D26</f>
        <v>0</v>
      </c>
      <c r="E56" s="278">
        <f t="shared" si="14"/>
        <v>0</v>
      </c>
      <c r="F56" s="278">
        <f t="shared" si="14"/>
        <v>0</v>
      </c>
      <c r="G56" s="107"/>
      <c r="H56" s="108"/>
      <c r="I56" s="108"/>
      <c r="J56" s="108"/>
      <c r="K56" s="108"/>
      <c r="L56" s="108"/>
      <c r="M56" s="108"/>
      <c r="N56" s="108"/>
      <c r="O56" s="108"/>
      <c r="P56" s="108"/>
      <c r="Q56" s="108"/>
    </row>
    <row r="57" spans="1:17" ht="14.25" hidden="1" thickTop="1" thickBot="1" x14ac:dyDescent="0.25">
      <c r="A57" s="277">
        <v>602200</v>
      </c>
      <c r="B57" s="279" t="s">
        <v>1450</v>
      </c>
      <c r="C57" s="278">
        <f>SUM(D57,E57)</f>
        <v>0</v>
      </c>
      <c r="D57" s="278">
        <f t="shared" si="14"/>
        <v>0</v>
      </c>
      <c r="E57" s="278">
        <f t="shared" si="14"/>
        <v>0</v>
      </c>
      <c r="F57" s="278">
        <f t="shared" si="14"/>
        <v>0</v>
      </c>
      <c r="G57" s="107"/>
      <c r="H57" s="108"/>
      <c r="I57" s="108"/>
      <c r="J57" s="108"/>
      <c r="K57" s="108"/>
      <c r="L57" s="108"/>
      <c r="M57" s="108"/>
      <c r="N57" s="108"/>
      <c r="O57" s="108"/>
      <c r="P57" s="108"/>
      <c r="Q57" s="108"/>
    </row>
    <row r="58" spans="1:17" ht="14.25" hidden="1" thickTop="1" thickBot="1" x14ac:dyDescent="0.25">
      <c r="A58" s="277">
        <v>602300</v>
      </c>
      <c r="B58" s="279" t="s">
        <v>916</v>
      </c>
      <c r="C58" s="278">
        <f>SUM(D58,E58)</f>
        <v>0</v>
      </c>
      <c r="D58" s="278">
        <f>D59</f>
        <v>0</v>
      </c>
      <c r="E58" s="278">
        <f>E59</f>
        <v>0</v>
      </c>
      <c r="F58" s="278">
        <f>E58</f>
        <v>0</v>
      </c>
      <c r="G58" s="107"/>
      <c r="H58" s="108"/>
      <c r="I58" s="108"/>
      <c r="J58" s="108"/>
      <c r="K58" s="108"/>
      <c r="L58" s="108"/>
      <c r="M58" s="108"/>
      <c r="N58" s="108"/>
      <c r="O58" s="108"/>
      <c r="P58" s="108"/>
      <c r="Q58" s="108"/>
    </row>
    <row r="59" spans="1:17" ht="52.5" hidden="1" thickTop="1" thickBot="1" x14ac:dyDescent="0.25">
      <c r="A59" s="275">
        <v>602303</v>
      </c>
      <c r="B59" s="276" t="s">
        <v>917</v>
      </c>
      <c r="C59" s="253">
        <f>SUM(D59,E59)</f>
        <v>0</v>
      </c>
      <c r="D59" s="253"/>
      <c r="E59" s="253">
        <f>-D59</f>
        <v>0</v>
      </c>
      <c r="F59" s="253">
        <f>E59</f>
        <v>0</v>
      </c>
      <c r="G59" s="107"/>
      <c r="H59" s="108"/>
      <c r="I59" s="108"/>
      <c r="J59" s="108"/>
      <c r="K59" s="108"/>
      <c r="L59" s="108"/>
      <c r="M59" s="108"/>
      <c r="N59" s="108"/>
      <c r="O59" s="108"/>
      <c r="P59" s="108"/>
      <c r="Q59" s="108"/>
    </row>
    <row r="60" spans="1:17" ht="68.25" customHeight="1" thickTop="1" thickBot="1" x14ac:dyDescent="0.25">
      <c r="A60" s="684">
        <v>602400</v>
      </c>
      <c r="B60" s="685" t="s">
        <v>119</v>
      </c>
      <c r="C60" s="686">
        <f>SUM(D60,E60)</f>
        <v>0</v>
      </c>
      <c r="D60" s="686">
        <f>D30</f>
        <v>-120175522.57999992</v>
      </c>
      <c r="E60" s="686">
        <f>E30</f>
        <v>120175522.57999992</v>
      </c>
      <c r="F60" s="686">
        <f>F30</f>
        <v>120175522.57999992</v>
      </c>
      <c r="G60" s="107"/>
      <c r="H60" s="108"/>
      <c r="I60" s="108"/>
      <c r="J60" s="108"/>
      <c r="K60" s="108"/>
      <c r="L60" s="108"/>
      <c r="M60" s="108"/>
      <c r="N60" s="108"/>
      <c r="O60" s="108"/>
      <c r="P60" s="108"/>
      <c r="Q60" s="108"/>
    </row>
    <row r="61" spans="1:17" ht="30" customHeight="1" thickTop="1" thickBot="1" x14ac:dyDescent="0.25">
      <c r="A61" s="403" t="s">
        <v>374</v>
      </c>
      <c r="B61" s="404" t="s">
        <v>373</v>
      </c>
      <c r="C61" s="405">
        <f>C37+C49</f>
        <v>-2996538.38</v>
      </c>
      <c r="D61" s="405">
        <f>D37+D49</f>
        <v>-120175522.57999992</v>
      </c>
      <c r="E61" s="405">
        <f>E37+E49</f>
        <v>117178984.19999993</v>
      </c>
      <c r="F61" s="405">
        <f>F37+F49</f>
        <v>117178984.19999993</v>
      </c>
      <c r="G61" s="107"/>
      <c r="H61" s="108"/>
      <c r="I61" s="108"/>
      <c r="J61" s="108"/>
      <c r="K61" s="108"/>
      <c r="L61" s="108"/>
      <c r="M61" s="108"/>
      <c r="N61" s="108"/>
      <c r="O61" s="108"/>
      <c r="P61" s="108"/>
      <c r="Q61" s="108"/>
    </row>
    <row r="62" spans="1:17" ht="13.5" thickTop="1" x14ac:dyDescent="0.2">
      <c r="A62" s="114"/>
      <c r="B62" s="114"/>
      <c r="C62" s="114"/>
      <c r="D62" s="114"/>
      <c r="E62" s="114"/>
      <c r="F62" s="114"/>
      <c r="G62" s="114"/>
      <c r="H62" s="114"/>
      <c r="I62" s="114"/>
    </row>
    <row r="63" spans="1:17" ht="45.75" x14ac:dyDescent="0.65">
      <c r="A63" s="114"/>
      <c r="B63" s="713" t="s">
        <v>1447</v>
      </c>
      <c r="C63" s="713"/>
      <c r="E63" s="693" t="s">
        <v>1448</v>
      </c>
      <c r="F63" s="271"/>
      <c r="G63" s="115"/>
      <c r="H63" s="115"/>
      <c r="I63" s="115"/>
      <c r="J63" s="115"/>
      <c r="K63" s="115"/>
      <c r="L63" s="115"/>
      <c r="M63" s="115"/>
      <c r="N63" s="115"/>
      <c r="O63" s="115"/>
    </row>
    <row r="64" spans="1:17" ht="31.5" hidden="1" x14ac:dyDescent="0.25">
      <c r="A64" s="114"/>
      <c r="B64" s="406" t="s">
        <v>1254</v>
      </c>
      <c r="C64"/>
      <c r="D64"/>
      <c r="E64" s="407" t="s">
        <v>1255</v>
      </c>
      <c r="F64" s="376"/>
      <c r="G64" s="114"/>
      <c r="H64" s="114"/>
      <c r="I64" s="114"/>
    </row>
    <row r="65" spans="1:9" ht="15.75" hidden="1" x14ac:dyDescent="0.25">
      <c r="A65" s="114"/>
      <c r="B65" s="714" t="s">
        <v>1509</v>
      </c>
      <c r="C65" s="714"/>
      <c r="E65" s="271" t="s">
        <v>1508</v>
      </c>
      <c r="F65" s="376"/>
      <c r="G65" s="114"/>
      <c r="H65" s="114"/>
      <c r="I65" s="114"/>
    </row>
    <row r="66" spans="1:9" ht="13.5" customHeight="1" x14ac:dyDescent="0.25">
      <c r="A66" s="114"/>
      <c r="B66" s="377"/>
      <c r="C66" s="377"/>
      <c r="D66" s="378"/>
      <c r="E66" s="376"/>
      <c r="F66" s="376"/>
      <c r="G66" s="114"/>
      <c r="H66" s="114"/>
      <c r="I66" s="114"/>
    </row>
    <row r="67" spans="1:9" ht="15.75" customHeight="1" x14ac:dyDescent="0.25">
      <c r="B67" s="716" t="s">
        <v>506</v>
      </c>
      <c r="C67" s="703"/>
      <c r="D67" s="703"/>
      <c r="E67" s="1" t="s">
        <v>1175</v>
      </c>
      <c r="F67" s="272"/>
    </row>
  </sheetData>
  <mergeCells count="17">
    <mergeCell ref="B67:D67"/>
    <mergeCell ref="A5:F5"/>
    <mergeCell ref="A6:F6"/>
    <mergeCell ref="A8:F8"/>
    <mergeCell ref="A9:F9"/>
    <mergeCell ref="A11:A12"/>
    <mergeCell ref="B11:B12"/>
    <mergeCell ref="C11:C12"/>
    <mergeCell ref="D11:D12"/>
    <mergeCell ref="E11:F11"/>
    <mergeCell ref="A14:F14"/>
    <mergeCell ref="A36:F36"/>
    <mergeCell ref="B63:C63"/>
    <mergeCell ref="B65:C65"/>
    <mergeCell ref="E1:F1"/>
    <mergeCell ref="E2:F2"/>
    <mergeCell ref="E3:F3"/>
  </mergeCells>
  <pageMargins left="1.1811023622047245" right="0.44" top="0.39370078740157483" bottom="0.19685039370078741" header="0.39370078740157483" footer="0.15748031496062992"/>
  <pageSetup paperSize="9" scale="77"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89"/>
  <sheetViews>
    <sheetView view="pageBreakPreview" zoomScale="23" zoomScaleNormal="25" zoomScaleSheetLayoutView="23" zoomScalePageLayoutView="10" workbookViewId="0">
      <pane ySplit="14" topLeftCell="A457" activePane="bottomLeft" state="frozen"/>
      <selection activeCell="A22" sqref="A22"/>
      <selection pane="bottomLeft" activeCell="N3" sqref="N3"/>
    </sheetView>
  </sheetViews>
  <sheetFormatPr defaultColWidth="9.140625" defaultRowHeight="12.75" x14ac:dyDescent="0.2"/>
  <cols>
    <col min="1" max="1" width="48" style="16" customWidth="1"/>
    <col min="2" max="2" width="52.5703125" style="16" customWidth="1"/>
    <col min="3" max="3" width="65.7109375" style="16" customWidth="1"/>
    <col min="4" max="4" width="255.5703125" style="16" customWidth="1"/>
    <col min="5" max="5" width="89.85546875" style="55" customWidth="1"/>
    <col min="6" max="6" width="62.5703125" style="16" customWidth="1"/>
    <col min="7" max="7" width="59.7109375" style="16" customWidth="1"/>
    <col min="8" max="8" width="53.140625" style="16" customWidth="1"/>
    <col min="9" max="9" width="49.85546875" style="16" customWidth="1"/>
    <col min="10" max="10" width="56.5703125" style="55" customWidth="1"/>
    <col min="11" max="11" width="57.28515625" style="55" customWidth="1"/>
    <col min="12" max="12" width="56.140625" style="16" customWidth="1"/>
    <col min="13" max="13" width="54.85546875" style="16" customWidth="1"/>
    <col min="14" max="14" width="51" style="16" customWidth="1"/>
    <col min="15" max="15" width="56.140625" style="16" bestFit="1" customWidth="1"/>
    <col min="16" max="16" width="105.42578125" style="55" customWidth="1"/>
    <col min="17" max="17" width="52.140625" style="79" customWidth="1"/>
    <col min="18" max="18" width="33.85546875" style="18" customWidth="1"/>
    <col min="19" max="19" width="40.140625" style="19" bestFit="1" customWidth="1"/>
    <col min="20" max="20" width="43.5703125" style="19" bestFit="1" customWidth="1"/>
    <col min="21" max="16384" width="9.140625" style="19"/>
  </cols>
  <sheetData>
    <row r="1" spans="1:18" ht="45.75" x14ac:dyDescent="0.2">
      <c r="A1" s="73"/>
      <c r="B1" s="73"/>
      <c r="C1" s="73"/>
      <c r="D1" s="74"/>
      <c r="E1" s="75"/>
      <c r="F1" s="76"/>
      <c r="G1" s="75"/>
      <c r="H1" s="75"/>
      <c r="I1" s="75"/>
      <c r="J1" s="75"/>
      <c r="K1" s="75"/>
      <c r="L1" s="75"/>
      <c r="M1" s="75"/>
      <c r="N1" s="757" t="s">
        <v>481</v>
      </c>
      <c r="O1" s="758"/>
      <c r="P1" s="758"/>
      <c r="Q1" s="758"/>
    </row>
    <row r="2" spans="1:18" ht="45.75" x14ac:dyDescent="0.2">
      <c r="A2" s="74"/>
      <c r="B2" s="74"/>
      <c r="C2" s="74"/>
      <c r="D2" s="74"/>
      <c r="E2" s="75"/>
      <c r="F2" s="76"/>
      <c r="G2" s="75"/>
      <c r="H2" s="75"/>
      <c r="I2" s="75"/>
      <c r="J2" s="75"/>
      <c r="K2" s="75"/>
      <c r="L2" s="75"/>
      <c r="M2" s="75"/>
      <c r="N2" s="757" t="s">
        <v>1739</v>
      </c>
      <c r="O2" s="759"/>
      <c r="P2" s="759"/>
      <c r="Q2" s="759"/>
    </row>
    <row r="3" spans="1:18" ht="40.700000000000003" customHeight="1" x14ac:dyDescent="0.2">
      <c r="A3" s="74"/>
      <c r="B3" s="74"/>
      <c r="C3" s="74"/>
      <c r="D3" s="74"/>
      <c r="E3" s="75"/>
      <c r="F3" s="76"/>
      <c r="G3" s="75"/>
      <c r="H3" s="75"/>
      <c r="I3" s="75"/>
      <c r="J3" s="75"/>
      <c r="K3" s="75"/>
      <c r="L3" s="75"/>
      <c r="M3" s="75"/>
      <c r="N3" s="75"/>
      <c r="O3" s="757"/>
      <c r="P3" s="760"/>
      <c r="Q3" s="78"/>
    </row>
    <row r="4" spans="1:18" ht="45.75" hidden="1" x14ac:dyDescent="0.2">
      <c r="A4" s="74"/>
      <c r="B4" s="74"/>
      <c r="C4" s="74"/>
      <c r="D4" s="74"/>
      <c r="E4" s="75"/>
      <c r="F4" s="76"/>
      <c r="G4" s="75"/>
      <c r="H4" s="75"/>
      <c r="I4" s="75"/>
      <c r="J4" s="75"/>
      <c r="K4" s="75"/>
      <c r="L4" s="75"/>
      <c r="M4" s="75"/>
      <c r="N4" s="75"/>
      <c r="O4" s="74"/>
      <c r="P4" s="76"/>
      <c r="Q4" s="78"/>
    </row>
    <row r="5" spans="1:18" ht="45" x14ac:dyDescent="0.2">
      <c r="A5" s="761" t="s">
        <v>546</v>
      </c>
      <c r="B5" s="761"/>
      <c r="C5" s="761"/>
      <c r="D5" s="761"/>
      <c r="E5" s="761"/>
      <c r="F5" s="761"/>
      <c r="G5" s="761"/>
      <c r="H5" s="761"/>
      <c r="I5" s="761"/>
      <c r="J5" s="761"/>
      <c r="K5" s="761"/>
      <c r="L5" s="761"/>
      <c r="M5" s="761"/>
      <c r="N5" s="761"/>
      <c r="O5" s="761"/>
      <c r="P5" s="761"/>
      <c r="Q5" s="78"/>
    </row>
    <row r="6" spans="1:18" ht="45" x14ac:dyDescent="0.2">
      <c r="A6" s="761" t="s">
        <v>1513</v>
      </c>
      <c r="B6" s="761"/>
      <c r="C6" s="761"/>
      <c r="D6" s="761"/>
      <c r="E6" s="761"/>
      <c r="F6" s="761"/>
      <c r="G6" s="761"/>
      <c r="H6" s="761"/>
      <c r="I6" s="761"/>
      <c r="J6" s="761"/>
      <c r="K6" s="761"/>
      <c r="L6" s="761"/>
      <c r="M6" s="761"/>
      <c r="N6" s="761"/>
      <c r="O6" s="761"/>
      <c r="P6" s="761"/>
      <c r="Q6" s="78"/>
    </row>
    <row r="7" spans="1:18" ht="45" x14ac:dyDescent="0.2">
      <c r="A7" s="75"/>
      <c r="B7" s="75"/>
      <c r="C7" s="75"/>
      <c r="D7" s="75"/>
      <c r="E7" s="75"/>
      <c r="F7" s="75"/>
      <c r="G7" s="75"/>
      <c r="H7" s="75"/>
      <c r="I7" s="75"/>
      <c r="J7" s="75"/>
      <c r="K7" s="75"/>
      <c r="L7" s="75"/>
      <c r="M7" s="75"/>
      <c r="N7" s="75"/>
      <c r="O7" s="75"/>
      <c r="P7" s="75"/>
      <c r="Q7" s="78"/>
    </row>
    <row r="8" spans="1:18" ht="45.75" x14ac:dyDescent="0.65">
      <c r="A8" s="762">
        <v>2256400000</v>
      </c>
      <c r="B8" s="763"/>
      <c r="C8" s="75"/>
      <c r="D8" s="75"/>
      <c r="E8" s="75"/>
      <c r="F8" s="75"/>
      <c r="G8" s="75"/>
      <c r="H8" s="75"/>
      <c r="I8" s="75"/>
      <c r="J8" s="75"/>
      <c r="K8" s="75"/>
      <c r="L8" s="75"/>
      <c r="M8" s="75"/>
      <c r="N8" s="75"/>
      <c r="O8" s="75"/>
      <c r="P8" s="75"/>
      <c r="Q8" s="13"/>
    </row>
    <row r="9" spans="1:18" ht="45.75" x14ac:dyDescent="0.2">
      <c r="A9" s="767" t="s">
        <v>478</v>
      </c>
      <c r="B9" s="768"/>
      <c r="C9" s="75"/>
      <c r="D9" s="75"/>
      <c r="E9" s="75"/>
      <c r="F9" s="75"/>
      <c r="G9" s="75"/>
      <c r="H9" s="75"/>
      <c r="I9" s="75"/>
      <c r="J9" s="75"/>
      <c r="K9" s="75"/>
      <c r="L9" s="75"/>
      <c r="M9" s="75"/>
      <c r="N9" s="75"/>
      <c r="O9" s="75"/>
      <c r="P9" s="75"/>
      <c r="Q9" s="13"/>
    </row>
    <row r="10" spans="1:18" ht="53.45" customHeight="1" thickBot="1" x14ac:dyDescent="0.25">
      <c r="A10" s="75"/>
      <c r="B10" s="75"/>
      <c r="C10" s="75"/>
      <c r="D10" s="75"/>
      <c r="E10" s="75"/>
      <c r="F10" s="76"/>
      <c r="G10" s="75"/>
      <c r="H10" s="75"/>
      <c r="I10" s="75"/>
      <c r="J10" s="75"/>
      <c r="K10" s="75"/>
      <c r="L10" s="75"/>
      <c r="M10" s="75"/>
      <c r="N10" s="75"/>
      <c r="O10" s="75"/>
      <c r="P10" s="409" t="s">
        <v>397</v>
      </c>
      <c r="Q10" s="13"/>
    </row>
    <row r="11" spans="1:18" ht="62.45" customHeight="1" thickTop="1" thickBot="1" x14ac:dyDescent="0.25">
      <c r="A11" s="766" t="s">
        <v>479</v>
      </c>
      <c r="B11" s="766" t="s">
        <v>480</v>
      </c>
      <c r="C11" s="766" t="s">
        <v>383</v>
      </c>
      <c r="D11" s="766" t="s">
        <v>554</v>
      </c>
      <c r="E11" s="764" t="s">
        <v>12</v>
      </c>
      <c r="F11" s="764"/>
      <c r="G11" s="764"/>
      <c r="H11" s="764"/>
      <c r="I11" s="764"/>
      <c r="J11" s="764" t="s">
        <v>52</v>
      </c>
      <c r="K11" s="764"/>
      <c r="L11" s="764"/>
      <c r="M11" s="764"/>
      <c r="N11" s="764"/>
      <c r="O11" s="765"/>
      <c r="P11" s="764" t="s">
        <v>11</v>
      </c>
      <c r="Q11" s="18"/>
    </row>
    <row r="12" spans="1:18" ht="96" customHeight="1" thickTop="1" thickBot="1" x14ac:dyDescent="0.25">
      <c r="A12" s="764"/>
      <c r="B12" s="769"/>
      <c r="C12" s="769"/>
      <c r="D12" s="764"/>
      <c r="E12" s="766" t="s">
        <v>377</v>
      </c>
      <c r="F12" s="766" t="s">
        <v>53</v>
      </c>
      <c r="G12" s="766" t="s">
        <v>13</v>
      </c>
      <c r="H12" s="766"/>
      <c r="I12" s="766" t="s">
        <v>55</v>
      </c>
      <c r="J12" s="766" t="s">
        <v>377</v>
      </c>
      <c r="K12" s="766" t="s">
        <v>378</v>
      </c>
      <c r="L12" s="766" t="s">
        <v>53</v>
      </c>
      <c r="M12" s="766" t="s">
        <v>13</v>
      </c>
      <c r="N12" s="766"/>
      <c r="O12" s="766" t="s">
        <v>55</v>
      </c>
      <c r="P12" s="764"/>
      <c r="Q12" s="18"/>
    </row>
    <row r="13" spans="1:18" ht="328.7" customHeight="1" thickTop="1" thickBot="1" x14ac:dyDescent="0.25">
      <c r="A13" s="769"/>
      <c r="B13" s="769"/>
      <c r="C13" s="769"/>
      <c r="D13" s="769"/>
      <c r="E13" s="766"/>
      <c r="F13" s="766"/>
      <c r="G13" s="410" t="s">
        <v>54</v>
      </c>
      <c r="H13" s="410" t="s">
        <v>15</v>
      </c>
      <c r="I13" s="766"/>
      <c r="J13" s="766"/>
      <c r="K13" s="766"/>
      <c r="L13" s="766"/>
      <c r="M13" s="410" t="s">
        <v>54</v>
      </c>
      <c r="N13" s="410" t="s">
        <v>15</v>
      </c>
      <c r="O13" s="766"/>
      <c r="P13" s="764"/>
      <c r="Q13" s="18"/>
    </row>
    <row r="14" spans="1:18" s="22" customFormat="1" ht="47.25" thickTop="1" thickBot="1" x14ac:dyDescent="0.25">
      <c r="A14" s="242" t="s">
        <v>2</v>
      </c>
      <c r="B14" s="242" t="s">
        <v>3</v>
      </c>
      <c r="C14" s="242" t="s">
        <v>14</v>
      </c>
      <c r="D14" s="242" t="s">
        <v>5</v>
      </c>
      <c r="E14" s="242" t="s">
        <v>385</v>
      </c>
      <c r="F14" s="242" t="s">
        <v>386</v>
      </c>
      <c r="G14" s="242" t="s">
        <v>387</v>
      </c>
      <c r="H14" s="242" t="s">
        <v>388</v>
      </c>
      <c r="I14" s="242" t="s">
        <v>389</v>
      </c>
      <c r="J14" s="242" t="s">
        <v>390</v>
      </c>
      <c r="K14" s="242" t="s">
        <v>391</v>
      </c>
      <c r="L14" s="242" t="s">
        <v>392</v>
      </c>
      <c r="M14" s="242" t="s">
        <v>393</v>
      </c>
      <c r="N14" s="242" t="s">
        <v>394</v>
      </c>
      <c r="O14" s="242" t="s">
        <v>395</v>
      </c>
      <c r="P14" s="242" t="s">
        <v>396</v>
      </c>
      <c r="Q14" s="117"/>
      <c r="R14" s="21"/>
    </row>
    <row r="15" spans="1:18" s="22" customFormat="1" ht="165.75" customHeight="1" thickTop="1" thickBot="1" x14ac:dyDescent="0.25">
      <c r="A15" s="535" t="s">
        <v>145</v>
      </c>
      <c r="B15" s="535"/>
      <c r="C15" s="535"/>
      <c r="D15" s="536" t="s">
        <v>147</v>
      </c>
      <c r="E15" s="537">
        <f>E16</f>
        <v>434558776</v>
      </c>
      <c r="F15" s="538">
        <f t="shared" ref="F15:N15" si="0">F16</f>
        <v>369736770.27999997</v>
      </c>
      <c r="G15" s="538">
        <f t="shared" si="0"/>
        <v>131899923</v>
      </c>
      <c r="H15" s="538">
        <f t="shared" si="0"/>
        <v>7906600</v>
      </c>
      <c r="I15" s="538">
        <f t="shared" si="0"/>
        <v>64822005.719999999</v>
      </c>
      <c r="J15" s="537">
        <f t="shared" si="0"/>
        <v>7105000</v>
      </c>
      <c r="K15" s="538">
        <f t="shared" si="0"/>
        <v>0</v>
      </c>
      <c r="L15" s="538">
        <f t="shared" si="0"/>
        <v>6905000</v>
      </c>
      <c r="M15" s="538">
        <f t="shared" si="0"/>
        <v>0</v>
      </c>
      <c r="N15" s="538">
        <f t="shared" si="0"/>
        <v>0</v>
      </c>
      <c r="O15" s="537">
        <f>O16</f>
        <v>200000</v>
      </c>
      <c r="P15" s="538">
        <f t="shared" ref="P15" si="1">P16</f>
        <v>441663776</v>
      </c>
      <c r="Q15" s="23"/>
      <c r="R15" s="23"/>
    </row>
    <row r="16" spans="1:18" s="22" customFormat="1" ht="156" customHeight="1" thickTop="1" thickBot="1" x14ac:dyDescent="0.25">
      <c r="A16" s="532" t="s">
        <v>146</v>
      </c>
      <c r="B16" s="532"/>
      <c r="C16" s="532"/>
      <c r="D16" s="533" t="s">
        <v>148</v>
      </c>
      <c r="E16" s="534">
        <f>E17+E27+E38+E44+E22</f>
        <v>434558776</v>
      </c>
      <c r="F16" s="534">
        <f>F17+F27+F38+F44+F22</f>
        <v>369736770.27999997</v>
      </c>
      <c r="G16" s="534">
        <f>G17+G27+G38+G44+G22</f>
        <v>131899923</v>
      </c>
      <c r="H16" s="534">
        <f>H17+H27+H38+H44+H22</f>
        <v>7906600</v>
      </c>
      <c r="I16" s="534">
        <f>I17+I27+I38+I44+I22</f>
        <v>64822005.719999999</v>
      </c>
      <c r="J16" s="534">
        <f>L16+O16</f>
        <v>7105000</v>
      </c>
      <c r="K16" s="534">
        <f>K17+K27+K38+K44+K22</f>
        <v>0</v>
      </c>
      <c r="L16" s="534">
        <f>L17+L27+L38+L44+L22</f>
        <v>6905000</v>
      </c>
      <c r="M16" s="534">
        <f>M17+M27+M38+M44+M22</f>
        <v>0</v>
      </c>
      <c r="N16" s="534">
        <f>N17+N27+N38+N44+N22</f>
        <v>0</v>
      </c>
      <c r="O16" s="534">
        <f>O17+O27+O38+O44+O22</f>
        <v>200000</v>
      </c>
      <c r="P16" s="534">
        <f>E16+J16</f>
        <v>441663776</v>
      </c>
      <c r="Q16" s="619" t="b">
        <f>P16=P18+P21+P26+P29+P32+P34+P36+P37+P40+P41+P43+P46+P48</f>
        <v>1</v>
      </c>
      <c r="R16" s="24"/>
    </row>
    <row r="17" spans="1:18" s="26" customFormat="1" ht="156.75" customHeight="1" thickTop="1" thickBot="1" x14ac:dyDescent="0.25">
      <c r="A17" s="242" t="s">
        <v>657</v>
      </c>
      <c r="B17" s="242" t="s">
        <v>658</v>
      </c>
      <c r="C17" s="242"/>
      <c r="D17" s="242" t="s">
        <v>659</v>
      </c>
      <c r="E17" s="522">
        <f>SUM(E18:E21)</f>
        <v>221328019</v>
      </c>
      <c r="F17" s="522">
        <f>SUM(F18:F21)</f>
        <v>220328019</v>
      </c>
      <c r="G17" s="522">
        <f t="shared" ref="G17:P17" si="2">SUM(G18:G21)</f>
        <v>128593750</v>
      </c>
      <c r="H17" s="522">
        <f t="shared" si="2"/>
        <v>7415000</v>
      </c>
      <c r="I17" s="522">
        <f t="shared" si="2"/>
        <v>1000000</v>
      </c>
      <c r="J17" s="522">
        <f t="shared" si="2"/>
        <v>0</v>
      </c>
      <c r="K17" s="522">
        <f t="shared" si="2"/>
        <v>0</v>
      </c>
      <c r="L17" s="522">
        <f t="shared" si="2"/>
        <v>0</v>
      </c>
      <c r="M17" s="522">
        <f t="shared" si="2"/>
        <v>0</v>
      </c>
      <c r="N17" s="522">
        <f t="shared" si="2"/>
        <v>0</v>
      </c>
      <c r="O17" s="522">
        <f t="shared" si="2"/>
        <v>0</v>
      </c>
      <c r="P17" s="522">
        <f t="shared" si="2"/>
        <v>221328019</v>
      </c>
      <c r="Q17" s="29"/>
      <c r="R17" s="25"/>
    </row>
    <row r="18" spans="1:18" ht="251.25" customHeight="1" thickTop="1" thickBot="1" x14ac:dyDescent="0.25">
      <c r="A18" s="490" t="s">
        <v>229</v>
      </c>
      <c r="B18" s="490" t="s">
        <v>230</v>
      </c>
      <c r="C18" s="490" t="s">
        <v>231</v>
      </c>
      <c r="D18" s="490" t="s">
        <v>228</v>
      </c>
      <c r="E18" s="492">
        <f>F18+I18</f>
        <v>176763763</v>
      </c>
      <c r="F18" s="491">
        <f>175763763</f>
        <v>175763763</v>
      </c>
      <c r="G18" s="491">
        <v>128593750</v>
      </c>
      <c r="H18" s="491">
        <f>3000000+130000+3800000+400000+85000</f>
        <v>7415000</v>
      </c>
      <c r="I18" s="491">
        <v>1000000</v>
      </c>
      <c r="J18" s="506">
        <f t="shared" ref="J18:J34" si="3">L18+O18</f>
        <v>0</v>
      </c>
      <c r="K18" s="491"/>
      <c r="L18" s="515"/>
      <c r="M18" s="601"/>
      <c r="N18" s="601"/>
      <c r="O18" s="509">
        <f t="shared" ref="O18:O34" si="4">K18</f>
        <v>0</v>
      </c>
      <c r="P18" s="506">
        <f>+J18+E18</f>
        <v>176763763</v>
      </c>
      <c r="Q18" s="124"/>
      <c r="R18" s="27"/>
    </row>
    <row r="19" spans="1:18" ht="93" hidden="1" thickTop="1" thickBot="1" x14ac:dyDescent="0.25">
      <c r="A19" s="119" t="s">
        <v>565</v>
      </c>
      <c r="B19" s="119" t="s">
        <v>233</v>
      </c>
      <c r="C19" s="119" t="s">
        <v>231</v>
      </c>
      <c r="D19" s="119" t="s">
        <v>232</v>
      </c>
      <c r="E19" s="118"/>
      <c r="F19" s="120"/>
      <c r="G19" s="120"/>
      <c r="H19" s="120"/>
      <c r="I19" s="120"/>
      <c r="J19" s="118">
        <f t="shared" ref="J19" si="5">L19+O19</f>
        <v>0</v>
      </c>
      <c r="K19" s="120"/>
      <c r="L19" s="121"/>
      <c r="M19" s="122"/>
      <c r="N19" s="122"/>
      <c r="O19" s="123">
        <f t="shared" si="4"/>
        <v>0</v>
      </c>
      <c r="P19" s="118">
        <f>+J19+E19</f>
        <v>0</v>
      </c>
      <c r="Q19" s="124"/>
      <c r="R19" s="27"/>
    </row>
    <row r="20" spans="1:18" ht="93" hidden="1" thickTop="1" thickBot="1" x14ac:dyDescent="0.25">
      <c r="A20" s="119" t="s">
        <v>602</v>
      </c>
      <c r="B20" s="119" t="s">
        <v>355</v>
      </c>
      <c r="C20" s="119" t="s">
        <v>603</v>
      </c>
      <c r="D20" s="119" t="s">
        <v>604</v>
      </c>
      <c r="E20" s="118"/>
      <c r="F20" s="120">
        <v>0</v>
      </c>
      <c r="G20" s="120"/>
      <c r="H20" s="120"/>
      <c r="I20" s="120"/>
      <c r="J20" s="118">
        <f t="shared" ref="J20" si="6">L20+O20</f>
        <v>0</v>
      </c>
      <c r="K20" s="120"/>
      <c r="L20" s="121"/>
      <c r="M20" s="122"/>
      <c r="N20" s="122"/>
      <c r="O20" s="123">
        <f t="shared" si="4"/>
        <v>0</v>
      </c>
      <c r="P20" s="118">
        <f>+J20+E20</f>
        <v>0</v>
      </c>
      <c r="Q20" s="124"/>
      <c r="R20" s="28"/>
    </row>
    <row r="21" spans="1:18" ht="135.75" customHeight="1" thickTop="1" thickBot="1" x14ac:dyDescent="0.25">
      <c r="A21" s="94" t="s">
        <v>243</v>
      </c>
      <c r="B21" s="94" t="s">
        <v>43</v>
      </c>
      <c r="C21" s="94" t="s">
        <v>42</v>
      </c>
      <c r="D21" s="94" t="s">
        <v>244</v>
      </c>
      <c r="E21" s="492">
        <f>F21+I21</f>
        <v>44564256</v>
      </c>
      <c r="F21" s="525">
        <v>44564256</v>
      </c>
      <c r="G21" s="525"/>
      <c r="H21" s="525"/>
      <c r="I21" s="525"/>
      <c r="J21" s="522">
        <f t="shared" si="3"/>
        <v>0</v>
      </c>
      <c r="K21" s="525"/>
      <c r="L21" s="525"/>
      <c r="M21" s="525"/>
      <c r="N21" s="525"/>
      <c r="O21" s="523">
        <f t="shared" si="4"/>
        <v>0</v>
      </c>
      <c r="P21" s="522">
        <f>E21+J21</f>
        <v>44564256</v>
      </c>
      <c r="Q21" s="124"/>
      <c r="R21" s="28"/>
    </row>
    <row r="22" spans="1:18" ht="125.25" customHeight="1" thickTop="1" thickBot="1" x14ac:dyDescent="0.25">
      <c r="A22" s="242" t="s">
        <v>1348</v>
      </c>
      <c r="B22" s="242" t="s">
        <v>684</v>
      </c>
      <c r="C22" s="242"/>
      <c r="D22" s="242" t="s">
        <v>685</v>
      </c>
      <c r="E22" s="522">
        <f t="shared" ref="E22:P22" si="7">E25+E23</f>
        <v>5071246</v>
      </c>
      <c r="F22" s="522">
        <f t="shared" si="7"/>
        <v>5071246</v>
      </c>
      <c r="G22" s="522">
        <f t="shared" si="7"/>
        <v>3306173</v>
      </c>
      <c r="H22" s="522">
        <f t="shared" si="7"/>
        <v>491600</v>
      </c>
      <c r="I22" s="522">
        <f t="shared" si="7"/>
        <v>0</v>
      </c>
      <c r="J22" s="522">
        <f t="shared" si="7"/>
        <v>0</v>
      </c>
      <c r="K22" s="522">
        <f t="shared" si="7"/>
        <v>0</v>
      </c>
      <c r="L22" s="522">
        <f t="shared" si="7"/>
        <v>0</v>
      </c>
      <c r="M22" s="522">
        <f t="shared" si="7"/>
        <v>0</v>
      </c>
      <c r="N22" s="522">
        <f t="shared" si="7"/>
        <v>0</v>
      </c>
      <c r="O22" s="522">
        <f t="shared" si="7"/>
        <v>0</v>
      </c>
      <c r="P22" s="522">
        <f t="shared" si="7"/>
        <v>5071246</v>
      </c>
      <c r="Q22" s="124"/>
      <c r="R22" s="28"/>
    </row>
    <row r="23" spans="1:18" ht="79.5" hidden="1" customHeight="1" thickTop="1" thickBot="1" x14ac:dyDescent="0.25">
      <c r="A23" s="131" t="s">
        <v>1444</v>
      </c>
      <c r="B23" s="131" t="s">
        <v>708</v>
      </c>
      <c r="C23" s="131"/>
      <c r="D23" s="131" t="s">
        <v>709</v>
      </c>
      <c r="E23" s="132">
        <f>E24</f>
        <v>0</v>
      </c>
      <c r="F23" s="132">
        <f t="shared" ref="F23:P25" si="8">F24</f>
        <v>0</v>
      </c>
      <c r="G23" s="132">
        <f t="shared" si="8"/>
        <v>0</v>
      </c>
      <c r="H23" s="132">
        <f t="shared" si="8"/>
        <v>0</v>
      </c>
      <c r="I23" s="132">
        <f t="shared" si="8"/>
        <v>0</v>
      </c>
      <c r="J23" s="132">
        <f t="shared" si="8"/>
        <v>0</v>
      </c>
      <c r="K23" s="132">
        <f t="shared" si="8"/>
        <v>0</v>
      </c>
      <c r="L23" s="132">
        <f t="shared" si="8"/>
        <v>0</v>
      </c>
      <c r="M23" s="132">
        <f t="shared" si="8"/>
        <v>0</v>
      </c>
      <c r="N23" s="132">
        <f t="shared" si="8"/>
        <v>0</v>
      </c>
      <c r="O23" s="132">
        <f t="shared" si="8"/>
        <v>0</v>
      </c>
      <c r="P23" s="132">
        <f t="shared" si="8"/>
        <v>0</v>
      </c>
      <c r="Q23" s="124"/>
      <c r="R23" s="28"/>
    </row>
    <row r="24" spans="1:18" ht="172.5" hidden="1" customHeight="1" thickTop="1" thickBot="1" x14ac:dyDescent="0.25">
      <c r="A24" s="119" t="s">
        <v>1441</v>
      </c>
      <c r="B24" s="119" t="s">
        <v>1442</v>
      </c>
      <c r="C24" s="119" t="s">
        <v>202</v>
      </c>
      <c r="D24" s="282" t="s">
        <v>1443</v>
      </c>
      <c r="E24" s="118"/>
      <c r="F24" s="125"/>
      <c r="G24" s="120"/>
      <c r="H24" s="120"/>
      <c r="I24" s="125"/>
      <c r="J24" s="118">
        <f t="shared" ref="J24:J26" si="9">L24+O24</f>
        <v>0</v>
      </c>
      <c r="K24" s="125"/>
      <c r="L24" s="125"/>
      <c r="M24" s="125"/>
      <c r="N24" s="125"/>
      <c r="O24" s="123"/>
      <c r="P24" s="118">
        <f t="shared" ref="P24:P26" si="10">E24+J24</f>
        <v>0</v>
      </c>
      <c r="Q24" s="124"/>
      <c r="R24" s="28"/>
    </row>
    <row r="25" spans="1:18" ht="110.25" customHeight="1" thickTop="1" thickBot="1" x14ac:dyDescent="0.25">
      <c r="A25" s="539" t="s">
        <v>1349</v>
      </c>
      <c r="B25" s="539" t="s">
        <v>711</v>
      </c>
      <c r="C25" s="539"/>
      <c r="D25" s="539" t="s">
        <v>1561</v>
      </c>
      <c r="E25" s="540">
        <f>E26</f>
        <v>5071246</v>
      </c>
      <c r="F25" s="540">
        <f t="shared" si="8"/>
        <v>5071246</v>
      </c>
      <c r="G25" s="540">
        <f t="shared" si="8"/>
        <v>3306173</v>
      </c>
      <c r="H25" s="540">
        <f t="shared" si="8"/>
        <v>491600</v>
      </c>
      <c r="I25" s="540">
        <f t="shared" si="8"/>
        <v>0</v>
      </c>
      <c r="J25" s="540">
        <f t="shared" si="8"/>
        <v>0</v>
      </c>
      <c r="K25" s="540">
        <f t="shared" si="8"/>
        <v>0</v>
      </c>
      <c r="L25" s="540">
        <f t="shared" si="8"/>
        <v>0</v>
      </c>
      <c r="M25" s="540">
        <f t="shared" si="8"/>
        <v>0</v>
      </c>
      <c r="N25" s="540">
        <f t="shared" si="8"/>
        <v>0</v>
      </c>
      <c r="O25" s="540">
        <f t="shared" si="8"/>
        <v>0</v>
      </c>
      <c r="P25" s="540">
        <f t="shared" si="8"/>
        <v>5071246</v>
      </c>
      <c r="Q25" s="124"/>
      <c r="R25" s="28"/>
    </row>
    <row r="26" spans="1:18" ht="171.75" customHeight="1" thickTop="1" thickBot="1" x14ac:dyDescent="0.25">
      <c r="A26" s="94" t="s">
        <v>1350</v>
      </c>
      <c r="B26" s="94" t="s">
        <v>324</v>
      </c>
      <c r="C26" s="94" t="s">
        <v>188</v>
      </c>
      <c r="D26" s="528" t="s">
        <v>1422</v>
      </c>
      <c r="E26" s="492">
        <f>F26+I26</f>
        <v>5071246</v>
      </c>
      <c r="F26" s="525">
        <v>5071246</v>
      </c>
      <c r="G26" s="541">
        <v>3306173</v>
      </c>
      <c r="H26" s="541">
        <v>491600</v>
      </c>
      <c r="I26" s="525"/>
      <c r="J26" s="522">
        <f t="shared" si="9"/>
        <v>0</v>
      </c>
      <c r="K26" s="525"/>
      <c r="L26" s="525"/>
      <c r="M26" s="525"/>
      <c r="N26" s="525"/>
      <c r="O26" s="523">
        <f>(K26)</f>
        <v>0</v>
      </c>
      <c r="P26" s="522">
        <f t="shared" si="10"/>
        <v>5071246</v>
      </c>
      <c r="Q26" s="124"/>
      <c r="R26" s="28"/>
    </row>
    <row r="27" spans="1:18" s="26" customFormat="1" ht="113.25" customHeight="1" thickTop="1" thickBot="1" x14ac:dyDescent="0.3">
      <c r="A27" s="242" t="s">
        <v>718</v>
      </c>
      <c r="B27" s="242" t="s">
        <v>719</v>
      </c>
      <c r="C27" s="242"/>
      <c r="D27" s="242" t="s">
        <v>720</v>
      </c>
      <c r="E27" s="522">
        <f t="shared" ref="E27:P27" si="11">SUM(E28:E37)-E28-E31-E35</f>
        <v>16633570</v>
      </c>
      <c r="F27" s="522">
        <f t="shared" si="11"/>
        <v>12633570</v>
      </c>
      <c r="G27" s="522">
        <f t="shared" si="11"/>
        <v>0</v>
      </c>
      <c r="H27" s="522">
        <f t="shared" si="11"/>
        <v>0</v>
      </c>
      <c r="I27" s="522">
        <f t="shared" si="11"/>
        <v>4000000</v>
      </c>
      <c r="J27" s="522">
        <f t="shared" si="11"/>
        <v>7105000</v>
      </c>
      <c r="K27" s="522">
        <f t="shared" si="11"/>
        <v>0</v>
      </c>
      <c r="L27" s="522">
        <f t="shared" si="11"/>
        <v>6905000</v>
      </c>
      <c r="M27" s="522">
        <f t="shared" si="11"/>
        <v>0</v>
      </c>
      <c r="N27" s="522">
        <f t="shared" si="11"/>
        <v>0</v>
      </c>
      <c r="O27" s="522">
        <f t="shared" si="11"/>
        <v>200000</v>
      </c>
      <c r="P27" s="522">
        <f t="shared" si="11"/>
        <v>23738570</v>
      </c>
      <c r="Q27" s="126"/>
      <c r="R27" s="29"/>
    </row>
    <row r="28" spans="1:18" s="31" customFormat="1" ht="125.25" customHeight="1" thickTop="1" thickBot="1" x14ac:dyDescent="0.25">
      <c r="A28" s="529" t="s">
        <v>660</v>
      </c>
      <c r="B28" s="529" t="s">
        <v>661</v>
      </c>
      <c r="C28" s="529"/>
      <c r="D28" s="529" t="s">
        <v>662</v>
      </c>
      <c r="E28" s="545">
        <f t="shared" ref="E28:P28" si="12">SUM(E29:E30)</f>
        <v>11460060</v>
      </c>
      <c r="F28" s="545">
        <f t="shared" si="12"/>
        <v>7460060</v>
      </c>
      <c r="G28" s="545">
        <f t="shared" si="12"/>
        <v>0</v>
      </c>
      <c r="H28" s="545">
        <f t="shared" si="12"/>
        <v>0</v>
      </c>
      <c r="I28" s="545">
        <f t="shared" si="12"/>
        <v>4000000</v>
      </c>
      <c r="J28" s="545">
        <f t="shared" si="12"/>
        <v>0</v>
      </c>
      <c r="K28" s="545">
        <f t="shared" si="12"/>
        <v>0</v>
      </c>
      <c r="L28" s="545">
        <f t="shared" si="12"/>
        <v>0</v>
      </c>
      <c r="M28" s="545">
        <f t="shared" si="12"/>
        <v>0</v>
      </c>
      <c r="N28" s="545">
        <f t="shared" si="12"/>
        <v>0</v>
      </c>
      <c r="O28" s="545">
        <f t="shared" si="12"/>
        <v>0</v>
      </c>
      <c r="P28" s="545">
        <f t="shared" si="12"/>
        <v>11460060</v>
      </c>
      <c r="Q28" s="129"/>
      <c r="R28" s="30"/>
    </row>
    <row r="29" spans="1:18" ht="132" customHeight="1" thickTop="1" thickBot="1" x14ac:dyDescent="0.25">
      <c r="A29" s="94" t="s">
        <v>235</v>
      </c>
      <c r="B29" s="94" t="s">
        <v>236</v>
      </c>
      <c r="C29" s="94" t="s">
        <v>237</v>
      </c>
      <c r="D29" s="94" t="s">
        <v>234</v>
      </c>
      <c r="E29" s="542">
        <f>F29+I29</f>
        <v>11460060</v>
      </c>
      <c r="F29" s="525">
        <v>7460060</v>
      </c>
      <c r="G29" s="525"/>
      <c r="H29" s="525"/>
      <c r="I29" s="525">
        <v>4000000</v>
      </c>
      <c r="J29" s="522">
        <f t="shared" si="3"/>
        <v>0</v>
      </c>
      <c r="K29" s="525"/>
      <c r="L29" s="525"/>
      <c r="M29" s="525"/>
      <c r="N29" s="525"/>
      <c r="O29" s="523">
        <f t="shared" si="4"/>
        <v>0</v>
      </c>
      <c r="P29" s="522">
        <f>+J29+E29</f>
        <v>11460060</v>
      </c>
      <c r="Q29" s="124"/>
      <c r="R29" s="27"/>
    </row>
    <row r="30" spans="1:18" ht="93" hidden="1" thickTop="1" thickBot="1" x14ac:dyDescent="0.25">
      <c r="A30" s="39" t="s">
        <v>920</v>
      </c>
      <c r="B30" s="39" t="s">
        <v>921</v>
      </c>
      <c r="C30" s="39" t="s">
        <v>237</v>
      </c>
      <c r="D30" s="39" t="s">
        <v>922</v>
      </c>
      <c r="E30" s="118">
        <f t="shared" ref="E30" si="13">F30</f>
        <v>0</v>
      </c>
      <c r="F30" s="125">
        <v>0</v>
      </c>
      <c r="G30" s="125"/>
      <c r="H30" s="125"/>
      <c r="I30" s="125"/>
      <c r="J30" s="118">
        <f t="shared" si="3"/>
        <v>0</v>
      </c>
      <c r="K30" s="41"/>
      <c r="L30" s="41"/>
      <c r="M30" s="41"/>
      <c r="N30" s="41"/>
      <c r="O30" s="42"/>
      <c r="P30" s="40">
        <f>+J30+E30</f>
        <v>0</v>
      </c>
      <c r="Q30" s="124"/>
      <c r="R30" s="27"/>
    </row>
    <row r="31" spans="1:18" ht="122.25" customHeight="1" thickTop="1" thickBot="1" x14ac:dyDescent="0.25">
      <c r="A31" s="529" t="s">
        <v>664</v>
      </c>
      <c r="B31" s="529" t="s">
        <v>665</v>
      </c>
      <c r="C31" s="529"/>
      <c r="D31" s="529" t="s">
        <v>663</v>
      </c>
      <c r="E31" s="545">
        <f>SUM(E34)+E35+E33+E32</f>
        <v>5173510</v>
      </c>
      <c r="F31" s="545">
        <f t="shared" ref="F31:P31" si="14">SUM(F34)+F35+F33+F32</f>
        <v>5173510</v>
      </c>
      <c r="G31" s="545">
        <f t="shared" si="14"/>
        <v>0</v>
      </c>
      <c r="H31" s="545">
        <f t="shared" si="14"/>
        <v>0</v>
      </c>
      <c r="I31" s="545">
        <f t="shared" si="14"/>
        <v>0</v>
      </c>
      <c r="J31" s="545">
        <f t="shared" si="14"/>
        <v>7105000</v>
      </c>
      <c r="K31" s="545">
        <f t="shared" si="14"/>
        <v>0</v>
      </c>
      <c r="L31" s="545">
        <f t="shared" si="14"/>
        <v>6905000</v>
      </c>
      <c r="M31" s="545">
        <f t="shared" si="14"/>
        <v>0</v>
      </c>
      <c r="N31" s="545">
        <f t="shared" si="14"/>
        <v>0</v>
      </c>
      <c r="O31" s="545">
        <f t="shared" si="14"/>
        <v>200000</v>
      </c>
      <c r="P31" s="545">
        <f t="shared" si="14"/>
        <v>12278510</v>
      </c>
      <c r="Q31" s="130"/>
      <c r="R31" s="32"/>
    </row>
    <row r="32" spans="1:18" ht="113.25" customHeight="1" thickTop="1" thickBot="1" x14ac:dyDescent="0.25">
      <c r="A32" s="94" t="s">
        <v>1498</v>
      </c>
      <c r="B32" s="94" t="s">
        <v>250</v>
      </c>
      <c r="C32" s="94" t="s">
        <v>210</v>
      </c>
      <c r="D32" s="94" t="s">
        <v>249</v>
      </c>
      <c r="E32" s="542">
        <f>F32+I32</f>
        <v>1087440</v>
      </c>
      <c r="F32" s="525">
        <v>1087440</v>
      </c>
      <c r="G32" s="125"/>
      <c r="H32" s="125"/>
      <c r="I32" s="125"/>
      <c r="J32" s="522">
        <f t="shared" ref="J32" si="15">L32+O32</f>
        <v>0</v>
      </c>
      <c r="K32" s="125"/>
      <c r="L32" s="125"/>
      <c r="M32" s="125"/>
      <c r="N32" s="125"/>
      <c r="O32" s="523">
        <f>K32</f>
        <v>0</v>
      </c>
      <c r="P32" s="522">
        <f t="shared" ref="P32" si="16">E32+J32</f>
        <v>1087440</v>
      </c>
      <c r="Q32" s="130"/>
      <c r="R32" s="32"/>
    </row>
    <row r="33" spans="1:18" ht="48" hidden="1" thickTop="1" thickBot="1" x14ac:dyDescent="0.25">
      <c r="A33" s="119" t="s">
        <v>1224</v>
      </c>
      <c r="B33" s="119" t="s">
        <v>209</v>
      </c>
      <c r="C33" s="119" t="s">
        <v>210</v>
      </c>
      <c r="D33" s="119" t="s">
        <v>41</v>
      </c>
      <c r="E33" s="118"/>
      <c r="F33" s="125"/>
      <c r="G33" s="125"/>
      <c r="H33" s="125"/>
      <c r="I33" s="125"/>
      <c r="J33" s="118">
        <f t="shared" si="3"/>
        <v>0</v>
      </c>
      <c r="K33" s="125"/>
      <c r="L33" s="125"/>
      <c r="M33" s="125"/>
      <c r="N33" s="125"/>
      <c r="O33" s="123">
        <f t="shared" si="4"/>
        <v>0</v>
      </c>
      <c r="P33" s="118">
        <f>+J33+E33</f>
        <v>0</v>
      </c>
      <c r="Q33" s="130"/>
      <c r="R33" s="32"/>
    </row>
    <row r="34" spans="1:18" ht="111" customHeight="1" thickTop="1" thickBot="1" x14ac:dyDescent="0.25">
      <c r="A34" s="94" t="s">
        <v>295</v>
      </c>
      <c r="B34" s="94" t="s">
        <v>296</v>
      </c>
      <c r="C34" s="94" t="s">
        <v>167</v>
      </c>
      <c r="D34" s="94" t="s">
        <v>434</v>
      </c>
      <c r="E34" s="542">
        <f>F34+I34</f>
        <v>532970</v>
      </c>
      <c r="F34" s="525">
        <v>532970</v>
      </c>
      <c r="G34" s="125"/>
      <c r="H34" s="125"/>
      <c r="I34" s="125"/>
      <c r="J34" s="522">
        <f t="shared" si="3"/>
        <v>0</v>
      </c>
      <c r="K34" s="125"/>
      <c r="L34" s="125"/>
      <c r="M34" s="125"/>
      <c r="N34" s="125"/>
      <c r="O34" s="523">
        <f t="shared" si="4"/>
        <v>0</v>
      </c>
      <c r="P34" s="522">
        <f>+J34+E34</f>
        <v>532970</v>
      </c>
      <c r="Q34" s="124"/>
      <c r="R34" s="28"/>
    </row>
    <row r="35" spans="1:18" ht="126" customHeight="1" thickTop="1" thickBot="1" x14ac:dyDescent="0.25">
      <c r="A35" s="539" t="s">
        <v>667</v>
      </c>
      <c r="B35" s="539" t="s">
        <v>668</v>
      </c>
      <c r="C35" s="539"/>
      <c r="D35" s="604" t="s">
        <v>666</v>
      </c>
      <c r="E35" s="540">
        <f t="shared" ref="E35:O35" si="17">SUM(E36:E37)</f>
        <v>3553100</v>
      </c>
      <c r="F35" s="540">
        <f t="shared" si="17"/>
        <v>3553100</v>
      </c>
      <c r="G35" s="540">
        <f t="shared" si="17"/>
        <v>0</v>
      </c>
      <c r="H35" s="540">
        <f t="shared" si="17"/>
        <v>0</v>
      </c>
      <c r="I35" s="540">
        <f t="shared" si="17"/>
        <v>0</v>
      </c>
      <c r="J35" s="540">
        <f t="shared" si="17"/>
        <v>7105000</v>
      </c>
      <c r="K35" s="540">
        <f t="shared" si="17"/>
        <v>0</v>
      </c>
      <c r="L35" s="540">
        <f t="shared" si="17"/>
        <v>6905000</v>
      </c>
      <c r="M35" s="540">
        <f t="shared" si="17"/>
        <v>0</v>
      </c>
      <c r="N35" s="540">
        <f t="shared" si="17"/>
        <v>0</v>
      </c>
      <c r="O35" s="540">
        <f t="shared" si="17"/>
        <v>200000</v>
      </c>
      <c r="P35" s="540">
        <f>E35+J35</f>
        <v>10658100</v>
      </c>
      <c r="Q35" s="130"/>
      <c r="R35" s="33"/>
    </row>
    <row r="36" spans="1:18" s="31" customFormat="1" ht="360" customHeight="1" thickTop="1" thickBot="1" x14ac:dyDescent="0.25">
      <c r="A36" s="94" t="s">
        <v>333</v>
      </c>
      <c r="B36" s="94" t="s">
        <v>332</v>
      </c>
      <c r="C36" s="94" t="s">
        <v>167</v>
      </c>
      <c r="D36" s="603" t="s">
        <v>1491</v>
      </c>
      <c r="E36" s="118"/>
      <c r="F36" s="210"/>
      <c r="G36" s="210"/>
      <c r="H36" s="210"/>
      <c r="I36" s="210"/>
      <c r="J36" s="606">
        <f>L36+O36</f>
        <v>7105000</v>
      </c>
      <c r="K36" s="210"/>
      <c r="L36" s="546">
        <f>7105000-200000</f>
        <v>6905000</v>
      </c>
      <c r="M36" s="210"/>
      <c r="N36" s="210"/>
      <c r="O36" s="605">
        <v>200000</v>
      </c>
      <c r="P36" s="607">
        <f>E36+J36</f>
        <v>7105000</v>
      </c>
      <c r="Q36" s="133"/>
      <c r="R36" s="34"/>
    </row>
    <row r="37" spans="1:18" s="31" customFormat="1" ht="120" customHeight="1" thickTop="1" thickBot="1" x14ac:dyDescent="0.25">
      <c r="A37" s="94" t="s">
        <v>876</v>
      </c>
      <c r="B37" s="94" t="s">
        <v>253</v>
      </c>
      <c r="C37" s="94" t="s">
        <v>167</v>
      </c>
      <c r="D37" s="94" t="s">
        <v>251</v>
      </c>
      <c r="E37" s="492">
        <f>F37+I37</f>
        <v>3553100</v>
      </c>
      <c r="F37" s="525">
        <v>3553100</v>
      </c>
      <c r="G37" s="525"/>
      <c r="H37" s="525"/>
      <c r="I37" s="525"/>
      <c r="J37" s="522">
        <f>L37+O37</f>
        <v>0</v>
      </c>
      <c r="K37" s="525"/>
      <c r="L37" s="525"/>
      <c r="M37" s="525"/>
      <c r="N37" s="525"/>
      <c r="O37" s="523"/>
      <c r="P37" s="522">
        <f>E37+J37</f>
        <v>3553100</v>
      </c>
      <c r="Q37" s="34"/>
      <c r="R37" s="34"/>
    </row>
    <row r="38" spans="1:18" s="31" customFormat="1" ht="99.75" customHeight="1" thickTop="1" thickBot="1" x14ac:dyDescent="0.25">
      <c r="A38" s="242" t="s">
        <v>669</v>
      </c>
      <c r="B38" s="242" t="s">
        <v>670</v>
      </c>
      <c r="C38" s="242"/>
      <c r="D38" s="242" t="s">
        <v>671</v>
      </c>
      <c r="E38" s="522">
        <f t="shared" ref="E38:P38" si="18">E42+E39</f>
        <v>67366141</v>
      </c>
      <c r="F38" s="522">
        <f t="shared" si="18"/>
        <v>67366141</v>
      </c>
      <c r="G38" s="522">
        <f t="shared" si="18"/>
        <v>0</v>
      </c>
      <c r="H38" s="522">
        <f t="shared" si="18"/>
        <v>0</v>
      </c>
      <c r="I38" s="522">
        <f t="shared" si="18"/>
        <v>0</v>
      </c>
      <c r="J38" s="522">
        <f t="shared" si="18"/>
        <v>0</v>
      </c>
      <c r="K38" s="522">
        <f t="shared" si="18"/>
        <v>0</v>
      </c>
      <c r="L38" s="522">
        <f t="shared" si="18"/>
        <v>0</v>
      </c>
      <c r="M38" s="522">
        <f t="shared" si="18"/>
        <v>0</v>
      </c>
      <c r="N38" s="522">
        <f t="shared" si="18"/>
        <v>0</v>
      </c>
      <c r="O38" s="522">
        <f t="shared" si="18"/>
        <v>0</v>
      </c>
      <c r="P38" s="522">
        <f t="shared" si="18"/>
        <v>67366141</v>
      </c>
      <c r="Q38" s="34"/>
      <c r="R38" s="34"/>
    </row>
    <row r="39" spans="1:18" s="31" customFormat="1" ht="107.25" customHeight="1" thickTop="1" thickBot="1" x14ac:dyDescent="0.25">
      <c r="A39" s="529" t="s">
        <v>1071</v>
      </c>
      <c r="B39" s="529" t="s">
        <v>1072</v>
      </c>
      <c r="C39" s="529"/>
      <c r="D39" s="529" t="s">
        <v>1070</v>
      </c>
      <c r="E39" s="545">
        <f t="shared" ref="E39:P39" si="19">SUM(E40:E41)</f>
        <v>55097363</v>
      </c>
      <c r="F39" s="545">
        <f t="shared" si="19"/>
        <v>55097363</v>
      </c>
      <c r="G39" s="545">
        <f t="shared" si="19"/>
        <v>0</v>
      </c>
      <c r="H39" s="545">
        <f t="shared" si="19"/>
        <v>0</v>
      </c>
      <c r="I39" s="545">
        <f t="shared" si="19"/>
        <v>0</v>
      </c>
      <c r="J39" s="545">
        <f t="shared" si="19"/>
        <v>0</v>
      </c>
      <c r="K39" s="545">
        <f t="shared" si="19"/>
        <v>0</v>
      </c>
      <c r="L39" s="545">
        <f t="shared" si="19"/>
        <v>0</v>
      </c>
      <c r="M39" s="545">
        <f t="shared" si="19"/>
        <v>0</v>
      </c>
      <c r="N39" s="545">
        <f t="shared" si="19"/>
        <v>0</v>
      </c>
      <c r="O39" s="545">
        <f t="shared" si="19"/>
        <v>0</v>
      </c>
      <c r="P39" s="545">
        <f t="shared" si="19"/>
        <v>55097363</v>
      </c>
      <c r="Q39" s="34"/>
      <c r="R39" s="34"/>
    </row>
    <row r="40" spans="1:18" s="31" customFormat="1" ht="104.25" customHeight="1" thickTop="1" thickBot="1" x14ac:dyDescent="0.25">
      <c r="A40" s="94" t="s">
        <v>1098</v>
      </c>
      <c r="B40" s="94" t="s">
        <v>1099</v>
      </c>
      <c r="C40" s="94" t="s">
        <v>1074</v>
      </c>
      <c r="D40" s="94" t="s">
        <v>1100</v>
      </c>
      <c r="E40" s="492">
        <f>F40+I40</f>
        <v>47000000</v>
      </c>
      <c r="F40" s="525">
        <v>47000000</v>
      </c>
      <c r="G40" s="525"/>
      <c r="H40" s="525"/>
      <c r="I40" s="525"/>
      <c r="J40" s="522">
        <f>L40+O40</f>
        <v>0</v>
      </c>
      <c r="K40" s="525"/>
      <c r="L40" s="525"/>
      <c r="M40" s="525"/>
      <c r="N40" s="525"/>
      <c r="O40" s="523">
        <f>K40</f>
        <v>0</v>
      </c>
      <c r="P40" s="522">
        <f>E40+J40</f>
        <v>47000000</v>
      </c>
      <c r="Q40" s="34"/>
      <c r="R40" s="34"/>
    </row>
    <row r="41" spans="1:18" s="31" customFormat="1" ht="116.25" customHeight="1" thickTop="1" thickBot="1" x14ac:dyDescent="0.25">
      <c r="A41" s="94" t="s">
        <v>1075</v>
      </c>
      <c r="B41" s="94" t="s">
        <v>1076</v>
      </c>
      <c r="C41" s="94" t="s">
        <v>1074</v>
      </c>
      <c r="D41" s="94" t="s">
        <v>1073</v>
      </c>
      <c r="E41" s="492">
        <f>F41+I41</f>
        <v>8097363</v>
      </c>
      <c r="F41" s="525">
        <f>7477363+620000</f>
        <v>8097363</v>
      </c>
      <c r="G41" s="525"/>
      <c r="H41" s="525"/>
      <c r="I41" s="525"/>
      <c r="J41" s="522">
        <f>L41+O41</f>
        <v>0</v>
      </c>
      <c r="K41" s="525"/>
      <c r="L41" s="525"/>
      <c r="M41" s="525"/>
      <c r="N41" s="525"/>
      <c r="O41" s="523">
        <f>K41</f>
        <v>0</v>
      </c>
      <c r="P41" s="522">
        <f>E41+J41</f>
        <v>8097363</v>
      </c>
      <c r="Q41" s="34"/>
      <c r="R41" s="34"/>
    </row>
    <row r="42" spans="1:18" s="31" customFormat="1" ht="116.25" customHeight="1" thickTop="1" thickBot="1" x14ac:dyDescent="0.25">
      <c r="A42" s="517" t="s">
        <v>672</v>
      </c>
      <c r="B42" s="517" t="s">
        <v>673</v>
      </c>
      <c r="C42" s="517"/>
      <c r="D42" s="517" t="s">
        <v>1613</v>
      </c>
      <c r="E42" s="516">
        <f>SUM(E43)</f>
        <v>12268778</v>
      </c>
      <c r="F42" s="516">
        <f t="shared" ref="F42:P42" si="20">SUM(F43)</f>
        <v>12268778</v>
      </c>
      <c r="G42" s="516">
        <f t="shared" si="20"/>
        <v>0</v>
      </c>
      <c r="H42" s="516">
        <f t="shared" si="20"/>
        <v>0</v>
      </c>
      <c r="I42" s="516">
        <f t="shared" si="20"/>
        <v>0</v>
      </c>
      <c r="J42" s="516">
        <f t="shared" si="20"/>
        <v>0</v>
      </c>
      <c r="K42" s="516">
        <f t="shared" si="20"/>
        <v>0</v>
      </c>
      <c r="L42" s="516">
        <f t="shared" si="20"/>
        <v>0</v>
      </c>
      <c r="M42" s="516">
        <f t="shared" si="20"/>
        <v>0</v>
      </c>
      <c r="N42" s="516">
        <f t="shared" si="20"/>
        <v>0</v>
      </c>
      <c r="O42" s="516">
        <f t="shared" si="20"/>
        <v>0</v>
      </c>
      <c r="P42" s="516">
        <f t="shared" si="20"/>
        <v>12268778</v>
      </c>
      <c r="Q42" s="34"/>
    </row>
    <row r="43" spans="1:18" ht="123" customHeight="1" thickTop="1" thickBot="1" x14ac:dyDescent="0.25">
      <c r="A43" s="490" t="s">
        <v>238</v>
      </c>
      <c r="B43" s="490" t="s">
        <v>239</v>
      </c>
      <c r="C43" s="490" t="s">
        <v>240</v>
      </c>
      <c r="D43" s="490" t="s">
        <v>1395</v>
      </c>
      <c r="E43" s="492">
        <f>F43+I43</f>
        <v>12268778</v>
      </c>
      <c r="F43" s="508">
        <v>12268778</v>
      </c>
      <c r="G43" s="508"/>
      <c r="H43" s="508"/>
      <c r="I43" s="508"/>
      <c r="J43" s="506">
        <f>L43+O43</f>
        <v>0</v>
      </c>
      <c r="K43" s="508"/>
      <c r="L43" s="508"/>
      <c r="M43" s="508"/>
      <c r="N43" s="508"/>
      <c r="O43" s="509">
        <f>K43</f>
        <v>0</v>
      </c>
      <c r="P43" s="506">
        <f>E43+J43</f>
        <v>12268778</v>
      </c>
      <c r="Q43" s="18"/>
    </row>
    <row r="44" spans="1:18" ht="119.25" customHeight="1" thickTop="1" thickBot="1" x14ac:dyDescent="0.25">
      <c r="A44" s="242" t="s">
        <v>674</v>
      </c>
      <c r="B44" s="242" t="s">
        <v>675</v>
      </c>
      <c r="C44" s="242"/>
      <c r="D44" s="242" t="s">
        <v>676</v>
      </c>
      <c r="E44" s="522">
        <f>E45+E48</f>
        <v>124159800</v>
      </c>
      <c r="F44" s="522">
        <f t="shared" ref="F44:P44" si="21">F45+F48</f>
        <v>64337794.280000001</v>
      </c>
      <c r="G44" s="522">
        <f t="shared" si="21"/>
        <v>0</v>
      </c>
      <c r="H44" s="522">
        <f t="shared" si="21"/>
        <v>0</v>
      </c>
      <c r="I44" s="522">
        <f t="shared" si="21"/>
        <v>59822005.719999999</v>
      </c>
      <c r="J44" s="522">
        <f t="shared" si="21"/>
        <v>0</v>
      </c>
      <c r="K44" s="522">
        <f t="shared" si="21"/>
        <v>0</v>
      </c>
      <c r="L44" s="522">
        <f t="shared" si="21"/>
        <v>0</v>
      </c>
      <c r="M44" s="522">
        <f t="shared" si="21"/>
        <v>0</v>
      </c>
      <c r="N44" s="522">
        <f t="shared" si="21"/>
        <v>0</v>
      </c>
      <c r="O44" s="522">
        <f t="shared" si="21"/>
        <v>0</v>
      </c>
      <c r="P44" s="522">
        <f t="shared" si="21"/>
        <v>124159800</v>
      </c>
      <c r="Q44" s="18"/>
    </row>
    <row r="45" spans="1:18" s="31" customFormat="1" ht="163.5" customHeight="1" thickTop="1" thickBot="1" x14ac:dyDescent="0.25">
      <c r="A45" s="529" t="s">
        <v>677</v>
      </c>
      <c r="B45" s="529" t="s">
        <v>678</v>
      </c>
      <c r="C45" s="529"/>
      <c r="D45" s="529" t="s">
        <v>679</v>
      </c>
      <c r="E45" s="545">
        <f>SUM(E46:E47)</f>
        <v>1159800</v>
      </c>
      <c r="F45" s="545">
        <f t="shared" ref="F45:P45" si="22">SUM(F46:F47)</f>
        <v>1159800</v>
      </c>
      <c r="G45" s="545">
        <f t="shared" si="22"/>
        <v>0</v>
      </c>
      <c r="H45" s="545">
        <f t="shared" si="22"/>
        <v>0</v>
      </c>
      <c r="I45" s="545">
        <f t="shared" si="22"/>
        <v>0</v>
      </c>
      <c r="J45" s="545">
        <f t="shared" si="22"/>
        <v>0</v>
      </c>
      <c r="K45" s="545">
        <f t="shared" si="22"/>
        <v>0</v>
      </c>
      <c r="L45" s="545">
        <f t="shared" si="22"/>
        <v>0</v>
      </c>
      <c r="M45" s="545">
        <f t="shared" si="22"/>
        <v>0</v>
      </c>
      <c r="N45" s="545">
        <f t="shared" si="22"/>
        <v>0</v>
      </c>
      <c r="O45" s="545">
        <f t="shared" si="22"/>
        <v>0</v>
      </c>
      <c r="P45" s="545">
        <f t="shared" si="22"/>
        <v>1159800</v>
      </c>
      <c r="Q45" s="34"/>
      <c r="R45" s="34"/>
    </row>
    <row r="46" spans="1:18" ht="182.25" customHeight="1" thickTop="1" thickBot="1" x14ac:dyDescent="0.25">
      <c r="A46" s="94" t="s">
        <v>241</v>
      </c>
      <c r="B46" s="94" t="s">
        <v>242</v>
      </c>
      <c r="C46" s="94" t="s">
        <v>43</v>
      </c>
      <c r="D46" s="94" t="s">
        <v>435</v>
      </c>
      <c r="E46" s="492">
        <f>F46+I46</f>
        <v>1159800</v>
      </c>
      <c r="F46" s="525">
        <v>1159800</v>
      </c>
      <c r="G46" s="125"/>
      <c r="H46" s="125"/>
      <c r="I46" s="125"/>
      <c r="J46" s="522">
        <f>L46+O46</f>
        <v>0</v>
      </c>
      <c r="K46" s="525"/>
      <c r="L46" s="525"/>
      <c r="M46" s="525"/>
      <c r="N46" s="525"/>
      <c r="O46" s="523">
        <f>K46</f>
        <v>0</v>
      </c>
      <c r="P46" s="522">
        <f>E46+J46</f>
        <v>1159800</v>
      </c>
      <c r="Q46" s="18"/>
    </row>
    <row r="47" spans="1:18" ht="48" hidden="1" thickTop="1" thickBot="1" x14ac:dyDescent="0.25">
      <c r="A47" s="321" t="s">
        <v>556</v>
      </c>
      <c r="B47" s="321" t="s">
        <v>356</v>
      </c>
      <c r="C47" s="321" t="s">
        <v>43</v>
      </c>
      <c r="D47" s="321" t="s">
        <v>357</v>
      </c>
      <c r="E47" s="343">
        <f t="shared" ref="E47" si="23">F47</f>
        <v>0</v>
      </c>
      <c r="F47" s="344">
        <f>(166200)-166200</f>
        <v>0</v>
      </c>
      <c r="G47" s="344"/>
      <c r="H47" s="344"/>
      <c r="I47" s="344"/>
      <c r="J47" s="343">
        <f>L47+O47</f>
        <v>0</v>
      </c>
      <c r="K47" s="344">
        <f>(1000000)-1000000</f>
        <v>0</v>
      </c>
      <c r="L47" s="344"/>
      <c r="M47" s="344"/>
      <c r="N47" s="344"/>
      <c r="O47" s="345">
        <f>K47</f>
        <v>0</v>
      </c>
      <c r="P47" s="343">
        <f>E47+J47</f>
        <v>0</v>
      </c>
      <c r="Q47" s="18"/>
    </row>
    <row r="48" spans="1:18" ht="161.25" customHeight="1" thickTop="1" thickBot="1" x14ac:dyDescent="0.25">
      <c r="A48" s="94" t="s">
        <v>501</v>
      </c>
      <c r="B48" s="94" t="s">
        <v>502</v>
      </c>
      <c r="C48" s="94" t="s">
        <v>43</v>
      </c>
      <c r="D48" s="94" t="s">
        <v>503</v>
      </c>
      <c r="E48" s="492">
        <f>F48+I48</f>
        <v>123000000</v>
      </c>
      <c r="F48" s="525">
        <f>23947078.28+39338916-108000</f>
        <v>63177994.280000001</v>
      </c>
      <c r="G48" s="525"/>
      <c r="H48" s="525"/>
      <c r="I48" s="525">
        <f>59714005.72+108000</f>
        <v>59822005.719999999</v>
      </c>
      <c r="J48" s="522">
        <f>L48+O48</f>
        <v>0</v>
      </c>
      <c r="K48" s="525"/>
      <c r="L48" s="525"/>
      <c r="M48" s="525"/>
      <c r="N48" s="525"/>
      <c r="O48" s="523">
        <f>K48</f>
        <v>0</v>
      </c>
      <c r="P48" s="522">
        <f>E48+J48</f>
        <v>123000000</v>
      </c>
      <c r="Q48" s="18"/>
      <c r="R48" s="24"/>
    </row>
    <row r="49" spans="1:20" ht="165.75" customHeight="1" thickTop="1" thickBot="1" x14ac:dyDescent="0.25">
      <c r="A49" s="535" t="s">
        <v>149</v>
      </c>
      <c r="B49" s="535"/>
      <c r="C49" s="535"/>
      <c r="D49" s="536" t="s">
        <v>0</v>
      </c>
      <c r="E49" s="537">
        <f>E50</f>
        <v>1660213096.8399999</v>
      </c>
      <c r="F49" s="538">
        <f t="shared" ref="F49" si="24">F50</f>
        <v>1648916319.1799998</v>
      </c>
      <c r="G49" s="538">
        <f>G50</f>
        <v>992420019</v>
      </c>
      <c r="H49" s="538">
        <f>H50</f>
        <v>206052876.80000001</v>
      </c>
      <c r="I49" s="538">
        <f t="shared" ref="I49" si="25">I50</f>
        <v>11296777.66</v>
      </c>
      <c r="J49" s="537">
        <f>J50</f>
        <v>261464060</v>
      </c>
      <c r="K49" s="538">
        <f>K50</f>
        <v>9379760</v>
      </c>
      <c r="L49" s="538">
        <f>L50</f>
        <v>246446950</v>
      </c>
      <c r="M49" s="538">
        <f t="shared" ref="M49" si="26">M50</f>
        <v>76220850</v>
      </c>
      <c r="N49" s="538">
        <f>N50</f>
        <v>19910850</v>
      </c>
      <c r="O49" s="537">
        <f>O50</f>
        <v>15017110</v>
      </c>
      <c r="P49" s="538">
        <f t="shared" ref="P49" si="27">P50</f>
        <v>1921677156.8399999</v>
      </c>
      <c r="Q49" s="538">
        <f>O50-K50</f>
        <v>5637350</v>
      </c>
    </row>
    <row r="50" spans="1:20" ht="159.75" customHeight="1" thickTop="1" thickBot="1" x14ac:dyDescent="0.25">
      <c r="A50" s="532" t="s">
        <v>150</v>
      </c>
      <c r="B50" s="532"/>
      <c r="C50" s="532"/>
      <c r="D50" s="533" t="s">
        <v>1</v>
      </c>
      <c r="E50" s="534">
        <f>E51+E98+E112+E102+E107</f>
        <v>1660213096.8399999</v>
      </c>
      <c r="F50" s="534">
        <f>F51+F98+F112+F102+F107</f>
        <v>1648916319.1799998</v>
      </c>
      <c r="G50" s="534">
        <f>G51+G98+G112+G102+G107</f>
        <v>992420019</v>
      </c>
      <c r="H50" s="534">
        <f>H51+H98+H112+H102+H107</f>
        <v>206052876.80000001</v>
      </c>
      <c r="I50" s="534">
        <f>I51+I98+I112+I102+I107</f>
        <v>11296777.66</v>
      </c>
      <c r="J50" s="534">
        <f>L50+O50</f>
        <v>261464060</v>
      </c>
      <c r="K50" s="534">
        <f>K51+K98+K112+K102+K107</f>
        <v>9379760</v>
      </c>
      <c r="L50" s="534">
        <f>L51+L98+L112+L102+L107</f>
        <v>246446950</v>
      </c>
      <c r="M50" s="534">
        <f>M51+M98+M112+M102+M107</f>
        <v>76220850</v>
      </c>
      <c r="N50" s="534">
        <f>N51+N98+N112+N102+N107</f>
        <v>19910850</v>
      </c>
      <c r="O50" s="534">
        <f>O51+O98+O112+O102+O107</f>
        <v>15017110</v>
      </c>
      <c r="P50" s="534">
        <f>E50+J50</f>
        <v>1921677156.8399999</v>
      </c>
      <c r="Q50" s="619" t="b">
        <f>P50=P52+P54+P55+P56+P62+P64+P67+P68+P70+P72+P94+P99+P101+P106</f>
        <v>1</v>
      </c>
      <c r="R50" s="24"/>
    </row>
    <row r="51" spans="1:20" ht="105.75" customHeight="1" thickTop="1" thickBot="1" x14ac:dyDescent="0.25">
      <c r="A51" s="242" t="s">
        <v>680</v>
      </c>
      <c r="B51" s="242" t="s">
        <v>681</v>
      </c>
      <c r="C51" s="242"/>
      <c r="D51" s="242" t="s">
        <v>682</v>
      </c>
      <c r="E51" s="522">
        <f t="shared" ref="E51:P51" si="28">E52+E53+E57+E62+E63+E66+E69+E72+E73+E78+E60+E79+E80+E83+E86+E91+E95+E94+E97</f>
        <v>1655548096.8399999</v>
      </c>
      <c r="F51" s="522">
        <f t="shared" si="28"/>
        <v>1648201319.1799998</v>
      </c>
      <c r="G51" s="522">
        <f t="shared" si="28"/>
        <v>992420019</v>
      </c>
      <c r="H51" s="522">
        <f t="shared" si="28"/>
        <v>206052876.80000001</v>
      </c>
      <c r="I51" s="522">
        <f t="shared" si="28"/>
        <v>7346777.6600000001</v>
      </c>
      <c r="J51" s="522">
        <f t="shared" si="28"/>
        <v>261464060</v>
      </c>
      <c r="K51" s="522">
        <f t="shared" si="28"/>
        <v>9379760</v>
      </c>
      <c r="L51" s="522">
        <f t="shared" si="28"/>
        <v>246446950</v>
      </c>
      <c r="M51" s="522">
        <f t="shared" si="28"/>
        <v>76220850</v>
      </c>
      <c r="N51" s="522">
        <f t="shared" si="28"/>
        <v>19910850</v>
      </c>
      <c r="O51" s="522">
        <f t="shared" si="28"/>
        <v>15017110</v>
      </c>
      <c r="P51" s="522">
        <f t="shared" si="28"/>
        <v>1917012156.8399999</v>
      </c>
      <c r="Q51" s="28"/>
      <c r="R51" s="24"/>
    </row>
    <row r="52" spans="1:20" ht="90.75" customHeight="1" thickTop="1" thickBot="1" x14ac:dyDescent="0.6">
      <c r="A52" s="94" t="s">
        <v>195</v>
      </c>
      <c r="B52" s="94" t="s">
        <v>196</v>
      </c>
      <c r="C52" s="94" t="s">
        <v>198</v>
      </c>
      <c r="D52" s="94" t="s">
        <v>199</v>
      </c>
      <c r="E52" s="492">
        <f>F52+I52</f>
        <v>767773417.03999996</v>
      </c>
      <c r="F52" s="525">
        <f>610226465+6909960+104820+69187285+6091282+37526812+2937831+29629730+1448941+986605.04+1643561+158180+650+99930+184825+32040+104500</f>
        <v>767273417.03999996</v>
      </c>
      <c r="G52" s="525">
        <f>500185627</f>
        <v>500185627</v>
      </c>
      <c r="H52" s="525">
        <f>37526812+2937831+29629730+1448941+986605.04+1643561</f>
        <v>74173480.040000007</v>
      </c>
      <c r="I52" s="525">
        <f>500000</f>
        <v>500000</v>
      </c>
      <c r="J52" s="522">
        <f t="shared" ref="J52:J76" si="29">L52+O52</f>
        <v>114403570</v>
      </c>
      <c r="K52" s="125"/>
      <c r="L52" s="525">
        <v>112473500</v>
      </c>
      <c r="M52" s="525">
        <v>26498520</v>
      </c>
      <c r="N52" s="525">
        <v>4269610</v>
      </c>
      <c r="O52" s="523">
        <f>K52+1930070</f>
        <v>1930070</v>
      </c>
      <c r="P52" s="522">
        <f t="shared" ref="P52:P64" si="30">E52+J52</f>
        <v>882176987.03999996</v>
      </c>
      <c r="Q52" s="134"/>
      <c r="R52" s="24"/>
    </row>
    <row r="53" spans="1:20" ht="93.75" customHeight="1" thickTop="1" thickBot="1" x14ac:dyDescent="0.6">
      <c r="A53" s="539" t="s">
        <v>200</v>
      </c>
      <c r="B53" s="539" t="s">
        <v>197</v>
      </c>
      <c r="C53" s="539"/>
      <c r="D53" s="539" t="s">
        <v>620</v>
      </c>
      <c r="E53" s="540">
        <f>E54+E55+E56</f>
        <v>614396593.67999995</v>
      </c>
      <c r="F53" s="540">
        <f>F54+F55+F56</f>
        <v>607826952.17999995</v>
      </c>
      <c r="G53" s="540">
        <f t="shared" ref="G53:I53" si="31">G54+G55+G56</f>
        <v>332189192</v>
      </c>
      <c r="H53" s="540">
        <f t="shared" si="31"/>
        <v>102568086.8</v>
      </c>
      <c r="I53" s="540">
        <f t="shared" si="31"/>
        <v>6569641.5</v>
      </c>
      <c r="J53" s="540">
        <f t="shared" ref="J53" si="32">J54+J55+J56</f>
        <v>106832830</v>
      </c>
      <c r="K53" s="540">
        <f t="shared" ref="K53" si="33">K54+K55+K56</f>
        <v>0</v>
      </c>
      <c r="L53" s="540">
        <f t="shared" ref="L53" si="34">L54+L55+L56</f>
        <v>104299250</v>
      </c>
      <c r="M53" s="540">
        <f t="shared" ref="M53" si="35">M54+M55+M56</f>
        <v>41497980</v>
      </c>
      <c r="N53" s="540">
        <f t="shared" ref="N53" si="36">N54+N55+N56</f>
        <v>5145430</v>
      </c>
      <c r="O53" s="540">
        <f t="shared" ref="O53" si="37">O54+O55+O56</f>
        <v>2533580</v>
      </c>
      <c r="P53" s="540">
        <f>E53+J53</f>
        <v>721229423.67999995</v>
      </c>
      <c r="Q53" s="134"/>
      <c r="R53" s="35"/>
    </row>
    <row r="54" spans="1:20" ht="155.25" customHeight="1" thickTop="1" thickBot="1" x14ac:dyDescent="0.6">
      <c r="A54" s="94" t="s">
        <v>618</v>
      </c>
      <c r="B54" s="94" t="s">
        <v>619</v>
      </c>
      <c r="C54" s="94" t="s">
        <v>201</v>
      </c>
      <c r="D54" s="94" t="s">
        <v>1143</v>
      </c>
      <c r="E54" s="492">
        <f>F54+I54</f>
        <v>555303877.88999999</v>
      </c>
      <c r="F54" s="525">
        <f>361766525+17535780+1200000+600000+300000+225592+57957200+8669689+588000+52322520+2686149+33035285+4967507+3161798.72+323420+31840+1061020+1540+1098000+337242+688628.67+100000+99000</f>
        <v>548756736.38999999</v>
      </c>
      <c r="G54" s="525">
        <f>296529770</f>
        <v>296529770</v>
      </c>
      <c r="H54" s="525">
        <f>52322520+2686149+33035285+4967507+3161798.72</f>
        <v>96173259.719999999</v>
      </c>
      <c r="I54" s="525">
        <f>1200000+300000+500000+240000+952641.5+857000+997500+500000+500000+500000</f>
        <v>6547141.5</v>
      </c>
      <c r="J54" s="522">
        <f t="shared" si="29"/>
        <v>106660130</v>
      </c>
      <c r="K54" s="125"/>
      <c r="L54" s="525">
        <v>104126550</v>
      </c>
      <c r="M54" s="525">
        <v>41497980</v>
      </c>
      <c r="N54" s="525">
        <v>5064830</v>
      </c>
      <c r="O54" s="523">
        <f>K54+2533580</f>
        <v>2533580</v>
      </c>
      <c r="P54" s="522">
        <f t="shared" si="30"/>
        <v>661964007.88999999</v>
      </c>
      <c r="Q54" s="134"/>
      <c r="R54" s="24"/>
      <c r="T54" s="36"/>
    </row>
    <row r="55" spans="1:20" ht="252.75" customHeight="1" thickTop="1" thickBot="1" x14ac:dyDescent="0.25">
      <c r="A55" s="94" t="s">
        <v>626</v>
      </c>
      <c r="B55" s="94" t="s">
        <v>627</v>
      </c>
      <c r="C55" s="94" t="s">
        <v>204</v>
      </c>
      <c r="D55" s="94" t="s">
        <v>1399</v>
      </c>
      <c r="E55" s="492">
        <f>F55+I55</f>
        <v>34967271.359999999</v>
      </c>
      <c r="F55" s="525">
        <f>29763768+391568+10300+2239400+338118+1661682+34167+406440+7254.12+14690+26992+46892.24+11000</f>
        <v>34952271.359999999</v>
      </c>
      <c r="G55" s="525">
        <f>24396531</f>
        <v>24396531</v>
      </c>
      <c r="H55" s="525">
        <f>1661682+34167+406440+7254.12</f>
        <v>2109543.12</v>
      </c>
      <c r="I55" s="525">
        <f>15000</f>
        <v>15000</v>
      </c>
      <c r="J55" s="522">
        <f t="shared" si="29"/>
        <v>172700</v>
      </c>
      <c r="K55" s="125"/>
      <c r="L55" s="525">
        <v>172700</v>
      </c>
      <c r="M55" s="525"/>
      <c r="N55" s="525">
        <v>80600</v>
      </c>
      <c r="O55" s="523">
        <f>K55+0</f>
        <v>0</v>
      </c>
      <c r="P55" s="522">
        <f t="shared" si="30"/>
        <v>35139971.359999999</v>
      </c>
      <c r="Q55" s="18"/>
      <c r="R55" s="25"/>
    </row>
    <row r="56" spans="1:20" ht="151.5" customHeight="1" thickTop="1" thickBot="1" x14ac:dyDescent="0.25">
      <c r="A56" s="94" t="s">
        <v>937</v>
      </c>
      <c r="B56" s="94" t="s">
        <v>938</v>
      </c>
      <c r="C56" s="94" t="s">
        <v>204</v>
      </c>
      <c r="D56" s="94" t="s">
        <v>1625</v>
      </c>
      <c r="E56" s="492">
        <f>F56+I56</f>
        <v>24125444.43</v>
      </c>
      <c r="F56" s="525">
        <f>13740729+528134+15150+4100000+243108+301480+2673411+171490+1428880+11502.96+6230+2960+89369.47+500000+300000+5500</f>
        <v>24117944.43</v>
      </c>
      <c r="G56" s="525">
        <f>11262891</f>
        <v>11262891</v>
      </c>
      <c r="H56" s="525">
        <f>2673411+171490+1428880+11502.96</f>
        <v>4285283.96</v>
      </c>
      <c r="I56" s="525">
        <f>7500</f>
        <v>7500</v>
      </c>
      <c r="J56" s="522">
        <f t="shared" ref="J56" si="38">L56+O56</f>
        <v>0</v>
      </c>
      <c r="K56" s="125"/>
      <c r="L56" s="125"/>
      <c r="M56" s="125"/>
      <c r="N56" s="125"/>
      <c r="O56" s="523">
        <f>K56</f>
        <v>0</v>
      </c>
      <c r="P56" s="522">
        <f t="shared" ref="P56" si="39">E56+J56</f>
        <v>24125444.43</v>
      </c>
      <c r="Q56" s="18"/>
      <c r="R56" s="25"/>
    </row>
    <row r="57" spans="1:20" ht="48" hidden="1" thickTop="1" thickBot="1" x14ac:dyDescent="0.25">
      <c r="A57" s="131" t="s">
        <v>486</v>
      </c>
      <c r="B57" s="131" t="s">
        <v>202</v>
      </c>
      <c r="C57" s="131"/>
      <c r="D57" s="131" t="s">
        <v>632</v>
      </c>
      <c r="E57" s="132">
        <f>SUM(E58:E59)</f>
        <v>0</v>
      </c>
      <c r="F57" s="132">
        <f>SUM(F58:F59)</f>
        <v>0</v>
      </c>
      <c r="G57" s="132">
        <f>SUM(G58:G59)</f>
        <v>0</v>
      </c>
      <c r="H57" s="132">
        <f>SUM(H58:H59)</f>
        <v>0</v>
      </c>
      <c r="I57" s="132">
        <f>SUM(I58:I59)</f>
        <v>0</v>
      </c>
      <c r="J57" s="132">
        <f t="shared" ref="J57:P57" si="40">SUM(J58:J59)</f>
        <v>0</v>
      </c>
      <c r="K57" s="132">
        <f t="shared" si="40"/>
        <v>0</v>
      </c>
      <c r="L57" s="132">
        <f t="shared" si="40"/>
        <v>0</v>
      </c>
      <c r="M57" s="132">
        <f t="shared" si="40"/>
        <v>0</v>
      </c>
      <c r="N57" s="132">
        <f t="shared" si="40"/>
        <v>0</v>
      </c>
      <c r="O57" s="132">
        <f t="shared" si="40"/>
        <v>0</v>
      </c>
      <c r="P57" s="132">
        <f t="shared" si="40"/>
        <v>0</v>
      </c>
      <c r="Q57" s="18"/>
      <c r="R57" s="35"/>
    </row>
    <row r="58" spans="1:20" ht="93" hidden="1" thickTop="1" thickBot="1" x14ac:dyDescent="0.25">
      <c r="A58" s="119" t="s">
        <v>633</v>
      </c>
      <c r="B58" s="119" t="s">
        <v>634</v>
      </c>
      <c r="C58" s="119" t="s">
        <v>201</v>
      </c>
      <c r="D58" s="119" t="s">
        <v>1144</v>
      </c>
      <c r="E58" s="118"/>
      <c r="F58" s="125"/>
      <c r="G58" s="125"/>
      <c r="H58" s="125"/>
      <c r="I58" s="125"/>
      <c r="J58" s="118">
        <f t="shared" ref="J58:J59" si="41">L58+O58</f>
        <v>0</v>
      </c>
      <c r="K58" s="125"/>
      <c r="L58" s="125"/>
      <c r="M58" s="125"/>
      <c r="N58" s="125"/>
      <c r="O58" s="123">
        <f>K58</f>
        <v>0</v>
      </c>
      <c r="P58" s="118">
        <f t="shared" ref="P58:P61" si="42">E58+J58</f>
        <v>0</v>
      </c>
      <c r="Q58" s="18"/>
      <c r="R58" s="24"/>
    </row>
    <row r="59" spans="1:20" ht="93" hidden="1" thickTop="1" thickBot="1" x14ac:dyDescent="0.25">
      <c r="A59" s="119" t="s">
        <v>1037</v>
      </c>
      <c r="B59" s="257" t="s">
        <v>1038</v>
      </c>
      <c r="C59" s="119" t="s">
        <v>204</v>
      </c>
      <c r="D59" s="119" t="s">
        <v>1145</v>
      </c>
      <c r="E59" s="118"/>
      <c r="F59" s="351"/>
      <c r="G59" s="351"/>
      <c r="H59" s="351"/>
      <c r="I59" s="351"/>
      <c r="J59" s="118">
        <f t="shared" si="41"/>
        <v>0</v>
      </c>
      <c r="K59" s="351"/>
      <c r="L59" s="351"/>
      <c r="M59" s="351"/>
      <c r="N59" s="351"/>
      <c r="O59" s="357"/>
      <c r="P59" s="118">
        <f t="shared" si="42"/>
        <v>0</v>
      </c>
      <c r="Q59" s="18"/>
      <c r="R59" s="24"/>
    </row>
    <row r="60" spans="1:20" ht="184.5" hidden="1" thickTop="1" thickBot="1" x14ac:dyDescent="0.25">
      <c r="A60" s="328" t="s">
        <v>887</v>
      </c>
      <c r="B60" s="328" t="s">
        <v>50</v>
      </c>
      <c r="C60" s="328"/>
      <c r="D60" s="358" t="s">
        <v>1400</v>
      </c>
      <c r="E60" s="329">
        <f t="shared" ref="E60:O60" si="43">E61</f>
        <v>0</v>
      </c>
      <c r="F60" s="329">
        <f>F61</f>
        <v>0</v>
      </c>
      <c r="G60" s="329">
        <f t="shared" si="43"/>
        <v>0</v>
      </c>
      <c r="H60" s="329">
        <f t="shared" si="43"/>
        <v>0</v>
      </c>
      <c r="I60" s="329">
        <f t="shared" si="43"/>
        <v>0</v>
      </c>
      <c r="J60" s="329">
        <f t="shared" si="43"/>
        <v>0</v>
      </c>
      <c r="K60" s="329">
        <f t="shared" si="43"/>
        <v>0</v>
      </c>
      <c r="L60" s="329">
        <f t="shared" si="43"/>
        <v>0</v>
      </c>
      <c r="M60" s="329">
        <f t="shared" si="43"/>
        <v>0</v>
      </c>
      <c r="N60" s="329">
        <f t="shared" si="43"/>
        <v>0</v>
      </c>
      <c r="O60" s="329">
        <f t="shared" si="43"/>
        <v>0</v>
      </c>
      <c r="P60" s="329">
        <f>E60+J60</f>
        <v>0</v>
      </c>
      <c r="Q60" s="18"/>
      <c r="R60" s="28"/>
    </row>
    <row r="61" spans="1:20" ht="230.25" hidden="1" thickTop="1" thickBot="1" x14ac:dyDescent="0.25">
      <c r="A61" s="119" t="s">
        <v>888</v>
      </c>
      <c r="B61" s="119" t="s">
        <v>889</v>
      </c>
      <c r="C61" s="119" t="s">
        <v>201</v>
      </c>
      <c r="D61" s="119" t="s">
        <v>1401</v>
      </c>
      <c r="E61" s="118">
        <f t="shared" ref="E61" si="44">F61</f>
        <v>0</v>
      </c>
      <c r="F61" s="125"/>
      <c r="G61" s="125"/>
      <c r="H61" s="125"/>
      <c r="I61" s="125"/>
      <c r="J61" s="118">
        <f t="shared" ref="J61" si="45">L61+O61</f>
        <v>0</v>
      </c>
      <c r="K61" s="125"/>
      <c r="L61" s="125"/>
      <c r="M61" s="125"/>
      <c r="N61" s="125"/>
      <c r="O61" s="123">
        <f>K61</f>
        <v>0</v>
      </c>
      <c r="P61" s="118">
        <f t="shared" si="42"/>
        <v>0</v>
      </c>
      <c r="Q61" s="18"/>
      <c r="R61" s="24"/>
    </row>
    <row r="62" spans="1:20" ht="155.25" customHeight="1" thickTop="1" thickBot="1" x14ac:dyDescent="0.25">
      <c r="A62" s="94" t="s">
        <v>635</v>
      </c>
      <c r="B62" s="94" t="s">
        <v>203</v>
      </c>
      <c r="C62" s="94" t="s">
        <v>178</v>
      </c>
      <c r="D62" s="94" t="s">
        <v>487</v>
      </c>
      <c r="E62" s="492">
        <f>F62+I62</f>
        <v>43519898.960000001</v>
      </c>
      <c r="F62" s="525">
        <f>37971643+733006+19100+919917+192590+2199284+93029+1142570+85055+14974.96+11040+137620+70</f>
        <v>43519898.960000001</v>
      </c>
      <c r="G62" s="525">
        <f>31124297</f>
        <v>31124297</v>
      </c>
      <c r="H62" s="525">
        <f>2199284+93029+1142570+85055+14974.96</f>
        <v>3534912.96</v>
      </c>
      <c r="I62" s="125"/>
      <c r="J62" s="522">
        <f t="shared" si="29"/>
        <v>1667710</v>
      </c>
      <c r="K62" s="125"/>
      <c r="L62" s="525">
        <v>1247710</v>
      </c>
      <c r="M62" s="525">
        <v>94500</v>
      </c>
      <c r="N62" s="525">
        <v>273600</v>
      </c>
      <c r="O62" s="523">
        <f>(K62+420000)</f>
        <v>420000</v>
      </c>
      <c r="P62" s="522">
        <f t="shared" si="30"/>
        <v>45187608.960000001</v>
      </c>
      <c r="Q62" s="18"/>
      <c r="R62" s="24"/>
    </row>
    <row r="63" spans="1:20" ht="141.75" customHeight="1" thickTop="1" thickBot="1" x14ac:dyDescent="0.25">
      <c r="A63" s="539" t="s">
        <v>205</v>
      </c>
      <c r="B63" s="539" t="s">
        <v>188</v>
      </c>
      <c r="C63" s="539"/>
      <c r="D63" s="539" t="s">
        <v>488</v>
      </c>
      <c r="E63" s="540">
        <f>E64+E65</f>
        <v>192470798.16</v>
      </c>
      <c r="F63" s="540">
        <f t="shared" ref="F63:O63" si="46">F64+F65</f>
        <v>192193662</v>
      </c>
      <c r="G63" s="540">
        <f t="shared" si="46"/>
        <v>105513635</v>
      </c>
      <c r="H63" s="540">
        <f t="shared" si="46"/>
        <v>23490500</v>
      </c>
      <c r="I63" s="540">
        <f t="shared" si="46"/>
        <v>277136.16000000003</v>
      </c>
      <c r="J63" s="540">
        <f t="shared" si="46"/>
        <v>28852710</v>
      </c>
      <c r="K63" s="540">
        <f t="shared" si="46"/>
        <v>0</v>
      </c>
      <c r="L63" s="540">
        <f t="shared" si="46"/>
        <v>28199010</v>
      </c>
      <c r="M63" s="540">
        <f t="shared" si="46"/>
        <v>8129850</v>
      </c>
      <c r="N63" s="540">
        <f t="shared" si="46"/>
        <v>10222210</v>
      </c>
      <c r="O63" s="540">
        <f t="shared" si="46"/>
        <v>653700</v>
      </c>
      <c r="P63" s="540">
        <f t="shared" si="30"/>
        <v>221323508.16</v>
      </c>
      <c r="Q63" s="18"/>
      <c r="R63" s="33"/>
    </row>
    <row r="64" spans="1:20" ht="184.5" customHeight="1" thickTop="1" thickBot="1" x14ac:dyDescent="0.25">
      <c r="A64" s="94" t="s">
        <v>636</v>
      </c>
      <c r="B64" s="94" t="s">
        <v>637</v>
      </c>
      <c r="C64" s="94" t="s">
        <v>206</v>
      </c>
      <c r="D64" s="94" t="s">
        <v>638</v>
      </c>
      <c r="E64" s="492">
        <f>F64+I64</f>
        <v>192470798.16</v>
      </c>
      <c r="F64" s="525">
        <f>127681654+676400+30250+4317330+857080+15520950+1166000+6600000+32150+171400+19800+33500000+1620648</f>
        <v>192193662</v>
      </c>
      <c r="G64" s="525">
        <f>105513635</f>
        <v>105513635</v>
      </c>
      <c r="H64" s="525">
        <f>15520950+1166000+6600000+32150+171400</f>
        <v>23490500</v>
      </c>
      <c r="I64" s="525">
        <f>90000+187136.16</f>
        <v>277136.16000000003</v>
      </c>
      <c r="J64" s="522">
        <f>L64+O64</f>
        <v>28852710</v>
      </c>
      <c r="K64" s="125"/>
      <c r="L64" s="525">
        <v>28199010</v>
      </c>
      <c r="M64" s="525">
        <v>8129850</v>
      </c>
      <c r="N64" s="525">
        <v>10222210</v>
      </c>
      <c r="O64" s="523">
        <f>K64+653700</f>
        <v>653700</v>
      </c>
      <c r="P64" s="522">
        <f t="shared" si="30"/>
        <v>221323508.16</v>
      </c>
      <c r="Q64" s="18"/>
      <c r="R64" s="24"/>
    </row>
    <row r="65" spans="1:18" ht="93" hidden="1" thickTop="1" thickBot="1" x14ac:dyDescent="0.25">
      <c r="A65" s="119" t="s">
        <v>640</v>
      </c>
      <c r="B65" s="119" t="s">
        <v>639</v>
      </c>
      <c r="C65" s="119" t="s">
        <v>206</v>
      </c>
      <c r="D65" s="119" t="s">
        <v>641</v>
      </c>
      <c r="E65" s="118"/>
      <c r="F65" s="125"/>
      <c r="G65" s="125"/>
      <c r="H65" s="125"/>
      <c r="I65" s="125"/>
      <c r="J65" s="118">
        <f>L65+O65</f>
        <v>0</v>
      </c>
      <c r="K65" s="125"/>
      <c r="L65" s="125"/>
      <c r="M65" s="125"/>
      <c r="N65" s="125"/>
      <c r="O65" s="123"/>
      <c r="P65" s="118">
        <f t="shared" ref="P65" si="47">E65+J65</f>
        <v>0</v>
      </c>
      <c r="Q65" s="18"/>
      <c r="R65" s="28"/>
    </row>
    <row r="66" spans="1:18" ht="106.5" customHeight="1" thickTop="1" thickBot="1" x14ac:dyDescent="0.25">
      <c r="A66" s="539" t="s">
        <v>643</v>
      </c>
      <c r="B66" s="539" t="s">
        <v>642</v>
      </c>
      <c r="C66" s="539"/>
      <c r="D66" s="539" t="s">
        <v>644</v>
      </c>
      <c r="E66" s="540">
        <f>E67+E68</f>
        <v>32020079</v>
      </c>
      <c r="F66" s="540">
        <f t="shared" ref="F66:O66" si="48">F67+F68</f>
        <v>32020079</v>
      </c>
      <c r="G66" s="540">
        <f t="shared" si="48"/>
        <v>19969015</v>
      </c>
      <c r="H66" s="540">
        <f t="shared" si="48"/>
        <v>1821549</v>
      </c>
      <c r="I66" s="540">
        <f t="shared" si="48"/>
        <v>0</v>
      </c>
      <c r="J66" s="540">
        <f t="shared" si="48"/>
        <v>327480</v>
      </c>
      <c r="K66" s="540">
        <f t="shared" si="48"/>
        <v>0</v>
      </c>
      <c r="L66" s="540">
        <f t="shared" si="48"/>
        <v>227480</v>
      </c>
      <c r="M66" s="540">
        <f t="shared" si="48"/>
        <v>0</v>
      </c>
      <c r="N66" s="540">
        <f t="shared" si="48"/>
        <v>0</v>
      </c>
      <c r="O66" s="540">
        <f t="shared" si="48"/>
        <v>100000</v>
      </c>
      <c r="P66" s="540">
        <f>E66+J66</f>
        <v>32347559</v>
      </c>
      <c r="Q66" s="18"/>
      <c r="R66" s="33"/>
    </row>
    <row r="67" spans="1:18" ht="106.5" customHeight="1" thickTop="1" thickBot="1" x14ac:dyDescent="0.25">
      <c r="A67" s="94" t="s">
        <v>645</v>
      </c>
      <c r="B67" s="94" t="s">
        <v>646</v>
      </c>
      <c r="C67" s="94" t="s">
        <v>207</v>
      </c>
      <c r="D67" s="94" t="s">
        <v>489</v>
      </c>
      <c r="E67" s="492">
        <f>F67+I67</f>
        <v>29590169</v>
      </c>
      <c r="F67" s="525">
        <f>24177100+1235510+2250+2294000+1308293+26596+465523+21137+9760+50000</f>
        <v>29590169</v>
      </c>
      <c r="G67" s="525">
        <f>19969015</f>
        <v>19969015</v>
      </c>
      <c r="H67" s="525">
        <f>1308293+26596+465523+21137</f>
        <v>1821549</v>
      </c>
      <c r="I67" s="125"/>
      <c r="J67" s="522">
        <f>L67+O67</f>
        <v>327480</v>
      </c>
      <c r="K67" s="125"/>
      <c r="L67" s="525">
        <v>227480</v>
      </c>
      <c r="M67" s="125"/>
      <c r="N67" s="125"/>
      <c r="O67" s="523">
        <f>K67+100000</f>
        <v>100000</v>
      </c>
      <c r="P67" s="522">
        <f>E67+J67</f>
        <v>29917649</v>
      </c>
      <c r="Q67" s="18"/>
      <c r="R67" s="28"/>
    </row>
    <row r="68" spans="1:18" ht="96.75" customHeight="1" thickTop="1" thickBot="1" x14ac:dyDescent="0.25">
      <c r="A68" s="94" t="s">
        <v>647</v>
      </c>
      <c r="B68" s="94" t="s">
        <v>648</v>
      </c>
      <c r="C68" s="94" t="s">
        <v>207</v>
      </c>
      <c r="D68" s="94" t="s">
        <v>331</v>
      </c>
      <c r="E68" s="492">
        <f>F68+I68</f>
        <v>2429910</v>
      </c>
      <c r="F68" s="525">
        <f>559320+1870590</f>
        <v>2429910</v>
      </c>
      <c r="G68" s="125"/>
      <c r="H68" s="125"/>
      <c r="I68" s="125"/>
      <c r="J68" s="522">
        <f>L68+O68</f>
        <v>0</v>
      </c>
      <c r="K68" s="525"/>
      <c r="L68" s="525"/>
      <c r="M68" s="525"/>
      <c r="N68" s="525"/>
      <c r="O68" s="523">
        <f>K68</f>
        <v>0</v>
      </c>
      <c r="P68" s="522">
        <f>E68+J68</f>
        <v>2429910</v>
      </c>
      <c r="Q68" s="18"/>
      <c r="R68" s="28"/>
    </row>
    <row r="69" spans="1:18" ht="96.75" customHeight="1" thickTop="1" thickBot="1" x14ac:dyDescent="0.25">
      <c r="A69" s="539" t="s">
        <v>649</v>
      </c>
      <c r="B69" s="539" t="s">
        <v>650</v>
      </c>
      <c r="C69" s="539"/>
      <c r="D69" s="539" t="s">
        <v>421</v>
      </c>
      <c r="E69" s="540">
        <f>E70+E71</f>
        <v>1719840</v>
      </c>
      <c r="F69" s="540">
        <f>F70+F71</f>
        <v>1719840</v>
      </c>
      <c r="G69" s="540">
        <f t="shared" ref="G69:O69" si="49">G70+G71</f>
        <v>806300</v>
      </c>
      <c r="H69" s="540">
        <f t="shared" si="49"/>
        <v>375201</v>
      </c>
      <c r="I69" s="540">
        <f t="shared" si="49"/>
        <v>0</v>
      </c>
      <c r="J69" s="540">
        <f t="shared" si="49"/>
        <v>0</v>
      </c>
      <c r="K69" s="540">
        <f t="shared" si="49"/>
        <v>0</v>
      </c>
      <c r="L69" s="540">
        <f t="shared" si="49"/>
        <v>0</v>
      </c>
      <c r="M69" s="540">
        <f t="shared" si="49"/>
        <v>0</v>
      </c>
      <c r="N69" s="540">
        <f t="shared" si="49"/>
        <v>0</v>
      </c>
      <c r="O69" s="540">
        <f t="shared" si="49"/>
        <v>0</v>
      </c>
      <c r="P69" s="540">
        <f>E69+J69</f>
        <v>1719840</v>
      </c>
      <c r="Q69" s="18"/>
      <c r="R69" s="33"/>
    </row>
    <row r="70" spans="1:18" ht="129" customHeight="1" thickTop="1" thickBot="1" x14ac:dyDescent="0.25">
      <c r="A70" s="94" t="s">
        <v>651</v>
      </c>
      <c r="B70" s="94" t="s">
        <v>652</v>
      </c>
      <c r="C70" s="94" t="s">
        <v>207</v>
      </c>
      <c r="D70" s="94" t="s">
        <v>653</v>
      </c>
      <c r="E70" s="492">
        <f>F70+I70</f>
        <v>1719840</v>
      </c>
      <c r="F70" s="525">
        <f>983686+227527+12000+107286+8600+312035+8126+50840+4200+5540</f>
        <v>1719840</v>
      </c>
      <c r="G70" s="525">
        <f>806300</f>
        <v>806300</v>
      </c>
      <c r="H70" s="525">
        <f>312035+8126+50840+4200</f>
        <v>375201</v>
      </c>
      <c r="I70" s="125"/>
      <c r="J70" s="522">
        <f>L70+O70</f>
        <v>0</v>
      </c>
      <c r="K70" s="525"/>
      <c r="L70" s="525"/>
      <c r="M70" s="525"/>
      <c r="N70" s="525"/>
      <c r="O70" s="523">
        <f>K70</f>
        <v>0</v>
      </c>
      <c r="P70" s="522">
        <f>E70+J70</f>
        <v>1719840</v>
      </c>
      <c r="Q70" s="18"/>
      <c r="R70" s="24"/>
    </row>
    <row r="71" spans="1:18" ht="93" hidden="1" thickTop="1" thickBot="1" x14ac:dyDescent="0.25">
      <c r="A71" s="119" t="s">
        <v>654</v>
      </c>
      <c r="B71" s="119" t="s">
        <v>655</v>
      </c>
      <c r="C71" s="119" t="s">
        <v>207</v>
      </c>
      <c r="D71" s="119" t="s">
        <v>656</v>
      </c>
      <c r="E71" s="118"/>
      <c r="F71" s="125"/>
      <c r="G71" s="125"/>
      <c r="H71" s="125"/>
      <c r="I71" s="125"/>
      <c r="J71" s="118">
        <f t="shared" ref="J71" si="50">L71+O71</f>
        <v>0</v>
      </c>
      <c r="K71" s="125"/>
      <c r="L71" s="125"/>
      <c r="M71" s="125"/>
      <c r="N71" s="125"/>
      <c r="O71" s="123">
        <f t="shared" ref="O71" si="51">K71</f>
        <v>0</v>
      </c>
      <c r="P71" s="118">
        <f t="shared" ref="P71" si="52">E71+J71</f>
        <v>0</v>
      </c>
      <c r="Q71" s="18"/>
      <c r="R71" s="28"/>
    </row>
    <row r="72" spans="1:18" ht="93" thickTop="1" thickBot="1" x14ac:dyDescent="0.25">
      <c r="A72" s="94" t="s">
        <v>623</v>
      </c>
      <c r="B72" s="94" t="s">
        <v>624</v>
      </c>
      <c r="C72" s="94" t="s">
        <v>207</v>
      </c>
      <c r="D72" s="94" t="s">
        <v>625</v>
      </c>
      <c r="E72" s="492">
        <f>F72+I72</f>
        <v>3647470</v>
      </c>
      <c r="F72" s="525">
        <f>3210983+142000+182500+20000+41354+3673+43400+720+2840</f>
        <v>3647470</v>
      </c>
      <c r="G72" s="525">
        <f>2631953</f>
        <v>2631953</v>
      </c>
      <c r="H72" s="525">
        <f>41354+3673+43400+720</f>
        <v>89147</v>
      </c>
      <c r="I72" s="125"/>
      <c r="J72" s="522">
        <f t="shared" ref="J72" si="53">L72+O72</f>
        <v>0</v>
      </c>
      <c r="K72" s="525"/>
      <c r="L72" s="525"/>
      <c r="M72" s="525"/>
      <c r="N72" s="525"/>
      <c r="O72" s="523">
        <f t="shared" ref="O72" si="54">K72</f>
        <v>0</v>
      </c>
      <c r="P72" s="522">
        <f t="shared" ref="P72" si="55">E72+J72</f>
        <v>3647470</v>
      </c>
      <c r="Q72" s="18"/>
      <c r="R72" s="24"/>
    </row>
    <row r="73" spans="1:18" s="31" customFormat="1" ht="93" hidden="1" thickTop="1" thickBot="1" x14ac:dyDescent="0.25">
      <c r="A73" s="131" t="s">
        <v>628</v>
      </c>
      <c r="B73" s="131" t="s">
        <v>629</v>
      </c>
      <c r="C73" s="131"/>
      <c r="D73" s="131" t="s">
        <v>1359</v>
      </c>
      <c r="E73" s="132">
        <f t="shared" ref="E73:E100" si="56">F73</f>
        <v>0</v>
      </c>
      <c r="F73" s="132">
        <f>SUM(F74:F77)</f>
        <v>0</v>
      </c>
      <c r="G73" s="132">
        <f>SUM(G74:G77)</f>
        <v>0</v>
      </c>
      <c r="H73" s="132">
        <f>SUM(H74:H77)</f>
        <v>0</v>
      </c>
      <c r="I73" s="132">
        <f>SUM(I74:I77)</f>
        <v>0</v>
      </c>
      <c r="J73" s="132">
        <f t="shared" si="29"/>
        <v>0</v>
      </c>
      <c r="K73" s="132">
        <f>SUM(K74:K77)</f>
        <v>0</v>
      </c>
      <c r="L73" s="132">
        <f>SUM(L74:L77)</f>
        <v>0</v>
      </c>
      <c r="M73" s="132">
        <f>SUM(M74:M77)</f>
        <v>0</v>
      </c>
      <c r="N73" s="132">
        <f>SUM(N74:N77)</f>
        <v>0</v>
      </c>
      <c r="O73" s="132">
        <f>SUM(O74:O77)</f>
        <v>0</v>
      </c>
      <c r="P73" s="132">
        <f t="shared" ref="P73:P76" si="57">E73+J73</f>
        <v>0</v>
      </c>
      <c r="Q73" s="34"/>
      <c r="R73" s="35"/>
    </row>
    <row r="74" spans="1:18" s="31" customFormat="1" ht="138.75" hidden="1" thickTop="1" thickBot="1" x14ac:dyDescent="0.25">
      <c r="A74" s="119" t="s">
        <v>630</v>
      </c>
      <c r="B74" s="119" t="s">
        <v>631</v>
      </c>
      <c r="C74" s="119" t="s">
        <v>207</v>
      </c>
      <c r="D74" s="119" t="s">
        <v>1360</v>
      </c>
      <c r="E74" s="118">
        <f t="shared" si="56"/>
        <v>0</v>
      </c>
      <c r="F74" s="125"/>
      <c r="G74" s="125"/>
      <c r="H74" s="125"/>
      <c r="I74" s="125"/>
      <c r="J74" s="118">
        <f t="shared" si="29"/>
        <v>0</v>
      </c>
      <c r="K74" s="125">
        <v>0</v>
      </c>
      <c r="L74" s="125"/>
      <c r="M74" s="125"/>
      <c r="N74" s="125"/>
      <c r="O74" s="123">
        <f t="shared" ref="O74:O76" si="58">K74</f>
        <v>0</v>
      </c>
      <c r="P74" s="118">
        <f t="shared" si="57"/>
        <v>0</v>
      </c>
      <c r="Q74" s="34"/>
      <c r="R74" s="24"/>
    </row>
    <row r="75" spans="1:18" s="31" customFormat="1" ht="138.75" hidden="1" thickTop="1" thickBot="1" x14ac:dyDescent="0.25">
      <c r="A75" s="119" t="s">
        <v>923</v>
      </c>
      <c r="B75" s="119" t="s">
        <v>924</v>
      </c>
      <c r="C75" s="119" t="s">
        <v>207</v>
      </c>
      <c r="D75" s="119" t="s">
        <v>1361</v>
      </c>
      <c r="E75" s="118">
        <f t="shared" si="56"/>
        <v>0</v>
      </c>
      <c r="F75" s="125"/>
      <c r="G75" s="125"/>
      <c r="H75" s="125"/>
      <c r="I75" s="125"/>
      <c r="J75" s="118">
        <f t="shared" si="29"/>
        <v>0</v>
      </c>
      <c r="K75" s="125">
        <v>0</v>
      </c>
      <c r="L75" s="125"/>
      <c r="M75" s="125"/>
      <c r="N75" s="125"/>
      <c r="O75" s="123">
        <f t="shared" si="58"/>
        <v>0</v>
      </c>
      <c r="P75" s="118">
        <f t="shared" si="57"/>
        <v>0</v>
      </c>
      <c r="Q75" s="34"/>
      <c r="R75" s="24"/>
    </row>
    <row r="76" spans="1:18" s="31" customFormat="1" ht="184.5" hidden="1" thickTop="1" thickBot="1" x14ac:dyDescent="0.25">
      <c r="A76" s="119" t="s">
        <v>1434</v>
      </c>
      <c r="B76" s="119" t="s">
        <v>1436</v>
      </c>
      <c r="C76" s="119" t="s">
        <v>207</v>
      </c>
      <c r="D76" s="119" t="s">
        <v>1438</v>
      </c>
      <c r="E76" s="118"/>
      <c r="F76" s="125"/>
      <c r="G76" s="125"/>
      <c r="H76" s="125"/>
      <c r="I76" s="125"/>
      <c r="J76" s="118">
        <f t="shared" si="29"/>
        <v>0</v>
      </c>
      <c r="K76" s="125">
        <v>0</v>
      </c>
      <c r="L76" s="125"/>
      <c r="M76" s="125"/>
      <c r="N76" s="125"/>
      <c r="O76" s="123">
        <f t="shared" si="58"/>
        <v>0</v>
      </c>
      <c r="P76" s="118">
        <f t="shared" si="57"/>
        <v>0</v>
      </c>
      <c r="Q76" s="34"/>
      <c r="R76" s="24"/>
    </row>
    <row r="77" spans="1:18" s="31" customFormat="1" ht="184.5" hidden="1" thickTop="1" thickBot="1" x14ac:dyDescent="0.25">
      <c r="A77" s="119" t="s">
        <v>1435</v>
      </c>
      <c r="B77" s="119" t="s">
        <v>1437</v>
      </c>
      <c r="C77" s="119" t="s">
        <v>207</v>
      </c>
      <c r="D77" s="119" t="s">
        <v>1439</v>
      </c>
      <c r="E77" s="118"/>
      <c r="F77" s="125"/>
      <c r="G77" s="125"/>
      <c r="H77" s="125"/>
      <c r="I77" s="125"/>
      <c r="J77" s="118">
        <f t="shared" ref="J77" si="59">L77+O77</f>
        <v>0</v>
      </c>
      <c r="K77" s="125">
        <v>0</v>
      </c>
      <c r="L77" s="125"/>
      <c r="M77" s="125"/>
      <c r="N77" s="125"/>
      <c r="O77" s="123">
        <f t="shared" ref="O77" si="60">K77</f>
        <v>0</v>
      </c>
      <c r="P77" s="118">
        <f t="shared" ref="P77" si="61">E77+J77</f>
        <v>0</v>
      </c>
      <c r="Q77" s="34"/>
      <c r="R77" s="24"/>
    </row>
    <row r="78" spans="1:18" s="31" customFormat="1" ht="184.5" hidden="1" thickTop="1" thickBot="1" x14ac:dyDescent="0.25">
      <c r="A78" s="119" t="s">
        <v>621</v>
      </c>
      <c r="B78" s="119" t="s">
        <v>622</v>
      </c>
      <c r="C78" s="119" t="s">
        <v>207</v>
      </c>
      <c r="D78" s="119" t="s">
        <v>1430</v>
      </c>
      <c r="E78" s="118"/>
      <c r="F78" s="125">
        <v>0</v>
      </c>
      <c r="G78" s="125">
        <v>0</v>
      </c>
      <c r="H78" s="125"/>
      <c r="I78" s="125"/>
      <c r="J78" s="118">
        <f t="shared" ref="J78" si="62">L78+O78</f>
        <v>0</v>
      </c>
      <c r="K78" s="125"/>
      <c r="L78" s="125"/>
      <c r="M78" s="125"/>
      <c r="N78" s="125"/>
      <c r="O78" s="123">
        <f t="shared" ref="O78" si="63">K78</f>
        <v>0</v>
      </c>
      <c r="P78" s="118">
        <f t="shared" ref="P78" si="64">E78+J78</f>
        <v>0</v>
      </c>
      <c r="Q78" s="34"/>
      <c r="R78" s="24"/>
    </row>
    <row r="79" spans="1:18" s="31" customFormat="1" ht="138.75" hidden="1" thickTop="1" thickBot="1" x14ac:dyDescent="0.25">
      <c r="A79" s="119" t="s">
        <v>891</v>
      </c>
      <c r="B79" s="119" t="s">
        <v>892</v>
      </c>
      <c r="C79" s="119" t="s">
        <v>207</v>
      </c>
      <c r="D79" s="119" t="s">
        <v>1258</v>
      </c>
      <c r="E79" s="118">
        <f t="shared" ref="E79" si="65">F79</f>
        <v>0</v>
      </c>
      <c r="F79" s="125"/>
      <c r="G79" s="125"/>
      <c r="H79" s="125"/>
      <c r="I79" s="125"/>
      <c r="J79" s="118">
        <f t="shared" ref="J79" si="66">L79+O79</f>
        <v>0</v>
      </c>
      <c r="K79" s="125"/>
      <c r="L79" s="125"/>
      <c r="M79" s="125"/>
      <c r="N79" s="125"/>
      <c r="O79" s="123">
        <f t="shared" ref="O79" si="67">K79</f>
        <v>0</v>
      </c>
      <c r="P79" s="118">
        <f t="shared" ref="P79" si="68">E79+J79</f>
        <v>0</v>
      </c>
      <c r="Q79" s="34"/>
      <c r="R79" s="24"/>
    </row>
    <row r="80" spans="1:18" s="31" customFormat="1" ht="93" hidden="1" thickTop="1" thickBot="1" x14ac:dyDescent="0.25">
      <c r="A80" s="131" t="s">
        <v>939</v>
      </c>
      <c r="B80" s="131" t="s">
        <v>941</v>
      </c>
      <c r="C80" s="131"/>
      <c r="D80" s="131" t="s">
        <v>1251</v>
      </c>
      <c r="E80" s="132">
        <f>F80</f>
        <v>0</v>
      </c>
      <c r="F80" s="132">
        <f>SUM(F81:F82)</f>
        <v>0</v>
      </c>
      <c r="G80" s="132">
        <f>SUM(G81:G82)</f>
        <v>0</v>
      </c>
      <c r="H80" s="132">
        <f>SUM(H81:H82)</f>
        <v>0</v>
      </c>
      <c r="I80" s="132">
        <f>SUM(I81:I82)</f>
        <v>0</v>
      </c>
      <c r="J80" s="132">
        <f>L80+O80</f>
        <v>0</v>
      </c>
      <c r="K80" s="132">
        <f>SUM(K81:K82)</f>
        <v>0</v>
      </c>
      <c r="L80" s="132">
        <f>SUM(L81:L82)</f>
        <v>0</v>
      </c>
      <c r="M80" s="132">
        <f>SUM(M81:M82)</f>
        <v>0</v>
      </c>
      <c r="N80" s="132">
        <f>SUM(N81:N82)</f>
        <v>0</v>
      </c>
      <c r="O80" s="132">
        <f>SUM(O81:O82)</f>
        <v>0</v>
      </c>
      <c r="P80" s="132">
        <f>E80+J80</f>
        <v>0</v>
      </c>
      <c r="Q80" s="34"/>
      <c r="R80" s="24"/>
    </row>
    <row r="81" spans="1:18" s="31" customFormat="1" ht="138.75" hidden="1" thickTop="1" thickBot="1" x14ac:dyDescent="0.25">
      <c r="A81" s="119" t="s">
        <v>940</v>
      </c>
      <c r="B81" s="119" t="s">
        <v>942</v>
      </c>
      <c r="C81" s="119" t="s">
        <v>207</v>
      </c>
      <c r="D81" s="119" t="s">
        <v>1130</v>
      </c>
      <c r="E81" s="118">
        <f>F81</f>
        <v>0</v>
      </c>
      <c r="F81" s="125"/>
      <c r="G81" s="125"/>
      <c r="H81" s="125"/>
      <c r="I81" s="125"/>
      <c r="J81" s="118">
        <f t="shared" ref="J81:J82" si="69">L81+O81</f>
        <v>0</v>
      </c>
      <c r="K81" s="125">
        <v>0</v>
      </c>
      <c r="L81" s="125"/>
      <c r="M81" s="125"/>
      <c r="N81" s="125"/>
      <c r="O81" s="123">
        <f t="shared" ref="O81:O82" si="70">K81</f>
        <v>0</v>
      </c>
      <c r="P81" s="118">
        <f>E81+J81</f>
        <v>0</v>
      </c>
      <c r="Q81" s="34"/>
      <c r="R81" s="24"/>
    </row>
    <row r="82" spans="1:18" s="31" customFormat="1" ht="138.75" hidden="1" thickTop="1" thickBot="1" x14ac:dyDescent="0.25">
      <c r="A82" s="119" t="s">
        <v>977</v>
      </c>
      <c r="B82" s="119" t="s">
        <v>978</v>
      </c>
      <c r="C82" s="119" t="s">
        <v>207</v>
      </c>
      <c r="D82" s="119" t="s">
        <v>1334</v>
      </c>
      <c r="E82" s="118">
        <f>F82</f>
        <v>0</v>
      </c>
      <c r="F82" s="125">
        <f>(553900)-553900</f>
        <v>0</v>
      </c>
      <c r="G82" s="125"/>
      <c r="H82" s="125"/>
      <c r="I82" s="125"/>
      <c r="J82" s="118">
        <f t="shared" si="69"/>
        <v>0</v>
      </c>
      <c r="K82" s="125">
        <v>0</v>
      </c>
      <c r="L82" s="125"/>
      <c r="M82" s="125"/>
      <c r="N82" s="125"/>
      <c r="O82" s="123">
        <f t="shared" si="70"/>
        <v>0</v>
      </c>
      <c r="P82" s="118">
        <f>E82+J82</f>
        <v>0</v>
      </c>
      <c r="Q82" s="34"/>
      <c r="R82" s="24"/>
    </row>
    <row r="83" spans="1:18" s="31" customFormat="1" ht="184.5" hidden="1" thickTop="1" thickBot="1" x14ac:dyDescent="0.25">
      <c r="A83" s="131" t="s">
        <v>1212</v>
      </c>
      <c r="B83" s="131" t="s">
        <v>1213</v>
      </c>
      <c r="C83" s="131"/>
      <c r="D83" s="131" t="s">
        <v>1416</v>
      </c>
      <c r="E83" s="132">
        <f>SUM(E84:E85)</f>
        <v>0</v>
      </c>
      <c r="F83" s="132">
        <f t="shared" ref="F83:P83" si="71">SUM(F84:F85)</f>
        <v>0</v>
      </c>
      <c r="G83" s="132">
        <f t="shared" si="71"/>
        <v>0</v>
      </c>
      <c r="H83" s="132">
        <f t="shared" si="71"/>
        <v>0</v>
      </c>
      <c r="I83" s="132">
        <f t="shared" si="71"/>
        <v>0</v>
      </c>
      <c r="J83" s="132">
        <f t="shared" si="71"/>
        <v>0</v>
      </c>
      <c r="K83" s="132">
        <f t="shared" si="71"/>
        <v>0</v>
      </c>
      <c r="L83" s="132">
        <f t="shared" si="71"/>
        <v>0</v>
      </c>
      <c r="M83" s="132">
        <f t="shared" si="71"/>
        <v>0</v>
      </c>
      <c r="N83" s="132">
        <f t="shared" si="71"/>
        <v>0</v>
      </c>
      <c r="O83" s="132">
        <f t="shared" si="71"/>
        <v>0</v>
      </c>
      <c r="P83" s="132">
        <f t="shared" si="71"/>
        <v>0</v>
      </c>
      <c r="Q83" s="34"/>
      <c r="R83" s="24"/>
    </row>
    <row r="84" spans="1:18" s="31" customFormat="1" ht="276" hidden="1" thickTop="1" thickBot="1" x14ac:dyDescent="0.25">
      <c r="A84" s="119" t="s">
        <v>1214</v>
      </c>
      <c r="B84" s="119" t="s">
        <v>1215</v>
      </c>
      <c r="C84" s="119" t="s">
        <v>207</v>
      </c>
      <c r="D84" s="119" t="s">
        <v>1417</v>
      </c>
      <c r="E84" s="118"/>
      <c r="F84" s="125"/>
      <c r="G84" s="125"/>
      <c r="H84" s="125"/>
      <c r="I84" s="125"/>
      <c r="J84" s="118">
        <f t="shared" ref="J84:J85" si="72">L84+O84</f>
        <v>0</v>
      </c>
      <c r="K84" s="125">
        <v>0</v>
      </c>
      <c r="L84" s="125"/>
      <c r="M84" s="125"/>
      <c r="N84" s="125"/>
      <c r="O84" s="123">
        <f t="shared" ref="O84:O85" si="73">K84</f>
        <v>0</v>
      </c>
      <c r="P84" s="118">
        <f>E84+J84</f>
        <v>0</v>
      </c>
      <c r="Q84" s="34"/>
      <c r="R84" s="24"/>
    </row>
    <row r="85" spans="1:18" s="31" customFormat="1" ht="138.75" hidden="1" thickTop="1" thickBot="1" x14ac:dyDescent="0.25">
      <c r="A85" s="119" t="s">
        <v>1216</v>
      </c>
      <c r="B85" s="119" t="s">
        <v>1217</v>
      </c>
      <c r="C85" s="119" t="s">
        <v>207</v>
      </c>
      <c r="D85" s="119" t="s">
        <v>1218</v>
      </c>
      <c r="E85" s="118">
        <f>F85</f>
        <v>0</v>
      </c>
      <c r="F85" s="125"/>
      <c r="G85" s="125"/>
      <c r="H85" s="125"/>
      <c r="I85" s="125"/>
      <c r="J85" s="118">
        <f t="shared" si="72"/>
        <v>0</v>
      </c>
      <c r="K85" s="125"/>
      <c r="L85" s="125"/>
      <c r="M85" s="125"/>
      <c r="N85" s="125"/>
      <c r="O85" s="123">
        <f t="shared" si="73"/>
        <v>0</v>
      </c>
      <c r="P85" s="118">
        <f>E85+J85</f>
        <v>0</v>
      </c>
      <c r="Q85" s="34"/>
      <c r="R85" s="24"/>
    </row>
    <row r="86" spans="1:18" s="31" customFormat="1" ht="138.75" hidden="1" thickTop="1" thickBot="1" x14ac:dyDescent="0.25">
      <c r="A86" s="131" t="s">
        <v>1266</v>
      </c>
      <c r="B86" s="131" t="s">
        <v>1265</v>
      </c>
      <c r="C86" s="131"/>
      <c r="D86" s="131" t="s">
        <v>1267</v>
      </c>
      <c r="E86" s="132">
        <f>SUM(E87:E90)</f>
        <v>0</v>
      </c>
      <c r="F86" s="132">
        <f t="shared" ref="F86:P86" si="74">SUM(F87:F90)</f>
        <v>0</v>
      </c>
      <c r="G86" s="132">
        <f t="shared" si="74"/>
        <v>0</v>
      </c>
      <c r="H86" s="132">
        <f t="shared" si="74"/>
        <v>0</v>
      </c>
      <c r="I86" s="132">
        <f t="shared" si="74"/>
        <v>0</v>
      </c>
      <c r="J86" s="132">
        <f t="shared" si="74"/>
        <v>0</v>
      </c>
      <c r="K86" s="132">
        <f t="shared" si="74"/>
        <v>0</v>
      </c>
      <c r="L86" s="132">
        <f t="shared" si="74"/>
        <v>0</v>
      </c>
      <c r="M86" s="132">
        <f t="shared" si="74"/>
        <v>0</v>
      </c>
      <c r="N86" s="132">
        <f t="shared" si="74"/>
        <v>0</v>
      </c>
      <c r="O86" s="132">
        <f t="shared" si="74"/>
        <v>0</v>
      </c>
      <c r="P86" s="132">
        <f t="shared" si="74"/>
        <v>0</v>
      </c>
      <c r="Q86" s="34"/>
      <c r="R86" s="24"/>
    </row>
    <row r="87" spans="1:18" s="31" customFormat="1" ht="93" hidden="1" thickTop="1" thickBot="1" x14ac:dyDescent="0.25">
      <c r="A87" s="321" t="s">
        <v>1268</v>
      </c>
      <c r="B87" s="321" t="s">
        <v>1269</v>
      </c>
      <c r="C87" s="321" t="s">
        <v>207</v>
      </c>
      <c r="D87" s="321" t="s">
        <v>1273</v>
      </c>
      <c r="E87" s="343">
        <f t="shared" ref="E87:E88" si="75">F87</f>
        <v>0</v>
      </c>
      <c r="F87" s="344">
        <v>0</v>
      </c>
      <c r="G87" s="344"/>
      <c r="H87" s="344"/>
      <c r="I87" s="344"/>
      <c r="J87" s="343">
        <f t="shared" ref="J87:J90" si="76">L87+O87</f>
        <v>0</v>
      </c>
      <c r="K87" s="344"/>
      <c r="L87" s="344"/>
      <c r="M87" s="344"/>
      <c r="N87" s="344"/>
      <c r="O87" s="345">
        <f t="shared" ref="O87" si="77">K87</f>
        <v>0</v>
      </c>
      <c r="P87" s="343">
        <f t="shared" ref="P87:P88" si="78">E87+J87</f>
        <v>0</v>
      </c>
      <c r="Q87" s="34"/>
      <c r="R87" s="24"/>
    </row>
    <row r="88" spans="1:18" s="31" customFormat="1" ht="138.75" hidden="1" thickTop="1" thickBot="1" x14ac:dyDescent="0.25">
      <c r="A88" s="321" t="s">
        <v>1270</v>
      </c>
      <c r="B88" s="321" t="s">
        <v>1271</v>
      </c>
      <c r="C88" s="321" t="s">
        <v>207</v>
      </c>
      <c r="D88" s="321" t="s">
        <v>1272</v>
      </c>
      <c r="E88" s="343">
        <f t="shared" si="75"/>
        <v>0</v>
      </c>
      <c r="F88" s="344"/>
      <c r="G88" s="344"/>
      <c r="H88" s="344"/>
      <c r="I88" s="344"/>
      <c r="J88" s="343">
        <f t="shared" si="76"/>
        <v>0</v>
      </c>
      <c r="K88" s="344"/>
      <c r="L88" s="344"/>
      <c r="M88" s="344"/>
      <c r="N88" s="344"/>
      <c r="O88" s="345">
        <f>K88</f>
        <v>0</v>
      </c>
      <c r="P88" s="343">
        <f t="shared" si="78"/>
        <v>0</v>
      </c>
      <c r="Q88" s="34"/>
      <c r="R88" s="24"/>
    </row>
    <row r="89" spans="1:18" s="31" customFormat="1" ht="138.75" hidden="1" thickTop="1" thickBot="1" x14ac:dyDescent="0.25">
      <c r="A89" s="119" t="s">
        <v>1482</v>
      </c>
      <c r="B89" s="119" t="s">
        <v>1477</v>
      </c>
      <c r="C89" s="119" t="s">
        <v>207</v>
      </c>
      <c r="D89" s="119" t="s">
        <v>1476</v>
      </c>
      <c r="E89" s="118"/>
      <c r="F89" s="125">
        <v>0</v>
      </c>
      <c r="G89" s="125"/>
      <c r="H89" s="125"/>
      <c r="I89" s="125"/>
      <c r="J89" s="118">
        <f t="shared" si="76"/>
        <v>0</v>
      </c>
      <c r="K89" s="125">
        <v>0</v>
      </c>
      <c r="L89" s="125"/>
      <c r="M89" s="125"/>
      <c r="N89" s="125"/>
      <c r="O89" s="123">
        <f t="shared" ref="O89" si="79">K89</f>
        <v>0</v>
      </c>
      <c r="P89" s="118">
        <f>E89+J89</f>
        <v>0</v>
      </c>
      <c r="Q89" s="34"/>
      <c r="R89" s="24"/>
    </row>
    <row r="90" spans="1:18" s="31" customFormat="1" ht="138.75" hidden="1" thickTop="1" thickBot="1" x14ac:dyDescent="0.25">
      <c r="A90" s="119" t="s">
        <v>1483</v>
      </c>
      <c r="B90" s="119" t="s">
        <v>1479</v>
      </c>
      <c r="C90" s="119" t="s">
        <v>207</v>
      </c>
      <c r="D90" s="119" t="s">
        <v>1478</v>
      </c>
      <c r="E90" s="118"/>
      <c r="F90" s="125"/>
      <c r="G90" s="125"/>
      <c r="H90" s="125"/>
      <c r="I90" s="125"/>
      <c r="J90" s="118">
        <f t="shared" si="76"/>
        <v>0</v>
      </c>
      <c r="K90" s="125"/>
      <c r="L90" s="125">
        <v>0</v>
      </c>
      <c r="M90" s="125"/>
      <c r="N90" s="125"/>
      <c r="O90" s="123">
        <f>K90</f>
        <v>0</v>
      </c>
      <c r="P90" s="118">
        <f>E90+J90</f>
        <v>0</v>
      </c>
      <c r="Q90" s="34"/>
      <c r="R90" s="24"/>
    </row>
    <row r="91" spans="1:18" s="31" customFormat="1" ht="184.5" hidden="1" thickTop="1" thickBot="1" x14ac:dyDescent="0.25">
      <c r="A91" s="131" t="s">
        <v>1319</v>
      </c>
      <c r="B91" s="131" t="s">
        <v>1321</v>
      </c>
      <c r="C91" s="119"/>
      <c r="D91" s="131" t="s">
        <v>1318</v>
      </c>
      <c r="E91" s="132">
        <f>SUM(E92:E93)</f>
        <v>0</v>
      </c>
      <c r="F91" s="132">
        <f t="shared" ref="F91:O91" si="80">SUM(F92:F93)</f>
        <v>0</v>
      </c>
      <c r="G91" s="132">
        <f t="shared" si="80"/>
        <v>0</v>
      </c>
      <c r="H91" s="132">
        <f t="shared" si="80"/>
        <v>0</v>
      </c>
      <c r="I91" s="132">
        <f t="shared" si="80"/>
        <v>0</v>
      </c>
      <c r="J91" s="132">
        <f t="shared" si="80"/>
        <v>0</v>
      </c>
      <c r="K91" s="132">
        <f t="shared" si="80"/>
        <v>0</v>
      </c>
      <c r="L91" s="132">
        <f t="shared" si="80"/>
        <v>0</v>
      </c>
      <c r="M91" s="132">
        <f t="shared" si="80"/>
        <v>0</v>
      </c>
      <c r="N91" s="132">
        <f t="shared" si="80"/>
        <v>0</v>
      </c>
      <c r="O91" s="132">
        <f t="shared" si="80"/>
        <v>0</v>
      </c>
      <c r="P91" s="132">
        <f>SUM(P92:P93)</f>
        <v>0</v>
      </c>
      <c r="Q91" s="34"/>
      <c r="R91" s="24"/>
    </row>
    <row r="92" spans="1:18" s="31" customFormat="1" ht="230.25" hidden="1" thickTop="1" thickBot="1" x14ac:dyDescent="0.25">
      <c r="A92" s="119" t="s">
        <v>1322</v>
      </c>
      <c r="B92" s="119" t="s">
        <v>1320</v>
      </c>
      <c r="C92" s="119" t="s">
        <v>207</v>
      </c>
      <c r="D92" s="119" t="s">
        <v>1323</v>
      </c>
      <c r="E92" s="118"/>
      <c r="F92" s="125"/>
      <c r="G92" s="125"/>
      <c r="H92" s="125"/>
      <c r="I92" s="125"/>
      <c r="J92" s="118">
        <f t="shared" ref="J92:J94" si="81">L92+O92</f>
        <v>0</v>
      </c>
      <c r="K92" s="125">
        <v>0</v>
      </c>
      <c r="L92" s="125"/>
      <c r="M92" s="125"/>
      <c r="N92" s="125"/>
      <c r="O92" s="123">
        <f t="shared" ref="O92" si="82">K92</f>
        <v>0</v>
      </c>
      <c r="P92" s="118">
        <f>E92+J92</f>
        <v>0</v>
      </c>
      <c r="Q92" s="34"/>
      <c r="R92" s="24"/>
    </row>
    <row r="93" spans="1:18" s="31" customFormat="1" ht="184.5" hidden="1" thickTop="1" thickBot="1" x14ac:dyDescent="0.25">
      <c r="A93" s="119" t="s">
        <v>1324</v>
      </c>
      <c r="B93" s="119" t="s">
        <v>1325</v>
      </c>
      <c r="C93" s="119" t="s">
        <v>207</v>
      </c>
      <c r="D93" s="119" t="s">
        <v>1326</v>
      </c>
      <c r="E93" s="118"/>
      <c r="F93" s="125"/>
      <c r="G93" s="125"/>
      <c r="H93" s="125"/>
      <c r="I93" s="125"/>
      <c r="J93" s="118">
        <f t="shared" si="81"/>
        <v>0</v>
      </c>
      <c r="K93" s="125"/>
      <c r="L93" s="125">
        <v>0</v>
      </c>
      <c r="M93" s="125"/>
      <c r="N93" s="125"/>
      <c r="O93" s="123">
        <f>K93+0</f>
        <v>0</v>
      </c>
      <c r="P93" s="118">
        <f>E93+J93</f>
        <v>0</v>
      </c>
      <c r="Q93" s="34"/>
      <c r="R93" s="24"/>
    </row>
    <row r="94" spans="1:18" s="31" customFormat="1" ht="148.5" customHeight="1" thickTop="1" thickBot="1" x14ac:dyDescent="0.25">
      <c r="A94" s="94" t="s">
        <v>1402</v>
      </c>
      <c r="B94" s="94" t="s">
        <v>1389</v>
      </c>
      <c r="C94" s="94" t="s">
        <v>207</v>
      </c>
      <c r="D94" s="94" t="s">
        <v>1580</v>
      </c>
      <c r="E94" s="118"/>
      <c r="F94" s="125"/>
      <c r="G94" s="125"/>
      <c r="H94" s="125"/>
      <c r="I94" s="125"/>
      <c r="J94" s="522">
        <f t="shared" si="81"/>
        <v>9379760</v>
      </c>
      <c r="K94" s="525">
        <f>7000000+2252760+127000</f>
        <v>9379760</v>
      </c>
      <c r="L94" s="525"/>
      <c r="M94" s="525"/>
      <c r="N94" s="525"/>
      <c r="O94" s="523">
        <f t="shared" ref="O94" si="83">K94</f>
        <v>9379760</v>
      </c>
      <c r="P94" s="522">
        <f>E94+J94</f>
        <v>9379760</v>
      </c>
      <c r="Q94" s="34"/>
      <c r="R94" s="24"/>
    </row>
    <row r="95" spans="1:18" s="31" customFormat="1" ht="93" hidden="1" thickTop="1" thickBot="1" x14ac:dyDescent="0.25">
      <c r="A95" s="131" t="s">
        <v>1364</v>
      </c>
      <c r="B95" s="131" t="s">
        <v>1367</v>
      </c>
      <c r="C95" s="119"/>
      <c r="D95" s="131" t="s">
        <v>1368</v>
      </c>
      <c r="E95" s="132">
        <f>E96</f>
        <v>0</v>
      </c>
      <c r="F95" s="132">
        <f t="shared" ref="F95:P95" si="84">F96</f>
        <v>0</v>
      </c>
      <c r="G95" s="132">
        <f t="shared" si="84"/>
        <v>0</v>
      </c>
      <c r="H95" s="132">
        <f t="shared" si="84"/>
        <v>0</v>
      </c>
      <c r="I95" s="132">
        <f t="shared" si="84"/>
        <v>0</v>
      </c>
      <c r="J95" s="132">
        <f t="shared" si="84"/>
        <v>0</v>
      </c>
      <c r="K95" s="132">
        <f t="shared" si="84"/>
        <v>0</v>
      </c>
      <c r="L95" s="132">
        <f t="shared" si="84"/>
        <v>0</v>
      </c>
      <c r="M95" s="132">
        <f t="shared" si="84"/>
        <v>0</v>
      </c>
      <c r="N95" s="132">
        <f t="shared" si="84"/>
        <v>0</v>
      </c>
      <c r="O95" s="132">
        <f t="shared" si="84"/>
        <v>0</v>
      </c>
      <c r="P95" s="132">
        <f t="shared" si="84"/>
        <v>0</v>
      </c>
      <c r="Q95" s="34"/>
      <c r="R95" s="24"/>
    </row>
    <row r="96" spans="1:18" s="31" customFormat="1" ht="138.75" hidden="1" thickTop="1" thickBot="1" x14ac:dyDescent="0.25">
      <c r="A96" s="119" t="s">
        <v>1365</v>
      </c>
      <c r="B96" s="119" t="s">
        <v>1366</v>
      </c>
      <c r="C96" s="119" t="s">
        <v>207</v>
      </c>
      <c r="D96" s="119" t="s">
        <v>1369</v>
      </c>
      <c r="E96" s="118"/>
      <c r="F96" s="125"/>
      <c r="G96" s="125"/>
      <c r="H96" s="125"/>
      <c r="I96" s="125"/>
      <c r="J96" s="118">
        <f t="shared" ref="J96" si="85">L96+O96</f>
        <v>0</v>
      </c>
      <c r="K96" s="125"/>
      <c r="L96" s="125">
        <v>0</v>
      </c>
      <c r="M96" s="125"/>
      <c r="N96" s="125"/>
      <c r="O96" s="123">
        <f t="shared" ref="O96" si="86">K96</f>
        <v>0</v>
      </c>
      <c r="P96" s="118">
        <f>E96+J96</f>
        <v>0</v>
      </c>
      <c r="Q96" s="34"/>
      <c r="R96" s="24"/>
    </row>
    <row r="97" spans="1:18" s="31" customFormat="1" ht="93" hidden="1" thickTop="1" thickBot="1" x14ac:dyDescent="0.25">
      <c r="A97" s="119" t="s">
        <v>1431</v>
      </c>
      <c r="B97" s="119" t="s">
        <v>1432</v>
      </c>
      <c r="C97" s="119" t="s">
        <v>207</v>
      </c>
      <c r="D97" s="119" t="s">
        <v>1433</v>
      </c>
      <c r="E97" s="118"/>
      <c r="F97" s="125">
        <v>0</v>
      </c>
      <c r="G97" s="125">
        <v>0</v>
      </c>
      <c r="H97" s="125"/>
      <c r="I97" s="125"/>
      <c r="J97" s="118">
        <f t="shared" ref="J97" si="87">L97+O97</f>
        <v>0</v>
      </c>
      <c r="K97" s="125"/>
      <c r="L97" s="125"/>
      <c r="M97" s="125"/>
      <c r="N97" s="125"/>
      <c r="O97" s="123">
        <f t="shared" ref="O97" si="88">K97</f>
        <v>0</v>
      </c>
      <c r="P97" s="118">
        <f>E97+J97</f>
        <v>0</v>
      </c>
      <c r="Q97" s="34"/>
      <c r="R97" s="24"/>
    </row>
    <row r="98" spans="1:18" s="31" customFormat="1" ht="99.75" customHeight="1" thickTop="1" thickBot="1" x14ac:dyDescent="0.25">
      <c r="A98" s="242" t="s">
        <v>683</v>
      </c>
      <c r="B98" s="242" t="s">
        <v>684</v>
      </c>
      <c r="C98" s="242"/>
      <c r="D98" s="242" t="s">
        <v>685</v>
      </c>
      <c r="E98" s="522">
        <f>SUM(E99:E101)</f>
        <v>1665000</v>
      </c>
      <c r="F98" s="522">
        <f t="shared" ref="F98:P98" si="89">SUM(F99:F101)</f>
        <v>715000</v>
      </c>
      <c r="G98" s="522">
        <f t="shared" si="89"/>
        <v>0</v>
      </c>
      <c r="H98" s="522">
        <f t="shared" si="89"/>
        <v>0</v>
      </c>
      <c r="I98" s="522">
        <f t="shared" si="89"/>
        <v>950000</v>
      </c>
      <c r="J98" s="522">
        <f t="shared" si="89"/>
        <v>0</v>
      </c>
      <c r="K98" s="522">
        <f t="shared" si="89"/>
        <v>0</v>
      </c>
      <c r="L98" s="522">
        <f t="shared" si="89"/>
        <v>0</v>
      </c>
      <c r="M98" s="522">
        <f t="shared" si="89"/>
        <v>0</v>
      </c>
      <c r="N98" s="522">
        <f t="shared" si="89"/>
        <v>0</v>
      </c>
      <c r="O98" s="522">
        <f t="shared" si="89"/>
        <v>0</v>
      </c>
      <c r="P98" s="522">
        <f t="shared" si="89"/>
        <v>1665000</v>
      </c>
      <c r="Q98" s="34"/>
      <c r="R98" s="24"/>
    </row>
    <row r="99" spans="1:18" s="31" customFormat="1" ht="210.75" customHeight="1" thickTop="1" thickBot="1" x14ac:dyDescent="0.25">
      <c r="A99" s="94" t="s">
        <v>423</v>
      </c>
      <c r="B99" s="94" t="s">
        <v>424</v>
      </c>
      <c r="C99" s="94" t="s">
        <v>182</v>
      </c>
      <c r="D99" s="94" t="s">
        <v>422</v>
      </c>
      <c r="E99" s="492">
        <f>F99+I99</f>
        <v>715000</v>
      </c>
      <c r="F99" s="525">
        <v>715000</v>
      </c>
      <c r="G99" s="125"/>
      <c r="H99" s="125"/>
      <c r="I99" s="125"/>
      <c r="J99" s="522">
        <f>L99+O99</f>
        <v>0</v>
      </c>
      <c r="K99" s="525"/>
      <c r="L99" s="525"/>
      <c r="M99" s="525"/>
      <c r="N99" s="525"/>
      <c r="O99" s="523">
        <f>K99</f>
        <v>0</v>
      </c>
      <c r="P99" s="522">
        <f>E99+J99</f>
        <v>715000</v>
      </c>
      <c r="Q99" s="34"/>
      <c r="R99" s="37"/>
    </row>
    <row r="100" spans="1:18" s="31" customFormat="1" ht="93" hidden="1" thickTop="1" thickBot="1" x14ac:dyDescent="0.25">
      <c r="A100" s="119" t="s">
        <v>1117</v>
      </c>
      <c r="B100" s="119" t="s">
        <v>1086</v>
      </c>
      <c r="C100" s="119" t="s">
        <v>203</v>
      </c>
      <c r="D100" s="282" t="s">
        <v>1087</v>
      </c>
      <c r="E100" s="118">
        <f t="shared" si="56"/>
        <v>0</v>
      </c>
      <c r="F100" s="125"/>
      <c r="G100" s="125"/>
      <c r="H100" s="125"/>
      <c r="I100" s="125"/>
      <c r="J100" s="118">
        <f>L100+O100</f>
        <v>0</v>
      </c>
      <c r="K100" s="125"/>
      <c r="L100" s="125"/>
      <c r="M100" s="125"/>
      <c r="N100" s="125"/>
      <c r="O100" s="123">
        <f>K100</f>
        <v>0</v>
      </c>
      <c r="P100" s="118">
        <f>E100+J100</f>
        <v>0</v>
      </c>
      <c r="Q100" s="34"/>
      <c r="R100" s="37"/>
    </row>
    <row r="101" spans="1:18" s="31" customFormat="1" ht="96.75" customHeight="1" thickTop="1" thickBot="1" x14ac:dyDescent="0.25">
      <c r="A101" s="94" t="s">
        <v>1629</v>
      </c>
      <c r="B101" s="94" t="s">
        <v>325</v>
      </c>
      <c r="C101" s="94" t="s">
        <v>188</v>
      </c>
      <c r="D101" s="528" t="s">
        <v>326</v>
      </c>
      <c r="E101" s="542">
        <f>F101+I101</f>
        <v>950000</v>
      </c>
      <c r="F101" s="525"/>
      <c r="G101" s="525"/>
      <c r="H101" s="525"/>
      <c r="I101" s="525">
        <v>950000</v>
      </c>
      <c r="J101" s="522">
        <f t="shared" ref="J101" si="90">L101+O101</f>
        <v>0</v>
      </c>
      <c r="K101" s="525"/>
      <c r="L101" s="525"/>
      <c r="M101" s="525"/>
      <c r="N101" s="525"/>
      <c r="O101" s="523">
        <f t="shared" ref="O101" si="91">K101</f>
        <v>0</v>
      </c>
      <c r="P101" s="522">
        <f>E101+J101</f>
        <v>950000</v>
      </c>
      <c r="Q101" s="34"/>
      <c r="R101" s="37"/>
    </row>
    <row r="102" spans="1:18" s="31" customFormat="1" ht="86.25" customHeight="1" thickTop="1" thickBot="1" x14ac:dyDescent="0.25">
      <c r="A102" s="242" t="s">
        <v>1014</v>
      </c>
      <c r="B102" s="242" t="s">
        <v>719</v>
      </c>
      <c r="C102" s="242"/>
      <c r="D102" s="242" t="s">
        <v>1013</v>
      </c>
      <c r="E102" s="522">
        <f>E105+E103</f>
        <v>3000000</v>
      </c>
      <c r="F102" s="522">
        <f t="shared" ref="F102:P102" si="92">F105+F103</f>
        <v>0</v>
      </c>
      <c r="G102" s="522">
        <f t="shared" si="92"/>
        <v>0</v>
      </c>
      <c r="H102" s="522">
        <f t="shared" si="92"/>
        <v>0</v>
      </c>
      <c r="I102" s="522">
        <f t="shared" si="92"/>
        <v>3000000</v>
      </c>
      <c r="J102" s="522">
        <f t="shared" si="92"/>
        <v>0</v>
      </c>
      <c r="K102" s="522">
        <f t="shared" si="92"/>
        <v>0</v>
      </c>
      <c r="L102" s="522">
        <f t="shared" si="92"/>
        <v>0</v>
      </c>
      <c r="M102" s="522">
        <f t="shared" si="92"/>
        <v>0</v>
      </c>
      <c r="N102" s="522">
        <f t="shared" si="92"/>
        <v>0</v>
      </c>
      <c r="O102" s="522">
        <f t="shared" si="92"/>
        <v>0</v>
      </c>
      <c r="P102" s="522">
        <f t="shared" si="92"/>
        <v>3000000</v>
      </c>
      <c r="Q102" s="34"/>
      <c r="R102" s="24"/>
    </row>
    <row r="103" spans="1:18" s="31" customFormat="1" ht="47.25" hidden="1" thickTop="1" thickBot="1" x14ac:dyDescent="0.25">
      <c r="A103" s="127" t="s">
        <v>1451</v>
      </c>
      <c r="B103" s="359" t="s">
        <v>771</v>
      </c>
      <c r="C103" s="359"/>
      <c r="D103" s="359" t="s">
        <v>1424</v>
      </c>
      <c r="E103" s="128">
        <f>E104</f>
        <v>0</v>
      </c>
      <c r="F103" s="128">
        <f t="shared" ref="F103:P105" si="93">F104</f>
        <v>0</v>
      </c>
      <c r="G103" s="128">
        <f t="shared" si="93"/>
        <v>0</v>
      </c>
      <c r="H103" s="128">
        <f t="shared" si="93"/>
        <v>0</v>
      </c>
      <c r="I103" s="128">
        <f t="shared" si="93"/>
        <v>0</v>
      </c>
      <c r="J103" s="128">
        <f t="shared" si="93"/>
        <v>0</v>
      </c>
      <c r="K103" s="128">
        <f t="shared" si="93"/>
        <v>0</v>
      </c>
      <c r="L103" s="128">
        <f t="shared" si="93"/>
        <v>0</v>
      </c>
      <c r="M103" s="128">
        <f t="shared" si="93"/>
        <v>0</v>
      </c>
      <c r="N103" s="128">
        <f t="shared" si="93"/>
        <v>0</v>
      </c>
      <c r="O103" s="128">
        <f t="shared" si="93"/>
        <v>0</v>
      </c>
      <c r="P103" s="128">
        <f t="shared" si="93"/>
        <v>0</v>
      </c>
      <c r="Q103" s="34"/>
      <c r="R103" s="24"/>
    </row>
    <row r="104" spans="1:18" s="31" customFormat="1" ht="54" hidden="1" thickTop="1" thickBot="1" x14ac:dyDescent="0.25">
      <c r="A104" s="119" t="s">
        <v>1452</v>
      </c>
      <c r="B104" s="360" t="s">
        <v>310</v>
      </c>
      <c r="C104" s="360" t="s">
        <v>300</v>
      </c>
      <c r="D104" s="360" t="s">
        <v>1292</v>
      </c>
      <c r="E104" s="118">
        <f t="shared" ref="E104" si="94">F104</f>
        <v>0</v>
      </c>
      <c r="F104" s="125"/>
      <c r="G104" s="125"/>
      <c r="H104" s="125"/>
      <c r="I104" s="125"/>
      <c r="J104" s="118">
        <f t="shared" ref="J104" si="95">L104+O104</f>
        <v>0</v>
      </c>
      <c r="K104" s="125">
        <f>1600000-1600000</f>
        <v>0</v>
      </c>
      <c r="L104" s="125"/>
      <c r="M104" s="125"/>
      <c r="N104" s="125"/>
      <c r="O104" s="123">
        <f t="shared" ref="O104" si="96">K104</f>
        <v>0</v>
      </c>
      <c r="P104" s="118">
        <f>E104+J104</f>
        <v>0</v>
      </c>
      <c r="Q104" s="34"/>
      <c r="R104" s="24"/>
    </row>
    <row r="105" spans="1:18" s="31" customFormat="1" ht="99.75" customHeight="1" thickTop="1" thickBot="1" x14ac:dyDescent="0.25">
      <c r="A105" s="529" t="s">
        <v>1015</v>
      </c>
      <c r="B105" s="529" t="s">
        <v>665</v>
      </c>
      <c r="C105" s="529"/>
      <c r="D105" s="529" t="s">
        <v>663</v>
      </c>
      <c r="E105" s="545">
        <f>E106</f>
        <v>3000000</v>
      </c>
      <c r="F105" s="545">
        <f t="shared" si="93"/>
        <v>0</v>
      </c>
      <c r="G105" s="545">
        <f t="shared" si="93"/>
        <v>0</v>
      </c>
      <c r="H105" s="545">
        <f t="shared" si="93"/>
        <v>0</v>
      </c>
      <c r="I105" s="545">
        <f t="shared" si="93"/>
        <v>3000000</v>
      </c>
      <c r="J105" s="545">
        <f t="shared" si="93"/>
        <v>0</v>
      </c>
      <c r="K105" s="545">
        <f t="shared" si="93"/>
        <v>0</v>
      </c>
      <c r="L105" s="545">
        <f t="shared" si="93"/>
        <v>0</v>
      </c>
      <c r="M105" s="545">
        <f t="shared" si="93"/>
        <v>0</v>
      </c>
      <c r="N105" s="545">
        <f t="shared" si="93"/>
        <v>0</v>
      </c>
      <c r="O105" s="545">
        <f t="shared" si="93"/>
        <v>0</v>
      </c>
      <c r="P105" s="545">
        <f t="shared" si="93"/>
        <v>3000000</v>
      </c>
      <c r="Q105" s="28"/>
      <c r="R105" s="24"/>
    </row>
    <row r="106" spans="1:18" s="31" customFormat="1" ht="90.75" customHeight="1" thickTop="1" thickBot="1" x14ac:dyDescent="0.25">
      <c r="A106" s="94" t="s">
        <v>1016</v>
      </c>
      <c r="B106" s="94" t="s">
        <v>209</v>
      </c>
      <c r="C106" s="94" t="s">
        <v>210</v>
      </c>
      <c r="D106" s="94" t="s">
        <v>41</v>
      </c>
      <c r="E106" s="542">
        <f>F106+I106</f>
        <v>3000000</v>
      </c>
      <c r="F106" s="525"/>
      <c r="G106" s="525"/>
      <c r="H106" s="525"/>
      <c r="I106" s="525">
        <f>2000000+1000000</f>
        <v>3000000</v>
      </c>
      <c r="J106" s="522">
        <f t="shared" ref="J106" si="97">L106+O106</f>
        <v>0</v>
      </c>
      <c r="K106" s="525"/>
      <c r="L106" s="525"/>
      <c r="M106" s="525"/>
      <c r="N106" s="525"/>
      <c r="O106" s="523">
        <f t="shared" ref="O106" si="98">K106</f>
        <v>0</v>
      </c>
      <c r="P106" s="522">
        <f>E106+J106</f>
        <v>3000000</v>
      </c>
      <c r="Q106" s="28"/>
      <c r="R106" s="24"/>
    </row>
    <row r="107" spans="1:18" s="31" customFormat="1" ht="47.25" hidden="1" thickTop="1" thickBot="1" x14ac:dyDescent="0.25">
      <c r="A107" s="116" t="s">
        <v>1109</v>
      </c>
      <c r="B107" s="116" t="s">
        <v>670</v>
      </c>
      <c r="C107" s="116"/>
      <c r="D107" s="116" t="s">
        <v>671</v>
      </c>
      <c r="E107" s="118">
        <f>E110+E108</f>
        <v>0</v>
      </c>
      <c r="F107" s="118">
        <f t="shared" ref="F107:P107" si="99">F110+F108</f>
        <v>0</v>
      </c>
      <c r="G107" s="118">
        <f t="shared" si="99"/>
        <v>0</v>
      </c>
      <c r="H107" s="118">
        <f t="shared" si="99"/>
        <v>0</v>
      </c>
      <c r="I107" s="118">
        <f t="shared" si="99"/>
        <v>0</v>
      </c>
      <c r="J107" s="118">
        <f t="shared" si="99"/>
        <v>0</v>
      </c>
      <c r="K107" s="118">
        <f t="shared" si="99"/>
        <v>0</v>
      </c>
      <c r="L107" s="118">
        <f t="shared" si="99"/>
        <v>0</v>
      </c>
      <c r="M107" s="118">
        <f t="shared" si="99"/>
        <v>0</v>
      </c>
      <c r="N107" s="118">
        <f t="shared" si="99"/>
        <v>0</v>
      </c>
      <c r="O107" s="118">
        <f t="shared" si="99"/>
        <v>0</v>
      </c>
      <c r="P107" s="118">
        <f t="shared" si="99"/>
        <v>0</v>
      </c>
      <c r="Q107" s="28"/>
      <c r="R107" s="24"/>
    </row>
    <row r="108" spans="1:18" s="31" customFormat="1" ht="47.25" hidden="1" thickTop="1" thickBot="1" x14ac:dyDescent="0.25">
      <c r="A108" s="127" t="s">
        <v>1499</v>
      </c>
      <c r="B108" s="127" t="s">
        <v>780</v>
      </c>
      <c r="C108" s="127"/>
      <c r="D108" s="127" t="s">
        <v>1146</v>
      </c>
      <c r="E108" s="128">
        <f>E109</f>
        <v>0</v>
      </c>
      <c r="F108" s="128">
        <f t="shared" ref="F108:P108" si="100">F109</f>
        <v>0</v>
      </c>
      <c r="G108" s="128">
        <f t="shared" si="100"/>
        <v>0</v>
      </c>
      <c r="H108" s="128">
        <f t="shared" si="100"/>
        <v>0</v>
      </c>
      <c r="I108" s="128">
        <f t="shared" si="100"/>
        <v>0</v>
      </c>
      <c r="J108" s="128">
        <f t="shared" si="100"/>
        <v>0</v>
      </c>
      <c r="K108" s="128">
        <f t="shared" si="100"/>
        <v>0</v>
      </c>
      <c r="L108" s="128">
        <f t="shared" si="100"/>
        <v>0</v>
      </c>
      <c r="M108" s="128">
        <f t="shared" si="100"/>
        <v>0</v>
      </c>
      <c r="N108" s="128">
        <f t="shared" si="100"/>
        <v>0</v>
      </c>
      <c r="O108" s="128">
        <f t="shared" si="100"/>
        <v>0</v>
      </c>
      <c r="P108" s="128">
        <f t="shared" si="100"/>
        <v>0</v>
      </c>
      <c r="Q108" s="28"/>
      <c r="R108" s="24"/>
    </row>
    <row r="109" spans="1:18" s="31" customFormat="1" ht="93" hidden="1" thickTop="1" thickBot="1" x14ac:dyDescent="0.25">
      <c r="A109" s="119" t="s">
        <v>1500</v>
      </c>
      <c r="B109" s="119" t="s">
        <v>504</v>
      </c>
      <c r="C109" s="119" t="s">
        <v>247</v>
      </c>
      <c r="D109" s="119" t="s">
        <v>505</v>
      </c>
      <c r="E109" s="118"/>
      <c r="F109" s="125">
        <v>0</v>
      </c>
      <c r="G109" s="125"/>
      <c r="H109" s="125"/>
      <c r="I109" s="125"/>
      <c r="J109" s="118">
        <f t="shared" ref="J109" si="101">L109+O109</f>
        <v>0</v>
      </c>
      <c r="K109" s="125"/>
      <c r="L109" s="125"/>
      <c r="M109" s="125"/>
      <c r="N109" s="125"/>
      <c r="O109" s="123">
        <f t="shared" ref="O109" si="102">K109</f>
        <v>0</v>
      </c>
      <c r="P109" s="118">
        <f>E109+J109</f>
        <v>0</v>
      </c>
      <c r="Q109" s="28"/>
      <c r="R109" s="24"/>
    </row>
    <row r="110" spans="1:18" s="31" customFormat="1" ht="47.25" hidden="1" thickTop="1" thickBot="1" x14ac:dyDescent="0.25">
      <c r="A110" s="127" t="s">
        <v>1110</v>
      </c>
      <c r="B110" s="127" t="s">
        <v>1072</v>
      </c>
      <c r="C110" s="127"/>
      <c r="D110" s="127" t="s">
        <v>1070</v>
      </c>
      <c r="E110" s="128">
        <f t="shared" ref="E110:P110" si="103">E111</f>
        <v>0</v>
      </c>
      <c r="F110" s="128">
        <f t="shared" si="103"/>
        <v>0</v>
      </c>
      <c r="G110" s="128">
        <f t="shared" si="103"/>
        <v>0</v>
      </c>
      <c r="H110" s="128">
        <f t="shared" si="103"/>
        <v>0</v>
      </c>
      <c r="I110" s="128">
        <f t="shared" si="103"/>
        <v>0</v>
      </c>
      <c r="J110" s="128">
        <f t="shared" si="103"/>
        <v>0</v>
      </c>
      <c r="K110" s="128">
        <f t="shared" si="103"/>
        <v>0</v>
      </c>
      <c r="L110" s="128">
        <f t="shared" si="103"/>
        <v>0</v>
      </c>
      <c r="M110" s="128">
        <f t="shared" si="103"/>
        <v>0</v>
      </c>
      <c r="N110" s="128">
        <f t="shared" si="103"/>
        <v>0</v>
      </c>
      <c r="O110" s="128">
        <f t="shared" si="103"/>
        <v>0</v>
      </c>
      <c r="P110" s="128">
        <f t="shared" si="103"/>
        <v>0</v>
      </c>
      <c r="Q110" s="28"/>
      <c r="R110" s="24"/>
    </row>
    <row r="111" spans="1:18" s="31" customFormat="1" ht="48" hidden="1" thickTop="1" thickBot="1" x14ac:dyDescent="0.25">
      <c r="A111" s="119" t="s">
        <v>1111</v>
      </c>
      <c r="B111" s="119" t="s">
        <v>1076</v>
      </c>
      <c r="C111" s="119" t="s">
        <v>1074</v>
      </c>
      <c r="D111" s="119" t="s">
        <v>1073</v>
      </c>
      <c r="E111" s="118">
        <f>F111</f>
        <v>0</v>
      </c>
      <c r="F111" s="125"/>
      <c r="G111" s="125"/>
      <c r="H111" s="125"/>
      <c r="I111" s="125"/>
      <c r="J111" s="118">
        <f>L111+O111</f>
        <v>0</v>
      </c>
      <c r="K111" s="125">
        <v>0</v>
      </c>
      <c r="L111" s="125"/>
      <c r="M111" s="125"/>
      <c r="N111" s="125"/>
      <c r="O111" s="123">
        <f>K111</f>
        <v>0</v>
      </c>
      <c r="P111" s="118">
        <f>E111+J111</f>
        <v>0</v>
      </c>
      <c r="Q111" s="28"/>
      <c r="R111" s="24"/>
    </row>
    <row r="112" spans="1:18" s="31" customFormat="1" ht="47.25" hidden="1" thickTop="1" thickBot="1" x14ac:dyDescent="0.25">
      <c r="A112" s="137" t="s">
        <v>958</v>
      </c>
      <c r="B112" s="137" t="s">
        <v>675</v>
      </c>
      <c r="C112" s="137"/>
      <c r="D112" s="137" t="s">
        <v>676</v>
      </c>
      <c r="E112" s="40">
        <f>E113</f>
        <v>0</v>
      </c>
      <c r="F112" s="40">
        <f t="shared" ref="F112:P113" si="104">F113</f>
        <v>0</v>
      </c>
      <c r="G112" s="40">
        <f t="shared" si="104"/>
        <v>0</v>
      </c>
      <c r="H112" s="40">
        <f t="shared" si="104"/>
        <v>0</v>
      </c>
      <c r="I112" s="40">
        <f t="shared" si="104"/>
        <v>0</v>
      </c>
      <c r="J112" s="40">
        <f t="shared" si="104"/>
        <v>0</v>
      </c>
      <c r="K112" s="40">
        <f t="shared" si="104"/>
        <v>0</v>
      </c>
      <c r="L112" s="40">
        <f t="shared" si="104"/>
        <v>0</v>
      </c>
      <c r="M112" s="40">
        <f t="shared" si="104"/>
        <v>0</v>
      </c>
      <c r="N112" s="40">
        <f t="shared" si="104"/>
        <v>0</v>
      </c>
      <c r="O112" s="40">
        <f t="shared" si="104"/>
        <v>0</v>
      </c>
      <c r="P112" s="40">
        <f t="shared" si="104"/>
        <v>0</v>
      </c>
      <c r="Q112" s="34"/>
      <c r="R112" s="24"/>
    </row>
    <row r="113" spans="1:18" s="31" customFormat="1" ht="91.5" hidden="1" thickTop="1" thickBot="1" x14ac:dyDescent="0.25">
      <c r="A113" s="138" t="s">
        <v>959</v>
      </c>
      <c r="B113" s="138" t="s">
        <v>678</v>
      </c>
      <c r="C113" s="138"/>
      <c r="D113" s="138" t="s">
        <v>679</v>
      </c>
      <c r="E113" s="139">
        <f>E114</f>
        <v>0</v>
      </c>
      <c r="F113" s="139">
        <f t="shared" si="104"/>
        <v>0</v>
      </c>
      <c r="G113" s="139">
        <f t="shared" si="104"/>
        <v>0</v>
      </c>
      <c r="H113" s="139">
        <f t="shared" si="104"/>
        <v>0</v>
      </c>
      <c r="I113" s="139">
        <f t="shared" si="104"/>
        <v>0</v>
      </c>
      <c r="J113" s="139">
        <f t="shared" si="104"/>
        <v>0</v>
      </c>
      <c r="K113" s="139">
        <f t="shared" si="104"/>
        <v>0</v>
      </c>
      <c r="L113" s="139">
        <f t="shared" si="104"/>
        <v>0</v>
      </c>
      <c r="M113" s="139">
        <f t="shared" si="104"/>
        <v>0</v>
      </c>
      <c r="N113" s="139">
        <f t="shared" si="104"/>
        <v>0</v>
      </c>
      <c r="O113" s="139">
        <f t="shared" si="104"/>
        <v>0</v>
      </c>
      <c r="P113" s="139">
        <f t="shared" si="104"/>
        <v>0</v>
      </c>
      <c r="Q113" s="34"/>
      <c r="R113" s="24"/>
    </row>
    <row r="114" spans="1:18" s="31" customFormat="1" ht="48" hidden="1" thickTop="1" thickBot="1" x14ac:dyDescent="0.25">
      <c r="A114" s="39" t="s">
        <v>960</v>
      </c>
      <c r="B114" s="39" t="s">
        <v>356</v>
      </c>
      <c r="C114" s="39" t="s">
        <v>43</v>
      </c>
      <c r="D114" s="39" t="s">
        <v>357</v>
      </c>
      <c r="E114" s="40">
        <f t="shared" ref="E114" si="105">F114</f>
        <v>0</v>
      </c>
      <c r="F114" s="41"/>
      <c r="G114" s="41"/>
      <c r="H114" s="41"/>
      <c r="I114" s="41"/>
      <c r="J114" s="40">
        <f>L114+O114</f>
        <v>0</v>
      </c>
      <c r="K114" s="41"/>
      <c r="L114" s="41"/>
      <c r="M114" s="41"/>
      <c r="N114" s="41"/>
      <c r="O114" s="42">
        <f>K114</f>
        <v>0</v>
      </c>
      <c r="P114" s="40">
        <f>E114+J114</f>
        <v>0</v>
      </c>
      <c r="Q114" s="34"/>
      <c r="R114" s="24"/>
    </row>
    <row r="115" spans="1:18" ht="166.5" customHeight="1" thickTop="1" thickBot="1" x14ac:dyDescent="0.25">
      <c r="A115" s="535" t="s">
        <v>151</v>
      </c>
      <c r="B115" s="535"/>
      <c r="C115" s="535"/>
      <c r="D115" s="536" t="s">
        <v>18</v>
      </c>
      <c r="E115" s="537">
        <f>E116</f>
        <v>136930742</v>
      </c>
      <c r="F115" s="538">
        <f t="shared" ref="F115:G115" si="106">F116</f>
        <v>123415488</v>
      </c>
      <c r="G115" s="538">
        <f t="shared" si="106"/>
        <v>7121780</v>
      </c>
      <c r="H115" s="538">
        <f>H116</f>
        <v>353940</v>
      </c>
      <c r="I115" s="538">
        <f t="shared" ref="I115" si="107">I116</f>
        <v>13515254</v>
      </c>
      <c r="J115" s="537">
        <f>J116</f>
        <v>15000000</v>
      </c>
      <c r="K115" s="538">
        <f>K116</f>
        <v>15000000</v>
      </c>
      <c r="L115" s="538">
        <f>L116</f>
        <v>0</v>
      </c>
      <c r="M115" s="538">
        <f t="shared" ref="M115" si="108">M116</f>
        <v>0</v>
      </c>
      <c r="N115" s="538">
        <f>N116</f>
        <v>0</v>
      </c>
      <c r="O115" s="537">
        <f>O116</f>
        <v>15000000</v>
      </c>
      <c r="P115" s="538">
        <f>P116</f>
        <v>151930742</v>
      </c>
      <c r="Q115" s="18"/>
    </row>
    <row r="116" spans="1:18" ht="178.5" customHeight="1" thickTop="1" thickBot="1" x14ac:dyDescent="0.25">
      <c r="A116" s="532" t="s">
        <v>152</v>
      </c>
      <c r="B116" s="532"/>
      <c r="C116" s="532"/>
      <c r="D116" s="533" t="s">
        <v>36</v>
      </c>
      <c r="E116" s="534">
        <f>E117+E120+E136+E140+E146</f>
        <v>136930742</v>
      </c>
      <c r="F116" s="534">
        <f t="shared" ref="F116:P116" si="109">F117+F120+F136+F140+F146</f>
        <v>123415488</v>
      </c>
      <c r="G116" s="534">
        <f t="shared" si="109"/>
        <v>7121780</v>
      </c>
      <c r="H116" s="534">
        <f t="shared" si="109"/>
        <v>353940</v>
      </c>
      <c r="I116" s="534">
        <f t="shared" si="109"/>
        <v>13515254</v>
      </c>
      <c r="J116" s="534">
        <f t="shared" si="109"/>
        <v>15000000</v>
      </c>
      <c r="K116" s="534">
        <f t="shared" si="109"/>
        <v>15000000</v>
      </c>
      <c r="L116" s="534">
        <f t="shared" si="109"/>
        <v>0</v>
      </c>
      <c r="M116" s="534">
        <f t="shared" si="109"/>
        <v>0</v>
      </c>
      <c r="N116" s="534">
        <f t="shared" si="109"/>
        <v>0</v>
      </c>
      <c r="O116" s="534">
        <f t="shared" si="109"/>
        <v>15000000</v>
      </c>
      <c r="P116" s="534">
        <f t="shared" si="109"/>
        <v>151930742</v>
      </c>
      <c r="Q116" s="619" t="b">
        <f>P116=P118+P121+P122+P123+P124+P127+P131+P132+P135+P139</f>
        <v>1</v>
      </c>
      <c r="R116" s="24"/>
    </row>
    <row r="117" spans="1:18" ht="90.75" customHeight="1" thickTop="1" thickBot="1" x14ac:dyDescent="0.25">
      <c r="A117" s="242" t="s">
        <v>686</v>
      </c>
      <c r="B117" s="242" t="s">
        <v>658</v>
      </c>
      <c r="C117" s="242"/>
      <c r="D117" s="242" t="s">
        <v>659</v>
      </c>
      <c r="E117" s="522">
        <f>SUM(E118:E119)</f>
        <v>4657612</v>
      </c>
      <c r="F117" s="522">
        <f t="shared" ref="F117:P117" si="110">SUM(F118:F119)</f>
        <v>4657612</v>
      </c>
      <c r="G117" s="522">
        <f t="shared" si="110"/>
        <v>3571780</v>
      </c>
      <c r="H117" s="522">
        <f t="shared" si="110"/>
        <v>141740</v>
      </c>
      <c r="I117" s="522">
        <f t="shared" si="110"/>
        <v>0</v>
      </c>
      <c r="J117" s="522">
        <f t="shared" si="110"/>
        <v>0</v>
      </c>
      <c r="K117" s="522">
        <f t="shared" si="110"/>
        <v>0</v>
      </c>
      <c r="L117" s="522">
        <f t="shared" si="110"/>
        <v>0</v>
      </c>
      <c r="M117" s="522">
        <f t="shared" si="110"/>
        <v>0</v>
      </c>
      <c r="N117" s="522">
        <f t="shared" si="110"/>
        <v>0</v>
      </c>
      <c r="O117" s="522">
        <f t="shared" si="110"/>
        <v>0</v>
      </c>
      <c r="P117" s="522">
        <f t="shared" si="110"/>
        <v>4657612</v>
      </c>
      <c r="Q117" s="28"/>
      <c r="R117" s="24"/>
    </row>
    <row r="118" spans="1:18" ht="130.69999999999999" customHeight="1" thickTop="1" thickBot="1" x14ac:dyDescent="0.25">
      <c r="A118" s="94" t="s">
        <v>408</v>
      </c>
      <c r="B118" s="94" t="s">
        <v>233</v>
      </c>
      <c r="C118" s="94" t="s">
        <v>231</v>
      </c>
      <c r="D118" s="94" t="s">
        <v>1554</v>
      </c>
      <c r="E118" s="542">
        <f>F118+I118</f>
        <v>4657612</v>
      </c>
      <c r="F118" s="525">
        <v>4657612</v>
      </c>
      <c r="G118" s="525">
        <v>3571780</v>
      </c>
      <c r="H118" s="525">
        <v>141740</v>
      </c>
      <c r="I118" s="525"/>
      <c r="J118" s="522">
        <f t="shared" ref="J118:J148" si="111">L118+O118</f>
        <v>0</v>
      </c>
      <c r="K118" s="525"/>
      <c r="L118" s="525"/>
      <c r="M118" s="525"/>
      <c r="N118" s="525"/>
      <c r="O118" s="523">
        <f>K118</f>
        <v>0</v>
      </c>
      <c r="P118" s="522">
        <f t="shared" ref="P118:P148" si="112">E118+J118</f>
        <v>4657612</v>
      </c>
      <c r="Q118" s="37"/>
      <c r="R118" s="24"/>
    </row>
    <row r="119" spans="1:18" ht="93" hidden="1" thickTop="1" thickBot="1" x14ac:dyDescent="0.25">
      <c r="A119" s="119" t="s">
        <v>1133</v>
      </c>
      <c r="B119" s="119" t="s">
        <v>355</v>
      </c>
      <c r="C119" s="119" t="s">
        <v>603</v>
      </c>
      <c r="D119" s="119" t="s">
        <v>604</v>
      </c>
      <c r="E119" s="118">
        <f>F119</f>
        <v>0</v>
      </c>
      <c r="F119" s="125">
        <v>0</v>
      </c>
      <c r="G119" s="125"/>
      <c r="H119" s="125"/>
      <c r="I119" s="125"/>
      <c r="J119" s="118">
        <f t="shared" si="111"/>
        <v>0</v>
      </c>
      <c r="K119" s="125"/>
      <c r="L119" s="125"/>
      <c r="M119" s="125"/>
      <c r="N119" s="125"/>
      <c r="O119" s="123">
        <f>K119</f>
        <v>0</v>
      </c>
      <c r="P119" s="118">
        <f t="shared" si="112"/>
        <v>0</v>
      </c>
      <c r="Q119" s="37"/>
      <c r="R119" s="24"/>
    </row>
    <row r="120" spans="1:18" ht="90.75" customHeight="1" thickTop="1" thickBot="1" x14ac:dyDescent="0.25">
      <c r="A120" s="242" t="s">
        <v>687</v>
      </c>
      <c r="B120" s="242" t="s">
        <v>688</v>
      </c>
      <c r="C120" s="242"/>
      <c r="D120" s="242" t="s">
        <v>689</v>
      </c>
      <c r="E120" s="522">
        <f>SUM(E121:E135)-E126-E128-E130-E133</f>
        <v>132084130</v>
      </c>
      <c r="F120" s="522">
        <f t="shared" ref="F120:P120" si="113">SUM(F121:F135)-F126-F128-F130-F133</f>
        <v>118568876</v>
      </c>
      <c r="G120" s="522">
        <f t="shared" si="113"/>
        <v>3550000</v>
      </c>
      <c r="H120" s="522">
        <f t="shared" si="113"/>
        <v>212200</v>
      </c>
      <c r="I120" s="522">
        <f t="shared" si="113"/>
        <v>13515254</v>
      </c>
      <c r="J120" s="522">
        <f t="shared" si="113"/>
        <v>15000000</v>
      </c>
      <c r="K120" s="522">
        <f t="shared" si="113"/>
        <v>15000000</v>
      </c>
      <c r="L120" s="522">
        <f t="shared" si="113"/>
        <v>0</v>
      </c>
      <c r="M120" s="522">
        <f t="shared" si="113"/>
        <v>0</v>
      </c>
      <c r="N120" s="522">
        <f t="shared" si="113"/>
        <v>0</v>
      </c>
      <c r="O120" s="522">
        <f t="shared" si="113"/>
        <v>15000000</v>
      </c>
      <c r="P120" s="522">
        <f t="shared" si="113"/>
        <v>147084130</v>
      </c>
      <c r="Q120" s="37"/>
      <c r="R120" s="37"/>
    </row>
    <row r="121" spans="1:18" ht="101.25" customHeight="1" thickTop="1" thickBot="1" x14ac:dyDescent="0.25">
      <c r="A121" s="94" t="s">
        <v>211</v>
      </c>
      <c r="B121" s="94" t="s">
        <v>208</v>
      </c>
      <c r="C121" s="94" t="s">
        <v>212</v>
      </c>
      <c r="D121" s="94" t="s">
        <v>19</v>
      </c>
      <c r="E121" s="542">
        <f>F121+I121</f>
        <v>51522956</v>
      </c>
      <c r="F121" s="525">
        <f>42522956-4515254</f>
        <v>38007702</v>
      </c>
      <c r="G121" s="125"/>
      <c r="H121" s="125"/>
      <c r="I121" s="525">
        <f>4515254+9000000</f>
        <v>13515254</v>
      </c>
      <c r="J121" s="522">
        <f t="shared" si="111"/>
        <v>0</v>
      </c>
      <c r="K121" s="125"/>
      <c r="L121" s="125"/>
      <c r="M121" s="125"/>
      <c r="N121" s="125"/>
      <c r="O121" s="523">
        <f>K121</f>
        <v>0</v>
      </c>
      <c r="P121" s="522">
        <f t="shared" si="112"/>
        <v>51522956</v>
      </c>
      <c r="Q121" s="18"/>
      <c r="R121" s="28"/>
    </row>
    <row r="122" spans="1:18" ht="97.5" customHeight="1" thickTop="1" thickBot="1" x14ac:dyDescent="0.25">
      <c r="A122" s="94" t="s">
        <v>493</v>
      </c>
      <c r="B122" s="94" t="s">
        <v>496</v>
      </c>
      <c r="C122" s="94" t="s">
        <v>495</v>
      </c>
      <c r="D122" s="94" t="s">
        <v>494</v>
      </c>
      <c r="E122" s="542">
        <f>F122+I122</f>
        <v>10660700</v>
      </c>
      <c r="F122" s="525">
        <v>10660700</v>
      </c>
      <c r="G122" s="125"/>
      <c r="H122" s="125"/>
      <c r="I122" s="125"/>
      <c r="J122" s="522">
        <f t="shared" si="111"/>
        <v>0</v>
      </c>
      <c r="K122" s="125"/>
      <c r="L122" s="125"/>
      <c r="M122" s="125"/>
      <c r="N122" s="125"/>
      <c r="O122" s="523">
        <f>K122</f>
        <v>0</v>
      </c>
      <c r="P122" s="522">
        <f t="shared" si="112"/>
        <v>10660700</v>
      </c>
      <c r="Q122" s="18"/>
      <c r="R122" s="37"/>
    </row>
    <row r="123" spans="1:18" ht="94.7" customHeight="1" thickTop="1" thickBot="1" x14ac:dyDescent="0.25">
      <c r="A123" s="94" t="s">
        <v>213</v>
      </c>
      <c r="B123" s="94" t="s">
        <v>214</v>
      </c>
      <c r="C123" s="94" t="s">
        <v>215</v>
      </c>
      <c r="D123" s="94" t="s">
        <v>216</v>
      </c>
      <c r="E123" s="542">
        <f>F123+I123</f>
        <v>12397450</v>
      </c>
      <c r="F123" s="525">
        <v>12397450</v>
      </c>
      <c r="G123" s="125"/>
      <c r="H123" s="125"/>
      <c r="I123" s="125"/>
      <c r="J123" s="522">
        <f t="shared" si="111"/>
        <v>0</v>
      </c>
      <c r="K123" s="125"/>
      <c r="L123" s="125"/>
      <c r="M123" s="125"/>
      <c r="N123" s="125"/>
      <c r="O123" s="523">
        <f>K123</f>
        <v>0</v>
      </c>
      <c r="P123" s="522">
        <f t="shared" si="112"/>
        <v>12397450</v>
      </c>
      <c r="Q123" s="18"/>
      <c r="R123" s="37"/>
    </row>
    <row r="124" spans="1:18" ht="122.25" customHeight="1" thickTop="1" thickBot="1" x14ac:dyDescent="0.25">
      <c r="A124" s="94" t="s">
        <v>217</v>
      </c>
      <c r="B124" s="94" t="s">
        <v>218</v>
      </c>
      <c r="C124" s="94" t="s">
        <v>219</v>
      </c>
      <c r="D124" s="94" t="s">
        <v>339</v>
      </c>
      <c r="E124" s="542">
        <f>F124+I124</f>
        <v>22841165</v>
      </c>
      <c r="F124" s="525">
        <v>22841165</v>
      </c>
      <c r="G124" s="125"/>
      <c r="H124" s="125"/>
      <c r="I124" s="125"/>
      <c r="J124" s="522">
        <f t="shared" si="111"/>
        <v>0</v>
      </c>
      <c r="K124" s="125"/>
      <c r="L124" s="125"/>
      <c r="M124" s="125"/>
      <c r="N124" s="125"/>
      <c r="O124" s="523">
        <f>K124</f>
        <v>0</v>
      </c>
      <c r="P124" s="522">
        <f t="shared" si="112"/>
        <v>22841165</v>
      </c>
      <c r="Q124" s="18"/>
      <c r="R124" s="37"/>
    </row>
    <row r="125" spans="1:18" ht="48" hidden="1" thickTop="1" thickBot="1" x14ac:dyDescent="0.25">
      <c r="A125" s="119" t="s">
        <v>220</v>
      </c>
      <c r="B125" s="119" t="s">
        <v>221</v>
      </c>
      <c r="C125" s="119" t="s">
        <v>222</v>
      </c>
      <c r="D125" s="119" t="s">
        <v>223</v>
      </c>
      <c r="E125" s="118">
        <f t="shared" ref="E125:E145" si="114">F125</f>
        <v>0</v>
      </c>
      <c r="F125" s="125">
        <f>(7556300)-7556300</f>
        <v>0</v>
      </c>
      <c r="G125" s="125"/>
      <c r="H125" s="125"/>
      <c r="I125" s="125"/>
      <c r="J125" s="118">
        <f t="shared" si="111"/>
        <v>0</v>
      </c>
      <c r="K125" s="125">
        <f>(200000)-200000</f>
        <v>0</v>
      </c>
      <c r="L125" s="125"/>
      <c r="M125" s="125"/>
      <c r="N125" s="125"/>
      <c r="O125" s="123">
        <f>K125</f>
        <v>0</v>
      </c>
      <c r="P125" s="118">
        <f t="shared" si="112"/>
        <v>0</v>
      </c>
      <c r="Q125" s="18"/>
      <c r="R125" s="37"/>
    </row>
    <row r="126" spans="1:18" ht="95.25" customHeight="1" thickTop="1" thickBot="1" x14ac:dyDescent="0.25">
      <c r="A126" s="539" t="s">
        <v>690</v>
      </c>
      <c r="B126" s="539" t="s">
        <v>691</v>
      </c>
      <c r="C126" s="539"/>
      <c r="D126" s="539" t="s">
        <v>692</v>
      </c>
      <c r="E126" s="540">
        <f>E127</f>
        <v>24390259</v>
      </c>
      <c r="F126" s="540">
        <f t="shared" ref="F126:P126" si="115">F127</f>
        <v>24390259</v>
      </c>
      <c r="G126" s="540">
        <f t="shared" si="115"/>
        <v>0</v>
      </c>
      <c r="H126" s="540">
        <f t="shared" si="115"/>
        <v>0</v>
      </c>
      <c r="I126" s="540">
        <f t="shared" si="115"/>
        <v>0</v>
      </c>
      <c r="J126" s="540">
        <f t="shared" si="115"/>
        <v>0</v>
      </c>
      <c r="K126" s="540">
        <f t="shared" si="115"/>
        <v>0</v>
      </c>
      <c r="L126" s="540">
        <f t="shared" si="115"/>
        <v>0</v>
      </c>
      <c r="M126" s="540">
        <f t="shared" si="115"/>
        <v>0</v>
      </c>
      <c r="N126" s="540">
        <f t="shared" si="115"/>
        <v>0</v>
      </c>
      <c r="O126" s="540">
        <f t="shared" si="115"/>
        <v>0</v>
      </c>
      <c r="P126" s="540">
        <f t="shared" si="115"/>
        <v>24390259</v>
      </c>
      <c r="Q126" s="18"/>
      <c r="R126" s="37"/>
    </row>
    <row r="127" spans="1:18" ht="127.5" customHeight="1" thickTop="1" thickBot="1" x14ac:dyDescent="0.25">
      <c r="A127" s="94" t="s">
        <v>224</v>
      </c>
      <c r="B127" s="94" t="s">
        <v>225</v>
      </c>
      <c r="C127" s="94" t="s">
        <v>340</v>
      </c>
      <c r="D127" s="94" t="s">
        <v>226</v>
      </c>
      <c r="E127" s="542">
        <f>F127+I127</f>
        <v>24390259</v>
      </c>
      <c r="F127" s="525">
        <v>24390259</v>
      </c>
      <c r="G127" s="125"/>
      <c r="H127" s="125"/>
      <c r="I127" s="125"/>
      <c r="J127" s="522">
        <f t="shared" si="111"/>
        <v>0</v>
      </c>
      <c r="K127" s="125"/>
      <c r="L127" s="125"/>
      <c r="M127" s="125"/>
      <c r="N127" s="125"/>
      <c r="O127" s="523">
        <f t="shared" ref="O127:O148" si="116">K127</f>
        <v>0</v>
      </c>
      <c r="P127" s="522">
        <f t="shared" si="112"/>
        <v>24390259</v>
      </c>
      <c r="Q127" s="18"/>
      <c r="R127" s="37"/>
    </row>
    <row r="128" spans="1:18" ht="48" hidden="1" thickTop="1" thickBot="1" x14ac:dyDescent="0.25">
      <c r="A128" s="131" t="s">
        <v>693</v>
      </c>
      <c r="B128" s="131" t="s">
        <v>694</v>
      </c>
      <c r="C128" s="131"/>
      <c r="D128" s="131" t="s">
        <v>695</v>
      </c>
      <c r="E128" s="132">
        <f>E129</f>
        <v>0</v>
      </c>
      <c r="F128" s="132">
        <f t="shared" ref="F128:P128" si="117">F129</f>
        <v>0</v>
      </c>
      <c r="G128" s="132">
        <f t="shared" si="117"/>
        <v>0</v>
      </c>
      <c r="H128" s="132">
        <f t="shared" si="117"/>
        <v>0</v>
      </c>
      <c r="I128" s="132">
        <f t="shared" si="117"/>
        <v>0</v>
      </c>
      <c r="J128" s="136">
        <f t="shared" si="117"/>
        <v>0</v>
      </c>
      <c r="K128" s="136">
        <f t="shared" si="117"/>
        <v>0</v>
      </c>
      <c r="L128" s="136">
        <f t="shared" si="117"/>
        <v>0</v>
      </c>
      <c r="M128" s="136">
        <f t="shared" si="117"/>
        <v>0</v>
      </c>
      <c r="N128" s="136">
        <f t="shared" si="117"/>
        <v>0</v>
      </c>
      <c r="O128" s="136">
        <f t="shared" si="117"/>
        <v>0</v>
      </c>
      <c r="P128" s="136">
        <f t="shared" si="117"/>
        <v>0</v>
      </c>
      <c r="Q128" s="18"/>
      <c r="R128" s="37"/>
    </row>
    <row r="129" spans="1:18" ht="48" hidden="1" thickTop="1" thickBot="1" x14ac:dyDescent="0.25">
      <c r="A129" s="119" t="s">
        <v>463</v>
      </c>
      <c r="B129" s="119" t="s">
        <v>464</v>
      </c>
      <c r="C129" s="119" t="s">
        <v>227</v>
      </c>
      <c r="D129" s="119" t="s">
        <v>465</v>
      </c>
      <c r="E129" s="118">
        <f t="shared" si="114"/>
        <v>0</v>
      </c>
      <c r="F129" s="125">
        <v>0</v>
      </c>
      <c r="G129" s="125"/>
      <c r="H129" s="125"/>
      <c r="I129" s="125"/>
      <c r="J129" s="40">
        <f t="shared" si="111"/>
        <v>0</v>
      </c>
      <c r="K129" s="41"/>
      <c r="L129" s="41"/>
      <c r="M129" s="41"/>
      <c r="N129" s="41"/>
      <c r="O129" s="42">
        <f t="shared" si="116"/>
        <v>0</v>
      </c>
      <c r="P129" s="40">
        <f t="shared" si="112"/>
        <v>0</v>
      </c>
      <c r="Q129" s="18"/>
      <c r="R129" s="37"/>
    </row>
    <row r="130" spans="1:18" ht="85.7" customHeight="1" thickTop="1" thickBot="1" x14ac:dyDescent="0.25">
      <c r="A130" s="539" t="s">
        <v>696</v>
      </c>
      <c r="B130" s="539" t="s">
        <v>697</v>
      </c>
      <c r="C130" s="539"/>
      <c r="D130" s="539" t="s">
        <v>698</v>
      </c>
      <c r="E130" s="540">
        <f>SUM(E131:E132)</f>
        <v>10271600</v>
      </c>
      <c r="F130" s="540">
        <f t="shared" ref="F130:P130" si="118">SUM(F131:F132)</f>
        <v>10271600</v>
      </c>
      <c r="G130" s="540">
        <f t="shared" si="118"/>
        <v>3550000</v>
      </c>
      <c r="H130" s="540">
        <f t="shared" si="118"/>
        <v>212200</v>
      </c>
      <c r="I130" s="540">
        <f t="shared" si="118"/>
        <v>0</v>
      </c>
      <c r="J130" s="540">
        <f t="shared" si="118"/>
        <v>0</v>
      </c>
      <c r="K130" s="540">
        <f t="shared" si="118"/>
        <v>0</v>
      </c>
      <c r="L130" s="540">
        <f t="shared" si="118"/>
        <v>0</v>
      </c>
      <c r="M130" s="540">
        <f t="shared" si="118"/>
        <v>0</v>
      </c>
      <c r="N130" s="540">
        <f t="shared" si="118"/>
        <v>0</v>
      </c>
      <c r="O130" s="540">
        <f t="shared" si="118"/>
        <v>0</v>
      </c>
      <c r="P130" s="540">
        <f t="shared" si="118"/>
        <v>10271600</v>
      </c>
      <c r="Q130" s="18"/>
      <c r="R130" s="37"/>
    </row>
    <row r="131" spans="1:18" s="31" customFormat="1" ht="79.5" customHeight="1" thickTop="1" thickBot="1" x14ac:dyDescent="0.25">
      <c r="A131" s="94" t="s">
        <v>316</v>
      </c>
      <c r="B131" s="94" t="s">
        <v>318</v>
      </c>
      <c r="C131" s="94" t="s">
        <v>227</v>
      </c>
      <c r="D131" s="528" t="s">
        <v>314</v>
      </c>
      <c r="E131" s="542">
        <f t="shared" ref="E131:E132" si="119">F131+I131</f>
        <v>4771600</v>
      </c>
      <c r="F131" s="525">
        <v>4771600</v>
      </c>
      <c r="G131" s="525">
        <v>3550000</v>
      </c>
      <c r="H131" s="525">
        <v>212200</v>
      </c>
      <c r="I131" s="125"/>
      <c r="J131" s="522">
        <f t="shared" si="111"/>
        <v>0</v>
      </c>
      <c r="K131" s="125"/>
      <c r="L131" s="125"/>
      <c r="M131" s="125"/>
      <c r="N131" s="125"/>
      <c r="O131" s="523">
        <f t="shared" si="116"/>
        <v>0</v>
      </c>
      <c r="P131" s="522">
        <f t="shared" si="112"/>
        <v>4771600</v>
      </c>
      <c r="Q131" s="34"/>
      <c r="R131" s="24"/>
    </row>
    <row r="132" spans="1:18" s="31" customFormat="1" ht="91.5" customHeight="1" thickTop="1" thickBot="1" x14ac:dyDescent="0.25">
      <c r="A132" s="94" t="s">
        <v>317</v>
      </c>
      <c r="B132" s="94" t="s">
        <v>319</v>
      </c>
      <c r="C132" s="94" t="s">
        <v>227</v>
      </c>
      <c r="D132" s="528" t="s">
        <v>315</v>
      </c>
      <c r="E132" s="542">
        <f t="shared" si="119"/>
        <v>5500000</v>
      </c>
      <c r="F132" s="525">
        <v>5500000</v>
      </c>
      <c r="G132" s="125"/>
      <c r="H132" s="125"/>
      <c r="I132" s="125"/>
      <c r="J132" s="522">
        <f t="shared" si="111"/>
        <v>0</v>
      </c>
      <c r="K132" s="125"/>
      <c r="L132" s="125"/>
      <c r="M132" s="125"/>
      <c r="N132" s="125"/>
      <c r="O132" s="523">
        <f t="shared" si="116"/>
        <v>0</v>
      </c>
      <c r="P132" s="522">
        <f t="shared" si="112"/>
        <v>5500000</v>
      </c>
      <c r="Q132" s="34"/>
      <c r="R132" s="37"/>
    </row>
    <row r="133" spans="1:18" s="31" customFormat="1" ht="93" hidden="1" thickTop="1" thickBot="1" x14ac:dyDescent="0.25">
      <c r="A133" s="131" t="s">
        <v>1336</v>
      </c>
      <c r="B133" s="131" t="s">
        <v>1337</v>
      </c>
      <c r="C133" s="131"/>
      <c r="D133" s="131" t="s">
        <v>1335</v>
      </c>
      <c r="E133" s="132">
        <f>E134</f>
        <v>0</v>
      </c>
      <c r="F133" s="132">
        <f t="shared" ref="F133:P133" si="120">F134</f>
        <v>0</v>
      </c>
      <c r="G133" s="132">
        <f t="shared" si="120"/>
        <v>0</v>
      </c>
      <c r="H133" s="132">
        <f t="shared" si="120"/>
        <v>0</v>
      </c>
      <c r="I133" s="132">
        <f t="shared" si="120"/>
        <v>0</v>
      </c>
      <c r="J133" s="132">
        <f t="shared" si="120"/>
        <v>0</v>
      </c>
      <c r="K133" s="132">
        <f t="shared" si="120"/>
        <v>0</v>
      </c>
      <c r="L133" s="132">
        <f t="shared" si="120"/>
        <v>0</v>
      </c>
      <c r="M133" s="132">
        <f t="shared" si="120"/>
        <v>0</v>
      </c>
      <c r="N133" s="132">
        <f t="shared" si="120"/>
        <v>0</v>
      </c>
      <c r="O133" s="132">
        <f t="shared" si="120"/>
        <v>0</v>
      </c>
      <c r="P133" s="132">
        <f t="shared" si="120"/>
        <v>0</v>
      </c>
      <c r="Q133" s="34"/>
      <c r="R133" s="37"/>
    </row>
    <row r="134" spans="1:18" s="318" customFormat="1" ht="138.75" hidden="1" thickTop="1" thickBot="1" x14ac:dyDescent="0.25">
      <c r="A134" s="119" t="s">
        <v>1339</v>
      </c>
      <c r="B134" s="119" t="s">
        <v>1340</v>
      </c>
      <c r="C134" s="119" t="s">
        <v>227</v>
      </c>
      <c r="D134" s="282" t="s">
        <v>1338</v>
      </c>
      <c r="E134" s="118">
        <f t="shared" ref="E134" si="121">F134</f>
        <v>0</v>
      </c>
      <c r="F134" s="125"/>
      <c r="G134" s="125"/>
      <c r="H134" s="125"/>
      <c r="I134" s="125"/>
      <c r="J134" s="118">
        <f t="shared" ref="J134:J135" si="122">L134+O134</f>
        <v>0</v>
      </c>
      <c r="K134" s="125">
        <f>(2994000)-2994000</f>
        <v>0</v>
      </c>
      <c r="L134" s="125"/>
      <c r="M134" s="125"/>
      <c r="N134" s="125"/>
      <c r="O134" s="123">
        <f t="shared" ref="O134:O135" si="123">K134</f>
        <v>0</v>
      </c>
      <c r="P134" s="118">
        <f t="shared" ref="P134:P135" si="124">E134+J134</f>
        <v>0</v>
      </c>
      <c r="Q134" s="316"/>
      <c r="R134" s="317"/>
    </row>
    <row r="135" spans="1:18" s="318" customFormat="1" ht="144.75" customHeight="1" thickTop="1" thickBot="1" x14ac:dyDescent="0.25">
      <c r="A135" s="94" t="s">
        <v>1453</v>
      </c>
      <c r="B135" s="94" t="s">
        <v>1454</v>
      </c>
      <c r="C135" s="94" t="s">
        <v>227</v>
      </c>
      <c r="D135" s="94" t="s">
        <v>1634</v>
      </c>
      <c r="E135" s="118"/>
      <c r="F135" s="125"/>
      <c r="G135" s="125"/>
      <c r="H135" s="125"/>
      <c r="I135" s="125"/>
      <c r="J135" s="522">
        <f t="shared" si="122"/>
        <v>15000000</v>
      </c>
      <c r="K135" s="525">
        <v>15000000</v>
      </c>
      <c r="L135" s="125"/>
      <c r="M135" s="125"/>
      <c r="N135" s="125"/>
      <c r="O135" s="523">
        <f t="shared" si="123"/>
        <v>15000000</v>
      </c>
      <c r="P135" s="522">
        <f t="shared" si="124"/>
        <v>15000000</v>
      </c>
      <c r="Q135" s="316"/>
      <c r="R135" s="317"/>
    </row>
    <row r="136" spans="1:18" s="31" customFormat="1" ht="140.25" customHeight="1" thickTop="1" thickBot="1" x14ac:dyDescent="0.25">
      <c r="A136" s="242" t="s">
        <v>1084</v>
      </c>
      <c r="B136" s="242" t="s">
        <v>684</v>
      </c>
      <c r="C136" s="242"/>
      <c r="D136" s="242" t="s">
        <v>685</v>
      </c>
      <c r="E136" s="522">
        <f>SUM(E137:E139)-E137</f>
        <v>189000</v>
      </c>
      <c r="F136" s="522">
        <f t="shared" ref="F136:P136" si="125">SUM(F137:F139)-F137</f>
        <v>189000</v>
      </c>
      <c r="G136" s="522">
        <f t="shared" si="125"/>
        <v>0</v>
      </c>
      <c r="H136" s="522">
        <f t="shared" si="125"/>
        <v>0</v>
      </c>
      <c r="I136" s="522">
        <f t="shared" si="125"/>
        <v>0</v>
      </c>
      <c r="J136" s="522">
        <f t="shared" si="125"/>
        <v>0</v>
      </c>
      <c r="K136" s="522">
        <f t="shared" si="125"/>
        <v>0</v>
      </c>
      <c r="L136" s="522">
        <f t="shared" si="125"/>
        <v>0</v>
      </c>
      <c r="M136" s="522">
        <f t="shared" si="125"/>
        <v>0</v>
      </c>
      <c r="N136" s="522">
        <f t="shared" si="125"/>
        <v>0</v>
      </c>
      <c r="O136" s="522">
        <f t="shared" si="125"/>
        <v>0</v>
      </c>
      <c r="P136" s="522">
        <f t="shared" si="125"/>
        <v>189000</v>
      </c>
      <c r="Q136" s="34"/>
      <c r="R136" s="37"/>
    </row>
    <row r="137" spans="1:18" s="31" customFormat="1" ht="72.75" hidden="1" customHeight="1" thickTop="1" thickBot="1" x14ac:dyDescent="0.25">
      <c r="A137" s="131" t="s">
        <v>1480</v>
      </c>
      <c r="B137" s="131" t="s">
        <v>708</v>
      </c>
      <c r="C137" s="131"/>
      <c r="D137" s="131" t="s">
        <v>709</v>
      </c>
      <c r="E137" s="132">
        <f>E138</f>
        <v>0</v>
      </c>
      <c r="F137" s="132">
        <f t="shared" ref="F137:P137" si="126">F138</f>
        <v>0</v>
      </c>
      <c r="G137" s="132">
        <f t="shared" si="126"/>
        <v>0</v>
      </c>
      <c r="H137" s="132">
        <f t="shared" si="126"/>
        <v>0</v>
      </c>
      <c r="I137" s="132">
        <f t="shared" si="126"/>
        <v>0</v>
      </c>
      <c r="J137" s="132">
        <f t="shared" si="126"/>
        <v>0</v>
      </c>
      <c r="K137" s="132">
        <f t="shared" si="126"/>
        <v>0</v>
      </c>
      <c r="L137" s="132">
        <f t="shared" si="126"/>
        <v>0</v>
      </c>
      <c r="M137" s="132">
        <f t="shared" si="126"/>
        <v>0</v>
      </c>
      <c r="N137" s="132">
        <f t="shared" si="126"/>
        <v>0</v>
      </c>
      <c r="O137" s="132">
        <f t="shared" si="126"/>
        <v>0</v>
      </c>
      <c r="P137" s="132">
        <f t="shared" si="126"/>
        <v>0</v>
      </c>
      <c r="Q137" s="34"/>
      <c r="R137" s="37"/>
    </row>
    <row r="138" spans="1:18" s="31" customFormat="1" ht="36" hidden="1" customHeight="1" thickTop="1" thickBot="1" x14ac:dyDescent="0.25">
      <c r="A138" s="119" t="s">
        <v>1481</v>
      </c>
      <c r="B138" s="119" t="s">
        <v>1442</v>
      </c>
      <c r="C138" s="119" t="s">
        <v>202</v>
      </c>
      <c r="D138" s="282" t="s">
        <v>1443</v>
      </c>
      <c r="E138" s="118"/>
      <c r="F138" s="125"/>
      <c r="G138" s="120"/>
      <c r="H138" s="120"/>
      <c r="I138" s="125"/>
      <c r="J138" s="118">
        <f t="shared" ref="J138" si="127">L138+O138</f>
        <v>0</v>
      </c>
      <c r="K138" s="125"/>
      <c r="L138" s="125"/>
      <c r="M138" s="125"/>
      <c r="N138" s="125"/>
      <c r="O138" s="123"/>
      <c r="P138" s="118">
        <f t="shared" ref="P138" si="128">E138+J138</f>
        <v>0</v>
      </c>
      <c r="Q138" s="34"/>
      <c r="R138" s="37"/>
    </row>
    <row r="139" spans="1:18" s="31" customFormat="1" ht="143.44999999999999" customHeight="1" thickTop="1" thickBot="1" x14ac:dyDescent="0.25">
      <c r="A139" s="94" t="s">
        <v>1085</v>
      </c>
      <c r="B139" s="94" t="s">
        <v>1086</v>
      </c>
      <c r="C139" s="94" t="s">
        <v>203</v>
      </c>
      <c r="D139" s="528" t="s">
        <v>1464</v>
      </c>
      <c r="E139" s="542">
        <f t="shared" ref="E139" si="129">F139+I139</f>
        <v>189000</v>
      </c>
      <c r="F139" s="525">
        <v>189000</v>
      </c>
      <c r="G139" s="125"/>
      <c r="H139" s="125"/>
      <c r="I139" s="125"/>
      <c r="J139" s="522">
        <f t="shared" ref="J139" si="130">L139+O139</f>
        <v>0</v>
      </c>
      <c r="K139" s="125"/>
      <c r="L139" s="125"/>
      <c r="M139" s="125"/>
      <c r="N139" s="125"/>
      <c r="O139" s="523">
        <f t="shared" ref="O139" si="131">K139</f>
        <v>0</v>
      </c>
      <c r="P139" s="522">
        <f t="shared" ref="P139" si="132">E139+J139</f>
        <v>189000</v>
      </c>
      <c r="Q139" s="34"/>
      <c r="R139" s="37"/>
    </row>
    <row r="140" spans="1:18" s="31" customFormat="1" ht="100.5" hidden="1" customHeight="1" thickTop="1" thickBot="1" x14ac:dyDescent="0.25">
      <c r="A140" s="116" t="s">
        <v>1455</v>
      </c>
      <c r="B140" s="116" t="s">
        <v>719</v>
      </c>
      <c r="C140" s="116"/>
      <c r="D140" s="116" t="s">
        <v>763</v>
      </c>
      <c r="E140" s="118">
        <f>E143</f>
        <v>0</v>
      </c>
      <c r="F140" s="118">
        <f t="shared" ref="F140:P140" si="133">F143</f>
        <v>0</v>
      </c>
      <c r="G140" s="118">
        <f t="shared" si="133"/>
        <v>0</v>
      </c>
      <c r="H140" s="118">
        <f t="shared" si="133"/>
        <v>0</v>
      </c>
      <c r="I140" s="118">
        <f t="shared" si="133"/>
        <v>0</v>
      </c>
      <c r="J140" s="118">
        <f t="shared" si="133"/>
        <v>0</v>
      </c>
      <c r="K140" s="118">
        <f t="shared" si="133"/>
        <v>0</v>
      </c>
      <c r="L140" s="118">
        <f t="shared" si="133"/>
        <v>0</v>
      </c>
      <c r="M140" s="118">
        <f t="shared" si="133"/>
        <v>0</v>
      </c>
      <c r="N140" s="118">
        <f t="shared" si="133"/>
        <v>0</v>
      </c>
      <c r="O140" s="118">
        <f t="shared" si="133"/>
        <v>0</v>
      </c>
      <c r="P140" s="118">
        <f t="shared" si="133"/>
        <v>0</v>
      </c>
      <c r="Q140" s="34"/>
      <c r="R140" s="37"/>
    </row>
    <row r="141" spans="1:18" s="31" customFormat="1" ht="48" hidden="1" thickTop="1" thickBot="1" x14ac:dyDescent="0.25">
      <c r="A141" s="135" t="s">
        <v>981</v>
      </c>
      <c r="B141" s="135" t="s">
        <v>980</v>
      </c>
      <c r="C141" s="135"/>
      <c r="D141" s="135" t="s">
        <v>979</v>
      </c>
      <c r="E141" s="136">
        <f>E142</f>
        <v>0</v>
      </c>
      <c r="F141" s="136">
        <f t="shared" ref="F141:P141" si="134">F142</f>
        <v>0</v>
      </c>
      <c r="G141" s="136">
        <f t="shared" si="134"/>
        <v>0</v>
      </c>
      <c r="H141" s="136">
        <f t="shared" si="134"/>
        <v>0</v>
      </c>
      <c r="I141" s="136">
        <f t="shared" si="134"/>
        <v>0</v>
      </c>
      <c r="J141" s="136">
        <f t="shared" si="134"/>
        <v>0</v>
      </c>
      <c r="K141" s="136">
        <f t="shared" si="134"/>
        <v>0</v>
      </c>
      <c r="L141" s="136">
        <f t="shared" si="134"/>
        <v>0</v>
      </c>
      <c r="M141" s="136">
        <f t="shared" si="134"/>
        <v>0</v>
      </c>
      <c r="N141" s="136">
        <f t="shared" si="134"/>
        <v>0</v>
      </c>
      <c r="O141" s="136">
        <f t="shared" si="134"/>
        <v>0</v>
      </c>
      <c r="P141" s="136">
        <f t="shared" si="134"/>
        <v>0</v>
      </c>
      <c r="Q141" s="34"/>
      <c r="R141" s="37"/>
    </row>
    <row r="142" spans="1:18" s="31" customFormat="1" ht="93" hidden="1" thickTop="1" thickBot="1" x14ac:dyDescent="0.25">
      <c r="A142" s="39" t="s">
        <v>982</v>
      </c>
      <c r="B142" s="39" t="s">
        <v>983</v>
      </c>
      <c r="C142" s="39" t="s">
        <v>167</v>
      </c>
      <c r="D142" s="39" t="s">
        <v>984</v>
      </c>
      <c r="E142" s="40">
        <f t="shared" si="114"/>
        <v>0</v>
      </c>
      <c r="F142" s="41"/>
      <c r="G142" s="41"/>
      <c r="H142" s="41"/>
      <c r="I142" s="41"/>
      <c r="J142" s="40">
        <f t="shared" si="111"/>
        <v>0</v>
      </c>
      <c r="K142" s="41"/>
      <c r="L142" s="41"/>
      <c r="M142" s="41"/>
      <c r="N142" s="41"/>
      <c r="O142" s="42">
        <f>K142</f>
        <v>0</v>
      </c>
      <c r="P142" s="40">
        <f t="shared" si="112"/>
        <v>0</v>
      </c>
      <c r="Q142" s="34"/>
      <c r="R142" s="24"/>
    </row>
    <row r="143" spans="1:18" s="26" customFormat="1" ht="84.75" hidden="1" customHeight="1" thickTop="1" thickBot="1" x14ac:dyDescent="0.25">
      <c r="A143" s="127" t="s">
        <v>699</v>
      </c>
      <c r="B143" s="127" t="s">
        <v>665</v>
      </c>
      <c r="C143" s="127"/>
      <c r="D143" s="127" t="s">
        <v>663</v>
      </c>
      <c r="E143" s="128">
        <f>E144</f>
        <v>0</v>
      </c>
      <c r="F143" s="128">
        <f t="shared" ref="F143:P143" si="135">F144</f>
        <v>0</v>
      </c>
      <c r="G143" s="128">
        <f t="shared" si="135"/>
        <v>0</v>
      </c>
      <c r="H143" s="128">
        <f t="shared" si="135"/>
        <v>0</v>
      </c>
      <c r="I143" s="128">
        <f t="shared" si="135"/>
        <v>0</v>
      </c>
      <c r="J143" s="128">
        <f t="shared" si="135"/>
        <v>0</v>
      </c>
      <c r="K143" s="128">
        <f t="shared" si="135"/>
        <v>0</v>
      </c>
      <c r="L143" s="128">
        <f t="shared" si="135"/>
        <v>0</v>
      </c>
      <c r="M143" s="128">
        <f t="shared" si="135"/>
        <v>0</v>
      </c>
      <c r="N143" s="128">
        <f t="shared" si="135"/>
        <v>0</v>
      </c>
      <c r="O143" s="128">
        <f t="shared" si="135"/>
        <v>0</v>
      </c>
      <c r="P143" s="128">
        <f t="shared" si="135"/>
        <v>0</v>
      </c>
      <c r="Q143" s="140"/>
      <c r="R143" s="38"/>
    </row>
    <row r="144" spans="1:18" s="26" customFormat="1" ht="48" hidden="1" thickTop="1" thickBot="1" x14ac:dyDescent="0.25">
      <c r="A144" s="119" t="s">
        <v>1132</v>
      </c>
      <c r="B144" s="119" t="s">
        <v>209</v>
      </c>
      <c r="C144" s="119" t="s">
        <v>210</v>
      </c>
      <c r="D144" s="119" t="s">
        <v>41</v>
      </c>
      <c r="E144" s="118"/>
      <c r="F144" s="125"/>
      <c r="G144" s="125"/>
      <c r="H144" s="125"/>
      <c r="I144" s="125"/>
      <c r="J144" s="118">
        <f t="shared" ref="J144" si="136">L144+O144</f>
        <v>0</v>
      </c>
      <c r="K144" s="125"/>
      <c r="L144" s="125"/>
      <c r="M144" s="125"/>
      <c r="N144" s="125"/>
      <c r="O144" s="123">
        <f t="shared" ref="O144" si="137">K144</f>
        <v>0</v>
      </c>
      <c r="P144" s="118">
        <f t="shared" si="112"/>
        <v>0</v>
      </c>
      <c r="Q144" s="140"/>
      <c r="R144" s="38"/>
    </row>
    <row r="145" spans="1:20" s="31" customFormat="1" ht="48" hidden="1" thickTop="1" thickBot="1" x14ac:dyDescent="0.25">
      <c r="A145" s="39" t="s">
        <v>427</v>
      </c>
      <c r="B145" s="39" t="s">
        <v>194</v>
      </c>
      <c r="C145" s="39" t="s">
        <v>167</v>
      </c>
      <c r="D145" s="39" t="s">
        <v>34</v>
      </c>
      <c r="E145" s="40">
        <f t="shared" si="114"/>
        <v>0</v>
      </c>
      <c r="F145" s="41"/>
      <c r="G145" s="41"/>
      <c r="H145" s="41"/>
      <c r="I145" s="41"/>
      <c r="J145" s="40">
        <f t="shared" si="111"/>
        <v>0</v>
      </c>
      <c r="K145" s="41"/>
      <c r="L145" s="41"/>
      <c r="M145" s="41"/>
      <c r="N145" s="41"/>
      <c r="O145" s="42">
        <f t="shared" si="116"/>
        <v>0</v>
      </c>
      <c r="P145" s="40">
        <f t="shared" si="112"/>
        <v>0</v>
      </c>
      <c r="Q145" s="34"/>
      <c r="R145" s="24"/>
    </row>
    <row r="146" spans="1:20" s="31" customFormat="1" ht="90.75" hidden="1" customHeight="1" thickTop="1" thickBot="1" x14ac:dyDescent="0.25">
      <c r="A146" s="116" t="s">
        <v>1501</v>
      </c>
      <c r="B146" s="116" t="s">
        <v>675</v>
      </c>
      <c r="C146" s="116"/>
      <c r="D146" s="116" t="s">
        <v>676</v>
      </c>
      <c r="E146" s="118">
        <f>E147</f>
        <v>0</v>
      </c>
      <c r="F146" s="118">
        <f t="shared" ref="F146:P147" si="138">F147</f>
        <v>0</v>
      </c>
      <c r="G146" s="118">
        <f t="shared" si="138"/>
        <v>0</v>
      </c>
      <c r="H146" s="118">
        <f t="shared" si="138"/>
        <v>0</v>
      </c>
      <c r="I146" s="118">
        <f t="shared" si="138"/>
        <v>0</v>
      </c>
      <c r="J146" s="118">
        <f t="shared" si="138"/>
        <v>0</v>
      </c>
      <c r="K146" s="118">
        <f t="shared" si="138"/>
        <v>0</v>
      </c>
      <c r="L146" s="118">
        <f t="shared" si="138"/>
        <v>0</v>
      </c>
      <c r="M146" s="118">
        <f t="shared" si="138"/>
        <v>0</v>
      </c>
      <c r="N146" s="118">
        <f t="shared" si="138"/>
        <v>0</v>
      </c>
      <c r="O146" s="118">
        <f t="shared" si="138"/>
        <v>0</v>
      </c>
      <c r="P146" s="118">
        <f t="shared" si="138"/>
        <v>0</v>
      </c>
      <c r="Q146" s="34"/>
      <c r="R146" s="24"/>
    </row>
    <row r="147" spans="1:20" s="31" customFormat="1" ht="107.45" hidden="1" customHeight="1" thickTop="1" thickBot="1" x14ac:dyDescent="0.25">
      <c r="A147" s="127" t="s">
        <v>1502</v>
      </c>
      <c r="B147" s="127" t="s">
        <v>678</v>
      </c>
      <c r="C147" s="127"/>
      <c r="D147" s="127" t="s">
        <v>679</v>
      </c>
      <c r="E147" s="128">
        <f>E148</f>
        <v>0</v>
      </c>
      <c r="F147" s="128">
        <f t="shared" si="138"/>
        <v>0</v>
      </c>
      <c r="G147" s="128">
        <f t="shared" si="138"/>
        <v>0</v>
      </c>
      <c r="H147" s="128">
        <f t="shared" si="138"/>
        <v>0</v>
      </c>
      <c r="I147" s="128">
        <f t="shared" si="138"/>
        <v>0</v>
      </c>
      <c r="J147" s="128">
        <f t="shared" si="138"/>
        <v>0</v>
      </c>
      <c r="K147" s="128">
        <f t="shared" si="138"/>
        <v>0</v>
      </c>
      <c r="L147" s="128">
        <f t="shared" si="138"/>
        <v>0</v>
      </c>
      <c r="M147" s="128">
        <f t="shared" si="138"/>
        <v>0</v>
      </c>
      <c r="N147" s="128">
        <f t="shared" si="138"/>
        <v>0</v>
      </c>
      <c r="O147" s="128">
        <f t="shared" si="138"/>
        <v>0</v>
      </c>
      <c r="P147" s="128">
        <f t="shared" si="138"/>
        <v>0</v>
      </c>
      <c r="Q147" s="34"/>
      <c r="R147" s="24"/>
    </row>
    <row r="148" spans="1:20" s="31" customFormat="1" ht="98.45" hidden="1" customHeight="1" thickTop="1" thickBot="1" x14ac:dyDescent="0.25">
      <c r="A148" s="119" t="s">
        <v>497</v>
      </c>
      <c r="B148" s="119" t="s">
        <v>356</v>
      </c>
      <c r="C148" s="119" t="s">
        <v>43</v>
      </c>
      <c r="D148" s="119" t="s">
        <v>357</v>
      </c>
      <c r="E148" s="118"/>
      <c r="F148" s="125"/>
      <c r="G148" s="125"/>
      <c r="H148" s="125"/>
      <c r="I148" s="125"/>
      <c r="J148" s="118">
        <f t="shared" si="111"/>
        <v>0</v>
      </c>
      <c r="K148" s="125"/>
      <c r="L148" s="125"/>
      <c r="M148" s="125"/>
      <c r="N148" s="125"/>
      <c r="O148" s="123">
        <f t="shared" si="116"/>
        <v>0</v>
      </c>
      <c r="P148" s="118">
        <f t="shared" si="112"/>
        <v>0</v>
      </c>
      <c r="Q148" s="34"/>
      <c r="R148" s="28"/>
    </row>
    <row r="149" spans="1:20" ht="147" customHeight="1" thickTop="1" thickBot="1" x14ac:dyDescent="0.25">
      <c r="A149" s="535" t="s">
        <v>153</v>
      </c>
      <c r="B149" s="535"/>
      <c r="C149" s="535"/>
      <c r="D149" s="536" t="s">
        <v>37</v>
      </c>
      <c r="E149" s="537">
        <f>E150</f>
        <v>578083381</v>
      </c>
      <c r="F149" s="538">
        <f t="shared" ref="F149:G149" si="139">F150</f>
        <v>539104381</v>
      </c>
      <c r="G149" s="538">
        <f t="shared" si="139"/>
        <v>130531876</v>
      </c>
      <c r="H149" s="538">
        <f>H150</f>
        <v>6514567</v>
      </c>
      <c r="I149" s="538">
        <f t="shared" ref="I149" si="140">I150</f>
        <v>38979000</v>
      </c>
      <c r="J149" s="537">
        <f>J150</f>
        <v>66217108</v>
      </c>
      <c r="K149" s="538">
        <f>K150</f>
        <v>51799985</v>
      </c>
      <c r="L149" s="538">
        <f>L150</f>
        <v>14402123</v>
      </c>
      <c r="M149" s="538">
        <f t="shared" ref="M149" si="141">M150</f>
        <v>5909411</v>
      </c>
      <c r="N149" s="538">
        <f>N150</f>
        <v>1624000</v>
      </c>
      <c r="O149" s="537">
        <f>O150</f>
        <v>51814985</v>
      </c>
      <c r="P149" s="538">
        <f>P150</f>
        <v>644300489</v>
      </c>
      <c r="Q149" s="538">
        <f>O150-K150</f>
        <v>15000</v>
      </c>
    </row>
    <row r="150" spans="1:20" ht="159" customHeight="1" thickTop="1" thickBot="1" x14ac:dyDescent="0.25">
      <c r="A150" s="532" t="s">
        <v>154</v>
      </c>
      <c r="B150" s="532"/>
      <c r="C150" s="532"/>
      <c r="D150" s="533" t="s">
        <v>38</v>
      </c>
      <c r="E150" s="534">
        <f>E151+E155+E201+E205</f>
        <v>578083381</v>
      </c>
      <c r="F150" s="534">
        <f>F151+F155+F201+F205</f>
        <v>539104381</v>
      </c>
      <c r="G150" s="534">
        <f>G151+G155+G201+G205</f>
        <v>130531876</v>
      </c>
      <c r="H150" s="534">
        <f>H151+H155+H201+H205</f>
        <v>6514567</v>
      </c>
      <c r="I150" s="534">
        <f>I151+I155+I201+I205</f>
        <v>38979000</v>
      </c>
      <c r="J150" s="534">
        <f t="shared" ref="J150:J179" si="142">L150+O150</f>
        <v>66217108</v>
      </c>
      <c r="K150" s="534">
        <f>K151+K155+K201+K205</f>
        <v>51799985</v>
      </c>
      <c r="L150" s="534">
        <f>L151+L155+L201+L205</f>
        <v>14402123</v>
      </c>
      <c r="M150" s="534">
        <f>M151+M155+M201+M205</f>
        <v>5909411</v>
      </c>
      <c r="N150" s="534">
        <f>N151+N155+N201+N205</f>
        <v>1624000</v>
      </c>
      <c r="O150" s="534">
        <f>O151+O155+O201+O205</f>
        <v>51814985</v>
      </c>
      <c r="P150" s="534">
        <f>E150+J150</f>
        <v>644300489</v>
      </c>
      <c r="Q150" s="568" t="b">
        <f>P150=P152+P154+P157+P158+P159+P160+P161+P162+P163+P164+P166+P167+P169+P171+P172+P173+P175+P176+P178+P195+P179+P197+P198+P199+P200+P207</f>
        <v>1</v>
      </c>
      <c r="R150" s="44"/>
      <c r="S150" s="44"/>
      <c r="T150" s="43"/>
    </row>
    <row r="151" spans="1:20" ht="87.75" customHeight="1" thickTop="1" thickBot="1" x14ac:dyDescent="0.25">
      <c r="A151" s="504" t="s">
        <v>700</v>
      </c>
      <c r="B151" s="504" t="s">
        <v>658</v>
      </c>
      <c r="C151" s="504"/>
      <c r="D151" s="504" t="s">
        <v>659</v>
      </c>
      <c r="E151" s="522">
        <f>SUM(E152:E154)</f>
        <v>69529159</v>
      </c>
      <c r="F151" s="522">
        <f t="shared" ref="F151:P151" si="143">SUM(F152:F154)</f>
        <v>69529159</v>
      </c>
      <c r="G151" s="522">
        <f t="shared" si="143"/>
        <v>53958953</v>
      </c>
      <c r="H151" s="522">
        <f t="shared" si="143"/>
        <v>2424443</v>
      </c>
      <c r="I151" s="522">
        <f t="shared" si="143"/>
        <v>0</v>
      </c>
      <c r="J151" s="522">
        <f t="shared" si="143"/>
        <v>0</v>
      </c>
      <c r="K151" s="522">
        <f t="shared" si="143"/>
        <v>0</v>
      </c>
      <c r="L151" s="522">
        <f t="shared" si="143"/>
        <v>0</v>
      </c>
      <c r="M151" s="522">
        <f t="shared" si="143"/>
        <v>0</v>
      </c>
      <c r="N151" s="522">
        <f t="shared" si="143"/>
        <v>0</v>
      </c>
      <c r="O151" s="522">
        <f t="shared" si="143"/>
        <v>0</v>
      </c>
      <c r="P151" s="522">
        <f t="shared" si="143"/>
        <v>69529159</v>
      </c>
      <c r="Q151" s="45"/>
      <c r="R151" s="44"/>
      <c r="T151" s="43"/>
    </row>
    <row r="152" spans="1:20" ht="127.5" customHeight="1" thickTop="1" thickBot="1" x14ac:dyDescent="0.25">
      <c r="A152" s="490" t="s">
        <v>407</v>
      </c>
      <c r="B152" s="490" t="s">
        <v>233</v>
      </c>
      <c r="C152" s="490" t="s">
        <v>231</v>
      </c>
      <c r="D152" s="490" t="s">
        <v>1554</v>
      </c>
      <c r="E152" s="492">
        <f>F152+I152</f>
        <v>69499159</v>
      </c>
      <c r="F152" s="508">
        <v>69499159</v>
      </c>
      <c r="G152" s="508">
        <v>53958953</v>
      </c>
      <c r="H152" s="508">
        <f>1119763+55000+1200000+49680</f>
        <v>2424443</v>
      </c>
      <c r="I152" s="125"/>
      <c r="J152" s="506">
        <f t="shared" si="142"/>
        <v>0</v>
      </c>
      <c r="K152" s="125"/>
      <c r="L152" s="125"/>
      <c r="M152" s="125"/>
      <c r="N152" s="125"/>
      <c r="O152" s="509">
        <f>K152</f>
        <v>0</v>
      </c>
      <c r="P152" s="506">
        <f>E152+J152</f>
        <v>69499159</v>
      </c>
      <c r="Q152" s="45"/>
      <c r="R152" s="44"/>
      <c r="T152" s="43"/>
    </row>
    <row r="153" spans="1:20" ht="93" hidden="1" thickTop="1" thickBot="1" x14ac:dyDescent="0.25">
      <c r="A153" s="119" t="s">
        <v>606</v>
      </c>
      <c r="B153" s="119" t="s">
        <v>355</v>
      </c>
      <c r="C153" s="119" t="s">
        <v>603</v>
      </c>
      <c r="D153" s="119" t="s">
        <v>604</v>
      </c>
      <c r="E153" s="118">
        <f t="shared" ref="E153" si="144">F153</f>
        <v>0</v>
      </c>
      <c r="F153" s="125">
        <v>0</v>
      </c>
      <c r="G153" s="125"/>
      <c r="H153" s="125"/>
      <c r="I153" s="125"/>
      <c r="J153" s="118">
        <f t="shared" ref="J153:J154" si="145">L153+O153</f>
        <v>0</v>
      </c>
      <c r="K153" s="125"/>
      <c r="L153" s="125"/>
      <c r="M153" s="125"/>
      <c r="N153" s="125"/>
      <c r="O153" s="123">
        <f>K153</f>
        <v>0</v>
      </c>
      <c r="P153" s="118">
        <f t="shared" ref="P153" si="146">E153+J153</f>
        <v>0</v>
      </c>
      <c r="Q153" s="45"/>
      <c r="R153" s="44"/>
      <c r="T153" s="43"/>
    </row>
    <row r="154" spans="1:20" ht="114" customHeight="1" thickTop="1" thickBot="1" x14ac:dyDescent="0.25">
      <c r="A154" s="490" t="s">
        <v>881</v>
      </c>
      <c r="B154" s="490" t="s">
        <v>43</v>
      </c>
      <c r="C154" s="490" t="s">
        <v>42</v>
      </c>
      <c r="D154" s="490" t="s">
        <v>244</v>
      </c>
      <c r="E154" s="492">
        <f>F154+I154</f>
        <v>30000</v>
      </c>
      <c r="F154" s="508">
        <v>30000</v>
      </c>
      <c r="G154" s="125"/>
      <c r="H154" s="125"/>
      <c r="I154" s="125"/>
      <c r="J154" s="506">
        <f t="shared" si="145"/>
        <v>0</v>
      </c>
      <c r="K154" s="125"/>
      <c r="L154" s="125"/>
      <c r="M154" s="125"/>
      <c r="N154" s="125"/>
      <c r="O154" s="123"/>
      <c r="P154" s="506">
        <f>E154+J154</f>
        <v>30000</v>
      </c>
      <c r="Q154" s="45"/>
      <c r="R154" s="44"/>
      <c r="T154" s="43"/>
    </row>
    <row r="155" spans="1:20" ht="107.25" customHeight="1" thickTop="1" thickBot="1" x14ac:dyDescent="0.25">
      <c r="A155" s="242" t="s">
        <v>701</v>
      </c>
      <c r="B155" s="242" t="s">
        <v>684</v>
      </c>
      <c r="C155" s="242"/>
      <c r="D155" s="242" t="s">
        <v>685</v>
      </c>
      <c r="E155" s="522">
        <f>SUM(E156:E200)-E156-E165-E177-E180-E196-E174-E170-E168</f>
        <v>508054222</v>
      </c>
      <c r="F155" s="522">
        <f t="shared" ref="F155:P155" si="147">SUM(F156:F200)-F156-F165-F177-F180-F196-F174-F170-F168</f>
        <v>469575222</v>
      </c>
      <c r="G155" s="522">
        <f t="shared" si="147"/>
        <v>76572923</v>
      </c>
      <c r="H155" s="522">
        <f t="shared" si="147"/>
        <v>4090124</v>
      </c>
      <c r="I155" s="522">
        <f t="shared" si="147"/>
        <v>38479000</v>
      </c>
      <c r="J155" s="522">
        <f t="shared" si="147"/>
        <v>66217108</v>
      </c>
      <c r="K155" s="522">
        <f t="shared" si="147"/>
        <v>51799985</v>
      </c>
      <c r="L155" s="522">
        <f t="shared" si="147"/>
        <v>14402123</v>
      </c>
      <c r="M155" s="522">
        <f t="shared" si="147"/>
        <v>5909411</v>
      </c>
      <c r="N155" s="522">
        <f t="shared" si="147"/>
        <v>1624000</v>
      </c>
      <c r="O155" s="522">
        <f t="shared" si="147"/>
        <v>51814985</v>
      </c>
      <c r="P155" s="522">
        <f t="shared" si="147"/>
        <v>574271330</v>
      </c>
      <c r="Q155" s="45"/>
      <c r="R155" s="44"/>
      <c r="T155" s="43"/>
    </row>
    <row r="156" spans="1:20" ht="186" customHeight="1" thickTop="1" thickBot="1" x14ac:dyDescent="0.25">
      <c r="A156" s="502" t="s">
        <v>702</v>
      </c>
      <c r="B156" s="502" t="s">
        <v>703</v>
      </c>
      <c r="C156" s="131"/>
      <c r="D156" s="502" t="s">
        <v>1556</v>
      </c>
      <c r="E156" s="503">
        <f>SUM(E157:E161)</f>
        <v>138815500</v>
      </c>
      <c r="F156" s="503">
        <f t="shared" ref="F156:P156" si="148">SUM(F157:F161)</f>
        <v>138765500</v>
      </c>
      <c r="G156" s="503">
        <f t="shared" si="148"/>
        <v>0</v>
      </c>
      <c r="H156" s="503">
        <f t="shared" si="148"/>
        <v>0</v>
      </c>
      <c r="I156" s="503">
        <f t="shared" si="148"/>
        <v>50000</v>
      </c>
      <c r="J156" s="503">
        <f t="shared" si="148"/>
        <v>0</v>
      </c>
      <c r="K156" s="503">
        <f t="shared" si="148"/>
        <v>0</v>
      </c>
      <c r="L156" s="503">
        <f t="shared" si="148"/>
        <v>0</v>
      </c>
      <c r="M156" s="503">
        <f t="shared" si="148"/>
        <v>0</v>
      </c>
      <c r="N156" s="503">
        <f t="shared" si="148"/>
        <v>0</v>
      </c>
      <c r="O156" s="503">
        <f t="shared" si="148"/>
        <v>0</v>
      </c>
      <c r="P156" s="503">
        <f t="shared" si="148"/>
        <v>138815500</v>
      </c>
      <c r="Q156" s="141"/>
      <c r="R156" s="46"/>
      <c r="T156" s="47"/>
    </row>
    <row r="157" spans="1:20" s="31" customFormat="1" ht="93" thickTop="1" thickBot="1" x14ac:dyDescent="0.25">
      <c r="A157" s="490" t="s">
        <v>265</v>
      </c>
      <c r="B157" s="490" t="s">
        <v>266</v>
      </c>
      <c r="C157" s="490" t="s">
        <v>202</v>
      </c>
      <c r="D157" s="496" t="s">
        <v>267</v>
      </c>
      <c r="E157" s="492">
        <f t="shared" ref="E157:E164" si="149">F157+I157</f>
        <v>1050000</v>
      </c>
      <c r="F157" s="508">
        <v>1000000</v>
      </c>
      <c r="G157" s="125"/>
      <c r="H157" s="125"/>
      <c r="I157" s="525">
        <v>50000</v>
      </c>
      <c r="J157" s="522">
        <f t="shared" si="142"/>
        <v>0</v>
      </c>
      <c r="K157" s="525"/>
      <c r="L157" s="525"/>
      <c r="M157" s="525"/>
      <c r="N157" s="525"/>
      <c r="O157" s="523">
        <f t="shared" ref="O157:O179" si="150">K157</f>
        <v>0</v>
      </c>
      <c r="P157" s="522">
        <f t="shared" ref="P157:P167" si="151">E157+J157</f>
        <v>1050000</v>
      </c>
      <c r="Q157" s="34"/>
      <c r="R157" s="44"/>
    </row>
    <row r="158" spans="1:20" s="31" customFormat="1" ht="101.25" customHeight="1" thickTop="1" thickBot="1" x14ac:dyDescent="0.25">
      <c r="A158" s="490" t="s">
        <v>268</v>
      </c>
      <c r="B158" s="490" t="s">
        <v>269</v>
      </c>
      <c r="C158" s="490" t="s">
        <v>203</v>
      </c>
      <c r="D158" s="490" t="s">
        <v>6</v>
      </c>
      <c r="E158" s="492">
        <f t="shared" si="149"/>
        <v>465500</v>
      </c>
      <c r="F158" s="508">
        <v>465500</v>
      </c>
      <c r="G158" s="125"/>
      <c r="H158" s="125"/>
      <c r="I158" s="125"/>
      <c r="J158" s="522">
        <f t="shared" si="142"/>
        <v>0</v>
      </c>
      <c r="K158" s="525"/>
      <c r="L158" s="525"/>
      <c r="M158" s="525"/>
      <c r="N158" s="525"/>
      <c r="O158" s="523">
        <f t="shared" si="150"/>
        <v>0</v>
      </c>
      <c r="P158" s="522">
        <f t="shared" si="151"/>
        <v>465500</v>
      </c>
      <c r="Q158" s="34"/>
      <c r="R158" s="48"/>
    </row>
    <row r="159" spans="1:20" s="31" customFormat="1" ht="149.25" customHeight="1" thickTop="1" thickBot="1" x14ac:dyDescent="0.25">
      <c r="A159" s="94" t="s">
        <v>271</v>
      </c>
      <c r="B159" s="94" t="s">
        <v>272</v>
      </c>
      <c r="C159" s="94" t="s">
        <v>203</v>
      </c>
      <c r="D159" s="94" t="s">
        <v>7</v>
      </c>
      <c r="E159" s="492">
        <f t="shared" si="149"/>
        <v>52100000</v>
      </c>
      <c r="F159" s="525">
        <v>52100000</v>
      </c>
      <c r="G159" s="125"/>
      <c r="H159" s="125"/>
      <c r="I159" s="125"/>
      <c r="J159" s="522">
        <f t="shared" si="142"/>
        <v>0</v>
      </c>
      <c r="K159" s="125"/>
      <c r="L159" s="125"/>
      <c r="M159" s="125"/>
      <c r="N159" s="125"/>
      <c r="O159" s="523">
        <f t="shared" si="150"/>
        <v>0</v>
      </c>
      <c r="P159" s="522">
        <f t="shared" si="151"/>
        <v>52100000</v>
      </c>
      <c r="Q159" s="34"/>
      <c r="R159" s="48"/>
    </row>
    <row r="160" spans="1:20" s="31" customFormat="1" ht="146.25" customHeight="1" thickTop="1" thickBot="1" x14ac:dyDescent="0.25">
      <c r="A160" s="94" t="s">
        <v>273</v>
      </c>
      <c r="B160" s="94" t="s">
        <v>270</v>
      </c>
      <c r="C160" s="94" t="s">
        <v>203</v>
      </c>
      <c r="D160" s="94" t="s">
        <v>8</v>
      </c>
      <c r="E160" s="492">
        <f t="shared" si="149"/>
        <v>1500000</v>
      </c>
      <c r="F160" s="525">
        <v>1500000</v>
      </c>
      <c r="G160" s="125"/>
      <c r="H160" s="125"/>
      <c r="I160" s="125"/>
      <c r="J160" s="522">
        <f t="shared" si="142"/>
        <v>0</v>
      </c>
      <c r="K160" s="125"/>
      <c r="L160" s="125"/>
      <c r="M160" s="125"/>
      <c r="N160" s="125"/>
      <c r="O160" s="523">
        <f t="shared" si="150"/>
        <v>0</v>
      </c>
      <c r="P160" s="522">
        <f t="shared" si="151"/>
        <v>1500000</v>
      </c>
      <c r="Q160" s="34"/>
      <c r="R160" s="48"/>
    </row>
    <row r="161" spans="1:18" s="31" customFormat="1" ht="152.25" customHeight="1" thickTop="1" thickBot="1" x14ac:dyDescent="0.25">
      <c r="A161" s="94" t="s">
        <v>274</v>
      </c>
      <c r="B161" s="94" t="s">
        <v>275</v>
      </c>
      <c r="C161" s="94" t="s">
        <v>203</v>
      </c>
      <c r="D161" s="94" t="s">
        <v>9</v>
      </c>
      <c r="E161" s="492">
        <f t="shared" si="149"/>
        <v>83700000</v>
      </c>
      <c r="F161" s="525">
        <v>83700000</v>
      </c>
      <c r="G161" s="125"/>
      <c r="H161" s="125"/>
      <c r="I161" s="125"/>
      <c r="J161" s="522">
        <f t="shared" si="142"/>
        <v>0</v>
      </c>
      <c r="K161" s="525"/>
      <c r="L161" s="525"/>
      <c r="M161" s="525"/>
      <c r="N161" s="525"/>
      <c r="O161" s="523">
        <f t="shared" si="150"/>
        <v>0</v>
      </c>
      <c r="P161" s="522">
        <f t="shared" si="151"/>
        <v>83700000</v>
      </c>
      <c r="Q161" s="34"/>
      <c r="R161" s="48"/>
    </row>
    <row r="162" spans="1:18" s="31" customFormat="1" ht="124.5" customHeight="1" thickTop="1" thickBot="1" x14ac:dyDescent="0.25">
      <c r="A162" s="94" t="s">
        <v>466</v>
      </c>
      <c r="B162" s="94" t="s">
        <v>467</v>
      </c>
      <c r="C162" s="94" t="s">
        <v>203</v>
      </c>
      <c r="D162" s="94" t="s">
        <v>468</v>
      </c>
      <c r="E162" s="492">
        <f t="shared" si="149"/>
        <v>399986</v>
      </c>
      <c r="F162" s="525">
        <v>399986</v>
      </c>
      <c r="G162" s="125"/>
      <c r="H162" s="125"/>
      <c r="I162" s="125"/>
      <c r="J162" s="522">
        <f t="shared" si="142"/>
        <v>0</v>
      </c>
      <c r="K162" s="525"/>
      <c r="L162" s="525"/>
      <c r="M162" s="525"/>
      <c r="N162" s="525"/>
      <c r="O162" s="523">
        <f t="shared" si="150"/>
        <v>0</v>
      </c>
      <c r="P162" s="522">
        <f t="shared" si="151"/>
        <v>399986</v>
      </c>
      <c r="Q162" s="34"/>
      <c r="R162" s="48"/>
    </row>
    <row r="163" spans="1:18" s="31" customFormat="1" ht="143.25" customHeight="1" thickTop="1" thickBot="1" x14ac:dyDescent="0.25">
      <c r="A163" s="94" t="s">
        <v>882</v>
      </c>
      <c r="B163" s="94" t="s">
        <v>883</v>
      </c>
      <c r="C163" s="94" t="s">
        <v>203</v>
      </c>
      <c r="D163" s="94" t="s">
        <v>884</v>
      </c>
      <c r="E163" s="492">
        <f t="shared" si="149"/>
        <v>2200000</v>
      </c>
      <c r="F163" s="525">
        <v>2200000</v>
      </c>
      <c r="G163" s="125"/>
      <c r="H163" s="125"/>
      <c r="I163" s="125"/>
      <c r="J163" s="522">
        <f t="shared" ref="J163" si="152">L163+O163</f>
        <v>0</v>
      </c>
      <c r="K163" s="525"/>
      <c r="L163" s="525"/>
      <c r="M163" s="525"/>
      <c r="N163" s="525"/>
      <c r="O163" s="523">
        <f t="shared" ref="O163" si="153">K163</f>
        <v>0</v>
      </c>
      <c r="P163" s="522">
        <f t="shared" ref="P163" si="154">E163+J163</f>
        <v>2200000</v>
      </c>
      <c r="Q163" s="34"/>
      <c r="R163" s="48"/>
    </row>
    <row r="164" spans="1:18" ht="93" thickTop="1" thickBot="1" x14ac:dyDescent="0.25">
      <c r="A164" s="94" t="s">
        <v>469</v>
      </c>
      <c r="B164" s="94" t="s">
        <v>470</v>
      </c>
      <c r="C164" s="94" t="s">
        <v>202</v>
      </c>
      <c r="D164" s="94" t="s">
        <v>471</v>
      </c>
      <c r="E164" s="492">
        <f t="shared" si="149"/>
        <v>1146655</v>
      </c>
      <c r="F164" s="525">
        <v>1146655</v>
      </c>
      <c r="G164" s="125"/>
      <c r="H164" s="125"/>
      <c r="I164" s="125"/>
      <c r="J164" s="522">
        <f t="shared" si="142"/>
        <v>0</v>
      </c>
      <c r="K164" s="525"/>
      <c r="L164" s="525"/>
      <c r="M164" s="525"/>
      <c r="N164" s="525"/>
      <c r="O164" s="523">
        <f>K164</f>
        <v>0</v>
      </c>
      <c r="P164" s="522">
        <f t="shared" si="151"/>
        <v>1146655</v>
      </c>
      <c r="Q164" s="18"/>
      <c r="R164" s="48"/>
    </row>
    <row r="165" spans="1:18" s="31" customFormat="1" ht="195" customHeight="1" thickTop="1" thickBot="1" x14ac:dyDescent="0.25">
      <c r="A165" s="539" t="s">
        <v>704</v>
      </c>
      <c r="B165" s="539" t="s">
        <v>705</v>
      </c>
      <c r="C165" s="539"/>
      <c r="D165" s="539" t="s">
        <v>706</v>
      </c>
      <c r="E165" s="540">
        <f>SUM(E166:E167)</f>
        <v>85096859</v>
      </c>
      <c r="F165" s="540">
        <f t="shared" ref="F165:P165" si="155">SUM(F166:F167)</f>
        <v>85096859</v>
      </c>
      <c r="G165" s="540">
        <f t="shared" si="155"/>
        <v>46647767</v>
      </c>
      <c r="H165" s="540">
        <f t="shared" si="155"/>
        <v>1472586</v>
      </c>
      <c r="I165" s="540">
        <f t="shared" si="155"/>
        <v>0</v>
      </c>
      <c r="J165" s="540">
        <f t="shared" si="155"/>
        <v>2753240</v>
      </c>
      <c r="K165" s="540">
        <f t="shared" si="155"/>
        <v>0</v>
      </c>
      <c r="L165" s="540">
        <f t="shared" si="155"/>
        <v>2753240</v>
      </c>
      <c r="M165" s="540">
        <f t="shared" si="155"/>
        <v>1538900</v>
      </c>
      <c r="N165" s="540">
        <f t="shared" si="155"/>
        <v>410000</v>
      </c>
      <c r="O165" s="540">
        <f t="shared" si="155"/>
        <v>0</v>
      </c>
      <c r="P165" s="540">
        <f t="shared" si="155"/>
        <v>87850099</v>
      </c>
      <c r="Q165" s="34"/>
      <c r="R165" s="49"/>
    </row>
    <row r="166" spans="1:18" ht="173.25" customHeight="1" thickTop="1" thickBot="1" x14ac:dyDescent="0.25">
      <c r="A166" s="94" t="s">
        <v>263</v>
      </c>
      <c r="B166" s="94" t="s">
        <v>261</v>
      </c>
      <c r="C166" s="94" t="s">
        <v>197</v>
      </c>
      <c r="D166" s="94" t="s">
        <v>17</v>
      </c>
      <c r="E166" s="492">
        <f>F166+I166</f>
        <v>66612395</v>
      </c>
      <c r="F166" s="525">
        <v>66612395</v>
      </c>
      <c r="G166" s="525">
        <v>34138719</v>
      </c>
      <c r="H166" s="525">
        <f>400122+26655+184000+10800</f>
        <v>621577</v>
      </c>
      <c r="I166" s="125"/>
      <c r="J166" s="522">
        <f t="shared" si="142"/>
        <v>2753240</v>
      </c>
      <c r="K166" s="525">
        <v>0</v>
      </c>
      <c r="L166" s="525">
        <v>2753240</v>
      </c>
      <c r="M166" s="525">
        <v>1538900</v>
      </c>
      <c r="N166" s="525">
        <f>200000+20000+190000</f>
        <v>410000</v>
      </c>
      <c r="O166" s="523">
        <f>K166+0</f>
        <v>0</v>
      </c>
      <c r="P166" s="522">
        <f t="shared" si="151"/>
        <v>69365635</v>
      </c>
      <c r="Q166" s="18"/>
      <c r="R166" s="44"/>
    </row>
    <row r="167" spans="1:18" ht="134.25" customHeight="1" thickTop="1" thickBot="1" x14ac:dyDescent="0.25">
      <c r="A167" s="94" t="s">
        <v>264</v>
      </c>
      <c r="B167" s="94" t="s">
        <v>262</v>
      </c>
      <c r="C167" s="94" t="s">
        <v>196</v>
      </c>
      <c r="D167" s="94" t="s">
        <v>446</v>
      </c>
      <c r="E167" s="492">
        <f>F167+I167</f>
        <v>18484464</v>
      </c>
      <c r="F167" s="525">
        <v>18484464</v>
      </c>
      <c r="G167" s="525">
        <f>8472518+4036530</f>
        <v>12509048</v>
      </c>
      <c r="H167" s="525">
        <f>300756+9412+195000+833+271602+9290+63807+309</f>
        <v>851009</v>
      </c>
      <c r="I167" s="125"/>
      <c r="J167" s="522">
        <f t="shared" si="142"/>
        <v>0</v>
      </c>
      <c r="K167" s="525">
        <v>0</v>
      </c>
      <c r="L167" s="525"/>
      <c r="M167" s="525"/>
      <c r="N167" s="525"/>
      <c r="O167" s="523">
        <f t="shared" si="150"/>
        <v>0</v>
      </c>
      <c r="P167" s="522">
        <f t="shared" si="151"/>
        <v>18484464</v>
      </c>
      <c r="Q167" s="18"/>
      <c r="R167" s="44"/>
    </row>
    <row r="168" spans="1:18" ht="88.5" customHeight="1" thickTop="1" thickBot="1" x14ac:dyDescent="0.25">
      <c r="A168" s="539" t="s">
        <v>1456</v>
      </c>
      <c r="B168" s="539" t="s">
        <v>1457</v>
      </c>
      <c r="C168" s="539"/>
      <c r="D168" s="539" t="s">
        <v>1458</v>
      </c>
      <c r="E168" s="540">
        <f>E169</f>
        <v>35120</v>
      </c>
      <c r="F168" s="540">
        <f t="shared" ref="F168:P168" si="156">F169</f>
        <v>35120</v>
      </c>
      <c r="G168" s="540">
        <f t="shared" si="156"/>
        <v>0</v>
      </c>
      <c r="H168" s="540">
        <f t="shared" si="156"/>
        <v>0</v>
      </c>
      <c r="I168" s="540">
        <f t="shared" si="156"/>
        <v>0</v>
      </c>
      <c r="J168" s="540">
        <f t="shared" si="156"/>
        <v>0</v>
      </c>
      <c r="K168" s="540">
        <f t="shared" si="156"/>
        <v>0</v>
      </c>
      <c r="L168" s="540">
        <f t="shared" si="156"/>
        <v>0</v>
      </c>
      <c r="M168" s="540">
        <f t="shared" si="156"/>
        <v>0</v>
      </c>
      <c r="N168" s="540">
        <f t="shared" si="156"/>
        <v>0</v>
      </c>
      <c r="O168" s="540">
        <f t="shared" si="156"/>
        <v>0</v>
      </c>
      <c r="P168" s="540">
        <f t="shared" si="156"/>
        <v>35120</v>
      </c>
      <c r="Q168" s="18"/>
      <c r="R168" s="44"/>
    </row>
    <row r="169" spans="1:18" ht="138.75" thickTop="1" thickBot="1" x14ac:dyDescent="0.25">
      <c r="A169" s="94" t="s">
        <v>1460</v>
      </c>
      <c r="B169" s="94" t="s">
        <v>1461</v>
      </c>
      <c r="C169" s="94" t="s">
        <v>182</v>
      </c>
      <c r="D169" s="94" t="s">
        <v>1459</v>
      </c>
      <c r="E169" s="492">
        <f>F169+I169</f>
        <v>35120</v>
      </c>
      <c r="F169" s="541">
        <v>35120</v>
      </c>
      <c r="G169" s="120"/>
      <c r="H169" s="120"/>
      <c r="I169" s="120"/>
      <c r="J169" s="522">
        <f t="shared" ref="J169" si="157">L169+O169</f>
        <v>0</v>
      </c>
      <c r="K169" s="541"/>
      <c r="L169" s="543"/>
      <c r="M169" s="543"/>
      <c r="N169" s="543"/>
      <c r="O169" s="523">
        <f>K169+0</f>
        <v>0</v>
      </c>
      <c r="P169" s="522">
        <f>+J169+E169</f>
        <v>35120</v>
      </c>
      <c r="Q169" s="18"/>
      <c r="R169" s="44"/>
    </row>
    <row r="170" spans="1:18" ht="107.25" customHeight="1" thickTop="1" thickBot="1" x14ac:dyDescent="0.25">
      <c r="A170" s="539" t="s">
        <v>951</v>
      </c>
      <c r="B170" s="539" t="s">
        <v>735</v>
      </c>
      <c r="C170" s="539"/>
      <c r="D170" s="539" t="s">
        <v>736</v>
      </c>
      <c r="E170" s="540">
        <f>SUM(E171:E172)</f>
        <v>14941794</v>
      </c>
      <c r="F170" s="540">
        <f t="shared" ref="F170:P170" si="158">SUM(F171:F172)</f>
        <v>14941794</v>
      </c>
      <c r="G170" s="540">
        <f t="shared" si="158"/>
        <v>10452246</v>
      </c>
      <c r="H170" s="540">
        <f t="shared" si="158"/>
        <v>448544</v>
      </c>
      <c r="I170" s="540">
        <f t="shared" si="158"/>
        <v>0</v>
      </c>
      <c r="J170" s="540">
        <f t="shared" si="158"/>
        <v>56400</v>
      </c>
      <c r="K170" s="540">
        <f t="shared" si="158"/>
        <v>0</v>
      </c>
      <c r="L170" s="540">
        <f t="shared" si="158"/>
        <v>56400</v>
      </c>
      <c r="M170" s="540">
        <f t="shared" si="158"/>
        <v>0</v>
      </c>
      <c r="N170" s="540">
        <f t="shared" si="158"/>
        <v>0</v>
      </c>
      <c r="O170" s="540">
        <f t="shared" si="158"/>
        <v>0</v>
      </c>
      <c r="P170" s="540">
        <f t="shared" si="158"/>
        <v>14998194</v>
      </c>
      <c r="Q170" s="18"/>
      <c r="R170" s="44"/>
    </row>
    <row r="171" spans="1:18" ht="206.25" customHeight="1" thickTop="1" thickBot="1" x14ac:dyDescent="0.25">
      <c r="A171" s="94" t="s">
        <v>1101</v>
      </c>
      <c r="B171" s="94" t="s">
        <v>181</v>
      </c>
      <c r="C171" s="94" t="s">
        <v>182</v>
      </c>
      <c r="D171" s="94" t="s">
        <v>1418</v>
      </c>
      <c r="E171" s="492">
        <f>F171+I171</f>
        <v>9778945</v>
      </c>
      <c r="F171" s="541">
        <v>9778945</v>
      </c>
      <c r="G171" s="541">
        <v>7067070</v>
      </c>
      <c r="H171" s="541">
        <f>96000+7560+67000+7000</f>
        <v>177560</v>
      </c>
      <c r="I171" s="120"/>
      <c r="J171" s="522">
        <f t="shared" ref="J171" si="159">L171+O171</f>
        <v>56400</v>
      </c>
      <c r="K171" s="541"/>
      <c r="L171" s="543">
        <v>56400</v>
      </c>
      <c r="M171" s="543"/>
      <c r="N171" s="543"/>
      <c r="O171" s="523">
        <f>K171+0</f>
        <v>0</v>
      </c>
      <c r="P171" s="522">
        <f>+J171+E171</f>
        <v>9835345</v>
      </c>
      <c r="Q171" s="18"/>
      <c r="R171" s="44"/>
    </row>
    <row r="172" spans="1:18" ht="174" customHeight="1" thickTop="1" thickBot="1" x14ac:dyDescent="0.25">
      <c r="A172" s="94" t="s">
        <v>952</v>
      </c>
      <c r="B172" s="94" t="s">
        <v>953</v>
      </c>
      <c r="C172" s="94" t="s">
        <v>182</v>
      </c>
      <c r="D172" s="94" t="s">
        <v>1419</v>
      </c>
      <c r="E172" s="492">
        <f>F172+I172</f>
        <v>5162849</v>
      </c>
      <c r="F172" s="541">
        <v>5162849</v>
      </c>
      <c r="G172" s="541">
        <v>3385176</v>
      </c>
      <c r="H172" s="541">
        <f>100540+8264+99000+63180</f>
        <v>270984</v>
      </c>
      <c r="I172" s="120"/>
      <c r="J172" s="522">
        <f t="shared" ref="J172" si="160">L172+O172</f>
        <v>0</v>
      </c>
      <c r="K172" s="541"/>
      <c r="L172" s="543"/>
      <c r="M172" s="543"/>
      <c r="N172" s="543"/>
      <c r="O172" s="523">
        <f t="shared" ref="O172" si="161">K172</f>
        <v>0</v>
      </c>
      <c r="P172" s="522">
        <f>+J172+E172</f>
        <v>5162849</v>
      </c>
      <c r="Q172" s="18"/>
      <c r="R172" s="44"/>
    </row>
    <row r="173" spans="1:18" ht="219" customHeight="1" thickTop="1" thickBot="1" x14ac:dyDescent="0.25">
      <c r="A173" s="94" t="s">
        <v>259</v>
      </c>
      <c r="B173" s="94" t="s">
        <v>260</v>
      </c>
      <c r="C173" s="94" t="s">
        <v>196</v>
      </c>
      <c r="D173" s="94" t="s">
        <v>1560</v>
      </c>
      <c r="E173" s="492">
        <f>F173+I173</f>
        <v>11007200</v>
      </c>
      <c r="F173" s="525">
        <v>11007200</v>
      </c>
      <c r="G173" s="125"/>
      <c r="H173" s="125"/>
      <c r="I173" s="125"/>
      <c r="J173" s="522">
        <f t="shared" si="142"/>
        <v>0</v>
      </c>
      <c r="K173" s="522"/>
      <c r="L173" s="525"/>
      <c r="M173" s="525"/>
      <c r="N173" s="525"/>
      <c r="O173" s="523">
        <f t="shared" si="150"/>
        <v>0</v>
      </c>
      <c r="P173" s="522">
        <f>+J173+E173</f>
        <v>11007200</v>
      </c>
      <c r="Q173" s="18"/>
      <c r="R173" s="48"/>
    </row>
    <row r="174" spans="1:18" ht="107.25" customHeight="1" thickTop="1" thickBot="1" x14ac:dyDescent="0.25">
      <c r="A174" s="539" t="s">
        <v>844</v>
      </c>
      <c r="B174" s="539" t="s">
        <v>845</v>
      </c>
      <c r="C174" s="539"/>
      <c r="D174" s="539" t="s">
        <v>846</v>
      </c>
      <c r="E174" s="540">
        <f t="shared" ref="E174:E209" si="162">F174</f>
        <v>177006</v>
      </c>
      <c r="F174" s="540">
        <f>F175</f>
        <v>177006</v>
      </c>
      <c r="G174" s="540">
        <f t="shared" ref="G174:I174" si="163">G175</f>
        <v>0</v>
      </c>
      <c r="H174" s="540">
        <f t="shared" si="163"/>
        <v>0</v>
      </c>
      <c r="I174" s="540">
        <f t="shared" si="163"/>
        <v>0</v>
      </c>
      <c r="J174" s="540">
        <f t="shared" si="142"/>
        <v>0</v>
      </c>
      <c r="K174" s="540">
        <f t="shared" ref="K174:N174" si="164">K175</f>
        <v>0</v>
      </c>
      <c r="L174" s="540">
        <f t="shared" si="164"/>
        <v>0</v>
      </c>
      <c r="M174" s="540">
        <f t="shared" si="164"/>
        <v>0</v>
      </c>
      <c r="N174" s="540">
        <f t="shared" si="164"/>
        <v>0</v>
      </c>
      <c r="O174" s="540">
        <f t="shared" si="150"/>
        <v>0</v>
      </c>
      <c r="P174" s="540">
        <f>+J174+E174</f>
        <v>177006</v>
      </c>
      <c r="Q174" s="18"/>
      <c r="R174" s="48"/>
    </row>
    <row r="175" spans="1:18" ht="180.75" customHeight="1" thickTop="1" thickBot="1" x14ac:dyDescent="0.25">
      <c r="A175" s="94" t="s">
        <v>472</v>
      </c>
      <c r="B175" s="94" t="s">
        <v>473</v>
      </c>
      <c r="C175" s="94" t="s">
        <v>196</v>
      </c>
      <c r="D175" s="94" t="s">
        <v>474</v>
      </c>
      <c r="E175" s="492">
        <f>F175+I175</f>
        <v>177006</v>
      </c>
      <c r="F175" s="525">
        <v>177006</v>
      </c>
      <c r="G175" s="525"/>
      <c r="H175" s="525"/>
      <c r="I175" s="525"/>
      <c r="J175" s="522">
        <f t="shared" si="142"/>
        <v>0</v>
      </c>
      <c r="K175" s="522"/>
      <c r="L175" s="525"/>
      <c r="M175" s="525"/>
      <c r="N175" s="525"/>
      <c r="O175" s="523">
        <f t="shared" si="150"/>
        <v>0</v>
      </c>
      <c r="P175" s="522">
        <f>+J175+E175</f>
        <v>177006</v>
      </c>
      <c r="Q175" s="18"/>
      <c r="R175" s="48"/>
    </row>
    <row r="176" spans="1:18" ht="198" customHeight="1" thickTop="1" thickBot="1" x14ac:dyDescent="0.25">
      <c r="A176" s="490" t="s">
        <v>342</v>
      </c>
      <c r="B176" s="490" t="s">
        <v>341</v>
      </c>
      <c r="C176" s="490" t="s">
        <v>50</v>
      </c>
      <c r="D176" s="490" t="s">
        <v>445</v>
      </c>
      <c r="E176" s="492">
        <f>F176+I176</f>
        <v>6781600</v>
      </c>
      <c r="F176" s="508">
        <v>6781600</v>
      </c>
      <c r="G176" s="125"/>
      <c r="H176" s="125"/>
      <c r="I176" s="125"/>
      <c r="J176" s="506">
        <f t="shared" si="142"/>
        <v>0</v>
      </c>
      <c r="K176" s="118"/>
      <c r="L176" s="125"/>
      <c r="M176" s="125"/>
      <c r="N176" s="125"/>
      <c r="O176" s="509">
        <f t="shared" si="150"/>
        <v>0</v>
      </c>
      <c r="P176" s="506">
        <f>E176+J176</f>
        <v>6781600</v>
      </c>
      <c r="Q176" s="18"/>
      <c r="R176" s="48"/>
    </row>
    <row r="177" spans="1:18" s="31" customFormat="1" ht="123" customHeight="1" thickTop="1" thickBot="1" x14ac:dyDescent="0.25">
      <c r="A177" s="539" t="s">
        <v>707</v>
      </c>
      <c r="B177" s="539" t="s">
        <v>708</v>
      </c>
      <c r="C177" s="539"/>
      <c r="D177" s="539" t="s">
        <v>709</v>
      </c>
      <c r="E177" s="540">
        <f>E178</f>
        <v>1500000</v>
      </c>
      <c r="F177" s="540">
        <f t="shared" ref="F177:P177" si="165">F178</f>
        <v>1500000</v>
      </c>
      <c r="G177" s="540">
        <f t="shared" si="165"/>
        <v>0</v>
      </c>
      <c r="H177" s="540">
        <f t="shared" si="165"/>
        <v>0</v>
      </c>
      <c r="I177" s="540">
        <f t="shared" si="165"/>
        <v>0</v>
      </c>
      <c r="J177" s="540">
        <f t="shared" si="165"/>
        <v>0</v>
      </c>
      <c r="K177" s="540">
        <f t="shared" si="165"/>
        <v>0</v>
      </c>
      <c r="L177" s="540">
        <f t="shared" si="165"/>
        <v>0</v>
      </c>
      <c r="M177" s="540">
        <f t="shared" si="165"/>
        <v>0</v>
      </c>
      <c r="N177" s="540">
        <f t="shared" si="165"/>
        <v>0</v>
      </c>
      <c r="O177" s="540">
        <f t="shared" si="165"/>
        <v>0</v>
      </c>
      <c r="P177" s="540">
        <f t="shared" si="165"/>
        <v>1500000</v>
      </c>
      <c r="Q177" s="34"/>
      <c r="R177" s="49"/>
    </row>
    <row r="178" spans="1:18" ht="159" customHeight="1" thickTop="1" thickBot="1" x14ac:dyDescent="0.25">
      <c r="A178" s="94" t="s">
        <v>320</v>
      </c>
      <c r="B178" s="94" t="s">
        <v>321</v>
      </c>
      <c r="C178" s="94" t="s">
        <v>202</v>
      </c>
      <c r="D178" s="94" t="s">
        <v>613</v>
      </c>
      <c r="E178" s="492">
        <f>F178+I178</f>
        <v>1500000</v>
      </c>
      <c r="F178" s="525">
        <v>1500000</v>
      </c>
      <c r="G178" s="125"/>
      <c r="H178" s="125"/>
      <c r="I178" s="125"/>
      <c r="J178" s="522">
        <f t="shared" si="142"/>
        <v>0</v>
      </c>
      <c r="K178" s="125"/>
      <c r="L178" s="125"/>
      <c r="M178" s="125"/>
      <c r="N178" s="125"/>
      <c r="O178" s="523">
        <f t="shared" si="150"/>
        <v>0</v>
      </c>
      <c r="P178" s="522">
        <f>E178+J178</f>
        <v>1500000</v>
      </c>
      <c r="Q178" s="18"/>
      <c r="R178" s="48"/>
    </row>
    <row r="179" spans="1:18" ht="88.5" customHeight="1" thickTop="1" thickBot="1" x14ac:dyDescent="0.25">
      <c r="A179" s="94" t="s">
        <v>420</v>
      </c>
      <c r="B179" s="94" t="s">
        <v>365</v>
      </c>
      <c r="C179" s="94" t="s">
        <v>366</v>
      </c>
      <c r="D179" s="94" t="s">
        <v>364</v>
      </c>
      <c r="E179" s="492">
        <f>F179+I179</f>
        <v>117000</v>
      </c>
      <c r="F179" s="525">
        <v>117000</v>
      </c>
      <c r="G179" s="525">
        <v>90000</v>
      </c>
      <c r="H179" s="125"/>
      <c r="I179" s="125"/>
      <c r="J179" s="522">
        <f t="shared" si="142"/>
        <v>0</v>
      </c>
      <c r="K179" s="525"/>
      <c r="L179" s="525"/>
      <c r="M179" s="525"/>
      <c r="N179" s="525"/>
      <c r="O179" s="523">
        <f t="shared" si="150"/>
        <v>0</v>
      </c>
      <c r="P179" s="522">
        <f>E179+J179</f>
        <v>117000</v>
      </c>
      <c r="Q179" s="18"/>
      <c r="R179" s="48"/>
    </row>
    <row r="180" spans="1:18" ht="130.69999999999999" hidden="1" customHeight="1" thickTop="1" thickBot="1" x14ac:dyDescent="0.25">
      <c r="A180" s="131" t="s">
        <v>986</v>
      </c>
      <c r="B180" s="131" t="s">
        <v>987</v>
      </c>
      <c r="C180" s="131"/>
      <c r="D180" s="131" t="s">
        <v>985</v>
      </c>
      <c r="E180" s="132">
        <f>E181+E185+E187+E190+E193</f>
        <v>0</v>
      </c>
      <c r="F180" s="132">
        <f t="shared" ref="F180:O180" si="166">F181+F185+F187+F190+F193</f>
        <v>0</v>
      </c>
      <c r="G180" s="132">
        <f t="shared" si="166"/>
        <v>0</v>
      </c>
      <c r="H180" s="132">
        <f t="shared" si="166"/>
        <v>0</v>
      </c>
      <c r="I180" s="132">
        <f t="shared" si="166"/>
        <v>0</v>
      </c>
      <c r="J180" s="132">
        <f t="shared" si="166"/>
        <v>0</v>
      </c>
      <c r="K180" s="132">
        <f t="shared" si="166"/>
        <v>0</v>
      </c>
      <c r="L180" s="132">
        <f t="shared" si="166"/>
        <v>0</v>
      </c>
      <c r="M180" s="132">
        <f t="shared" si="166"/>
        <v>0</v>
      </c>
      <c r="N180" s="132">
        <f t="shared" si="166"/>
        <v>0</v>
      </c>
      <c r="O180" s="132">
        <f t="shared" si="166"/>
        <v>0</v>
      </c>
      <c r="P180" s="132">
        <f>P181+P185+P187+P190+P193</f>
        <v>0</v>
      </c>
      <c r="Q180" s="18"/>
      <c r="R180" s="48"/>
    </row>
    <row r="181" spans="1:18" ht="183.75" hidden="1" thickTop="1" x14ac:dyDescent="0.65">
      <c r="A181" s="733" t="s">
        <v>988</v>
      </c>
      <c r="B181" s="733" t="s">
        <v>989</v>
      </c>
      <c r="C181" s="733" t="s">
        <v>50</v>
      </c>
      <c r="D181" s="330" t="s">
        <v>1245</v>
      </c>
      <c r="E181" s="731">
        <f t="shared" ref="E181:E185" si="167">F181</f>
        <v>0</v>
      </c>
      <c r="F181" s="731"/>
      <c r="G181" s="731"/>
      <c r="H181" s="731"/>
      <c r="I181" s="731"/>
      <c r="J181" s="731">
        <f t="shared" ref="J181:J185" si="168">L181+O181</f>
        <v>0</v>
      </c>
      <c r="K181" s="735"/>
      <c r="L181" s="731"/>
      <c r="M181" s="731"/>
      <c r="N181" s="731"/>
      <c r="O181" s="735">
        <f t="shared" ref="O181:O185" si="169">K181</f>
        <v>0</v>
      </c>
      <c r="P181" s="731">
        <f t="shared" ref="P181:P185" si="170">E181+J181</f>
        <v>0</v>
      </c>
      <c r="Q181" s="780"/>
      <c r="R181" s="777"/>
    </row>
    <row r="182" spans="1:18" ht="183" hidden="1" x14ac:dyDescent="0.2">
      <c r="A182" s="739"/>
      <c r="B182" s="739"/>
      <c r="C182" s="739"/>
      <c r="D182" s="331" t="s">
        <v>1246</v>
      </c>
      <c r="E182" s="739"/>
      <c r="F182" s="739"/>
      <c r="G182" s="739"/>
      <c r="H182" s="739"/>
      <c r="I182" s="739"/>
      <c r="J182" s="739"/>
      <c r="K182" s="739"/>
      <c r="L182" s="739"/>
      <c r="M182" s="739"/>
      <c r="N182" s="739"/>
      <c r="O182" s="739"/>
      <c r="P182" s="739"/>
      <c r="Q182" s="780"/>
      <c r="R182" s="778"/>
    </row>
    <row r="183" spans="1:18" ht="183" hidden="1" x14ac:dyDescent="0.2">
      <c r="A183" s="739"/>
      <c r="B183" s="739"/>
      <c r="C183" s="739"/>
      <c r="D183" s="331" t="s">
        <v>1247</v>
      </c>
      <c r="E183" s="739"/>
      <c r="F183" s="739"/>
      <c r="G183" s="739"/>
      <c r="H183" s="739"/>
      <c r="I183" s="739"/>
      <c r="J183" s="739"/>
      <c r="K183" s="739"/>
      <c r="L183" s="739"/>
      <c r="M183" s="739"/>
      <c r="N183" s="739"/>
      <c r="O183" s="739"/>
      <c r="P183" s="739"/>
      <c r="Q183" s="780"/>
      <c r="R183" s="778"/>
    </row>
    <row r="184" spans="1:18" ht="92.25" hidden="1" thickBot="1" x14ac:dyDescent="0.25">
      <c r="A184" s="740"/>
      <c r="B184" s="740"/>
      <c r="C184" s="740"/>
      <c r="D184" s="332" t="s">
        <v>1248</v>
      </c>
      <c r="E184" s="740"/>
      <c r="F184" s="740"/>
      <c r="G184" s="740"/>
      <c r="H184" s="740"/>
      <c r="I184" s="740"/>
      <c r="J184" s="740"/>
      <c r="K184" s="740"/>
      <c r="L184" s="740"/>
      <c r="M184" s="740"/>
      <c r="N184" s="740"/>
      <c r="O184" s="740"/>
      <c r="P184" s="740"/>
      <c r="Q184" s="780"/>
      <c r="R184" s="778"/>
    </row>
    <row r="185" spans="1:18" ht="409.6" hidden="1" thickTop="1" x14ac:dyDescent="0.65">
      <c r="A185" s="733" t="s">
        <v>990</v>
      </c>
      <c r="B185" s="733" t="s">
        <v>991</v>
      </c>
      <c r="C185" s="733" t="s">
        <v>50</v>
      </c>
      <c r="D185" s="330" t="s">
        <v>1404</v>
      </c>
      <c r="E185" s="731">
        <f t="shared" si="167"/>
        <v>0</v>
      </c>
      <c r="F185" s="731"/>
      <c r="G185" s="731"/>
      <c r="H185" s="731"/>
      <c r="I185" s="731"/>
      <c r="J185" s="731">
        <f t="shared" si="168"/>
        <v>0</v>
      </c>
      <c r="K185" s="735"/>
      <c r="L185" s="731"/>
      <c r="M185" s="731"/>
      <c r="N185" s="731"/>
      <c r="O185" s="731">
        <f t="shared" si="169"/>
        <v>0</v>
      </c>
      <c r="P185" s="731">
        <f t="shared" si="170"/>
        <v>0</v>
      </c>
      <c r="Q185" s="18"/>
      <c r="R185" s="777"/>
    </row>
    <row r="186" spans="1:18" ht="183.75" hidden="1" thickBot="1" x14ac:dyDescent="0.25">
      <c r="A186" s="739"/>
      <c r="B186" s="739"/>
      <c r="C186" s="739"/>
      <c r="D186" s="331" t="s">
        <v>1405</v>
      </c>
      <c r="E186" s="739"/>
      <c r="F186" s="739"/>
      <c r="G186" s="739"/>
      <c r="H186" s="739"/>
      <c r="I186" s="739"/>
      <c r="J186" s="739"/>
      <c r="K186" s="739"/>
      <c r="L186" s="739"/>
      <c r="M186" s="739"/>
      <c r="N186" s="739"/>
      <c r="O186" s="739"/>
      <c r="P186" s="739"/>
      <c r="Q186" s="18"/>
      <c r="R186" s="779"/>
    </row>
    <row r="187" spans="1:18" ht="183.75" hidden="1" thickTop="1" x14ac:dyDescent="0.65">
      <c r="A187" s="733" t="s">
        <v>992</v>
      </c>
      <c r="B187" s="733" t="s">
        <v>993</v>
      </c>
      <c r="C187" s="733" t="s">
        <v>50</v>
      </c>
      <c r="D187" s="330" t="s">
        <v>1249</v>
      </c>
      <c r="E187" s="731">
        <f t="shared" ref="E187" si="171">F187</f>
        <v>0</v>
      </c>
      <c r="F187" s="731"/>
      <c r="G187" s="731"/>
      <c r="H187" s="731"/>
      <c r="I187" s="731"/>
      <c r="J187" s="731">
        <f t="shared" ref="J187" si="172">L187+O187</f>
        <v>0</v>
      </c>
      <c r="K187" s="735"/>
      <c r="L187" s="731"/>
      <c r="M187" s="731"/>
      <c r="N187" s="731"/>
      <c r="O187" s="735">
        <f t="shared" ref="O187" si="173">K187</f>
        <v>0</v>
      </c>
      <c r="P187" s="731">
        <f t="shared" ref="P187" si="174">E187+J187</f>
        <v>0</v>
      </c>
      <c r="Q187" s="18"/>
      <c r="R187" s="777"/>
    </row>
    <row r="188" spans="1:18" ht="183" hidden="1" x14ac:dyDescent="0.2">
      <c r="A188" s="739"/>
      <c r="B188" s="739"/>
      <c r="C188" s="739"/>
      <c r="D188" s="331" t="s">
        <v>1250</v>
      </c>
      <c r="E188" s="739"/>
      <c r="F188" s="739"/>
      <c r="G188" s="739"/>
      <c r="H188" s="739"/>
      <c r="I188" s="739"/>
      <c r="J188" s="739"/>
      <c r="K188" s="739"/>
      <c r="L188" s="739"/>
      <c r="M188" s="739"/>
      <c r="N188" s="739"/>
      <c r="O188" s="739"/>
      <c r="P188" s="739"/>
      <c r="Q188" s="18"/>
      <c r="R188" s="778"/>
    </row>
    <row r="189" spans="1:18" ht="92.25" hidden="1" thickBot="1" x14ac:dyDescent="0.25">
      <c r="A189" s="740"/>
      <c r="B189" s="740"/>
      <c r="C189" s="740"/>
      <c r="D189" s="332" t="s">
        <v>994</v>
      </c>
      <c r="E189" s="740"/>
      <c r="F189" s="740"/>
      <c r="G189" s="740"/>
      <c r="H189" s="740"/>
      <c r="I189" s="740"/>
      <c r="J189" s="740"/>
      <c r="K189" s="740"/>
      <c r="L189" s="740"/>
      <c r="M189" s="740"/>
      <c r="N189" s="740"/>
      <c r="O189" s="740"/>
      <c r="P189" s="740"/>
      <c r="Q189" s="18"/>
      <c r="R189" s="778"/>
    </row>
    <row r="190" spans="1:18" ht="183.75" hidden="1" thickTop="1" x14ac:dyDescent="0.65">
      <c r="A190" s="743" t="s">
        <v>998</v>
      </c>
      <c r="B190" s="743" t="s">
        <v>999</v>
      </c>
      <c r="C190" s="743" t="s">
        <v>50</v>
      </c>
      <c r="D190" s="283" t="s">
        <v>995</v>
      </c>
      <c r="E190" s="731">
        <f t="shared" ref="E190" si="175">F190</f>
        <v>0</v>
      </c>
      <c r="F190" s="731"/>
      <c r="G190" s="731"/>
      <c r="H190" s="731"/>
      <c r="I190" s="731"/>
      <c r="J190" s="731">
        <f t="shared" ref="J190" si="176">L190+O190</f>
        <v>0</v>
      </c>
      <c r="K190" s="771">
        <v>0</v>
      </c>
      <c r="L190" s="770"/>
      <c r="M190" s="770"/>
      <c r="N190" s="770"/>
      <c r="O190" s="771">
        <f t="shared" ref="O190" si="177">K190</f>
        <v>0</v>
      </c>
      <c r="P190" s="770">
        <f t="shared" ref="P190" si="178">E190+J190</f>
        <v>0</v>
      </c>
      <c r="Q190" s="18"/>
      <c r="R190" s="777"/>
    </row>
    <row r="191" spans="1:18" ht="183" hidden="1" x14ac:dyDescent="0.2">
      <c r="A191" s="744"/>
      <c r="B191" s="744"/>
      <c r="C191" s="744"/>
      <c r="D191" s="117" t="s">
        <v>996</v>
      </c>
      <c r="E191" s="739"/>
      <c r="F191" s="739"/>
      <c r="G191" s="739"/>
      <c r="H191" s="739"/>
      <c r="I191" s="739"/>
      <c r="J191" s="739"/>
      <c r="K191" s="744"/>
      <c r="L191" s="744"/>
      <c r="M191" s="744"/>
      <c r="N191" s="744"/>
      <c r="O191" s="744"/>
      <c r="P191" s="744"/>
      <c r="Q191" s="18"/>
      <c r="R191" s="778"/>
    </row>
    <row r="192" spans="1:18" ht="46.5" hidden="1" thickBot="1" x14ac:dyDescent="0.25">
      <c r="A192" s="745"/>
      <c r="B192" s="745"/>
      <c r="C192" s="745"/>
      <c r="D192" s="284" t="s">
        <v>997</v>
      </c>
      <c r="E192" s="740"/>
      <c r="F192" s="740"/>
      <c r="G192" s="740"/>
      <c r="H192" s="740"/>
      <c r="I192" s="740"/>
      <c r="J192" s="740"/>
      <c r="K192" s="745"/>
      <c r="L192" s="745"/>
      <c r="M192" s="745"/>
      <c r="N192" s="745"/>
      <c r="O192" s="745"/>
      <c r="P192" s="745"/>
      <c r="Q192" s="18"/>
      <c r="R192" s="778"/>
    </row>
    <row r="193" spans="1:18" ht="378" hidden="1" customHeight="1" thickTop="1" x14ac:dyDescent="0.2">
      <c r="A193" s="733" t="s">
        <v>1484</v>
      </c>
      <c r="B193" s="733" t="s">
        <v>1485</v>
      </c>
      <c r="C193" s="733" t="s">
        <v>50</v>
      </c>
      <c r="D193" s="733" t="s">
        <v>1486</v>
      </c>
      <c r="E193" s="731"/>
      <c r="F193" s="735"/>
      <c r="G193" s="735"/>
      <c r="H193" s="735"/>
      <c r="I193" s="735"/>
      <c r="J193" s="731">
        <f t="shared" ref="J193" si="179">L193+O193</f>
        <v>0</v>
      </c>
      <c r="K193" s="735"/>
      <c r="L193" s="735"/>
      <c r="M193" s="735"/>
      <c r="N193" s="735"/>
      <c r="O193" s="729">
        <f t="shared" ref="O193" si="180">K193</f>
        <v>0</v>
      </c>
      <c r="P193" s="731">
        <f t="shared" ref="P193" si="181">E193+J193</f>
        <v>0</v>
      </c>
      <c r="Q193" s="18"/>
      <c r="R193" s="19"/>
    </row>
    <row r="194" spans="1:18" ht="315.75" hidden="1" customHeight="1" thickBot="1" x14ac:dyDescent="0.25">
      <c r="A194" s="734"/>
      <c r="B194" s="734"/>
      <c r="C194" s="734"/>
      <c r="D194" s="734"/>
      <c r="E194" s="732"/>
      <c r="F194" s="736"/>
      <c r="G194" s="736"/>
      <c r="H194" s="736"/>
      <c r="I194" s="736"/>
      <c r="J194" s="732"/>
      <c r="K194" s="736"/>
      <c r="L194" s="736"/>
      <c r="M194" s="736"/>
      <c r="N194" s="736"/>
      <c r="O194" s="730"/>
      <c r="P194" s="732"/>
      <c r="Q194" s="18"/>
      <c r="R194" s="19"/>
    </row>
    <row r="195" spans="1:18" ht="171.75" customHeight="1" thickTop="1" thickBot="1" x14ac:dyDescent="0.25">
      <c r="A195" s="94" t="s">
        <v>1089</v>
      </c>
      <c r="B195" s="94" t="s">
        <v>1086</v>
      </c>
      <c r="C195" s="94" t="s">
        <v>203</v>
      </c>
      <c r="D195" s="528" t="s">
        <v>1464</v>
      </c>
      <c r="E195" s="492">
        <f>F195+I195</f>
        <v>5714410</v>
      </c>
      <c r="F195" s="525">
        <v>5714410</v>
      </c>
      <c r="G195" s="125"/>
      <c r="H195" s="125"/>
      <c r="I195" s="125"/>
      <c r="J195" s="522">
        <f t="shared" ref="J195" si="182">L195+O195</f>
        <v>0</v>
      </c>
      <c r="K195" s="525"/>
      <c r="L195" s="525"/>
      <c r="M195" s="525"/>
      <c r="N195" s="525"/>
      <c r="O195" s="523">
        <f t="shared" ref="O195" si="183">K195</f>
        <v>0</v>
      </c>
      <c r="P195" s="522">
        <f>E195+J195</f>
        <v>5714410</v>
      </c>
      <c r="Q195" s="18"/>
      <c r="R195" s="19"/>
    </row>
    <row r="196" spans="1:18" s="31" customFormat="1" ht="104.25" customHeight="1" thickTop="1" thickBot="1" x14ac:dyDescent="0.25">
      <c r="A196" s="539" t="s">
        <v>710</v>
      </c>
      <c r="B196" s="539" t="s">
        <v>711</v>
      </c>
      <c r="C196" s="539"/>
      <c r="D196" s="539" t="s">
        <v>1561</v>
      </c>
      <c r="E196" s="540">
        <f>SUM(E197:E199)</f>
        <v>240121092</v>
      </c>
      <c r="F196" s="540">
        <f t="shared" ref="F196:P196" si="184">SUM(F197:F199)</f>
        <v>201692092</v>
      </c>
      <c r="G196" s="540">
        <f t="shared" si="184"/>
        <v>19382910</v>
      </c>
      <c r="H196" s="540">
        <f t="shared" si="184"/>
        <v>2168994</v>
      </c>
      <c r="I196" s="540">
        <f t="shared" si="184"/>
        <v>38429000</v>
      </c>
      <c r="J196" s="540">
        <f t="shared" si="184"/>
        <v>12407468</v>
      </c>
      <c r="K196" s="540">
        <f t="shared" si="184"/>
        <v>799985</v>
      </c>
      <c r="L196" s="540">
        <f t="shared" si="184"/>
        <v>11592483</v>
      </c>
      <c r="M196" s="540">
        <f t="shared" si="184"/>
        <v>4370511</v>
      </c>
      <c r="N196" s="540">
        <f t="shared" si="184"/>
        <v>1214000</v>
      </c>
      <c r="O196" s="540">
        <f t="shared" si="184"/>
        <v>814985</v>
      </c>
      <c r="P196" s="540">
        <f t="shared" si="184"/>
        <v>252528560</v>
      </c>
      <c r="Q196" s="34"/>
      <c r="R196" s="49"/>
    </row>
    <row r="197" spans="1:18" ht="140.25" customHeight="1" thickTop="1" thickBot="1" x14ac:dyDescent="0.25">
      <c r="A197" s="94" t="s">
        <v>322</v>
      </c>
      <c r="B197" s="94" t="s">
        <v>324</v>
      </c>
      <c r="C197" s="94" t="s">
        <v>188</v>
      </c>
      <c r="D197" s="528" t="s">
        <v>1422</v>
      </c>
      <c r="E197" s="492">
        <f>F197+I197</f>
        <v>46135972</v>
      </c>
      <c r="F197" s="525">
        <v>45556972</v>
      </c>
      <c r="G197" s="541">
        <f>6607077+8240119+4535714</f>
        <v>19382910</v>
      </c>
      <c r="H197" s="541">
        <f>118200+465543+275270+20306+480000+201055+28800+1920+548900+29000</f>
        <v>2168994</v>
      </c>
      <c r="I197" s="525">
        <f>579000</f>
        <v>579000</v>
      </c>
      <c r="J197" s="522">
        <f t="shared" ref="J197:J209" si="185">L197+O197</f>
        <v>11607483</v>
      </c>
      <c r="K197" s="525"/>
      <c r="L197" s="525">
        <f>5107483-15000+6500000</f>
        <v>11592483</v>
      </c>
      <c r="M197" s="525">
        <f>2070511+2300000</f>
        <v>4370511</v>
      </c>
      <c r="N197" s="525">
        <f>387000+27000+300000+500000</f>
        <v>1214000</v>
      </c>
      <c r="O197" s="523">
        <f>K197+15000</f>
        <v>15000</v>
      </c>
      <c r="P197" s="522">
        <f t="shared" ref="P197:P209" si="186">E197+J197</f>
        <v>57743455</v>
      </c>
      <c r="Q197" s="18"/>
      <c r="R197" s="44"/>
    </row>
    <row r="198" spans="1:18" ht="123" customHeight="1" thickTop="1" thickBot="1" x14ac:dyDescent="0.25">
      <c r="A198" s="94" t="s">
        <v>323</v>
      </c>
      <c r="B198" s="94" t="s">
        <v>325</v>
      </c>
      <c r="C198" s="94" t="s">
        <v>188</v>
      </c>
      <c r="D198" s="528" t="s">
        <v>326</v>
      </c>
      <c r="E198" s="492">
        <f>F198+I198</f>
        <v>193985120</v>
      </c>
      <c r="F198" s="525">
        <v>156135120</v>
      </c>
      <c r="G198" s="125"/>
      <c r="H198" s="125"/>
      <c r="I198" s="525">
        <v>37850000</v>
      </c>
      <c r="J198" s="522">
        <f t="shared" si="185"/>
        <v>0</v>
      </c>
      <c r="K198" s="125"/>
      <c r="L198" s="125"/>
      <c r="M198" s="125"/>
      <c r="N198" s="125"/>
      <c r="O198" s="523">
        <f t="shared" ref="O198:O209" si="187">K198</f>
        <v>0</v>
      </c>
      <c r="P198" s="522">
        <f t="shared" si="186"/>
        <v>193985120</v>
      </c>
      <c r="Q198" s="18"/>
      <c r="R198" s="44"/>
    </row>
    <row r="199" spans="1:18" ht="176.25" customHeight="1" thickTop="1" thickBot="1" x14ac:dyDescent="0.25">
      <c r="A199" s="94" t="s">
        <v>1495</v>
      </c>
      <c r="B199" s="94" t="s">
        <v>1494</v>
      </c>
      <c r="C199" s="94" t="s">
        <v>182</v>
      </c>
      <c r="D199" s="528" t="s">
        <v>1493</v>
      </c>
      <c r="E199" s="118"/>
      <c r="F199" s="125"/>
      <c r="G199" s="125"/>
      <c r="H199" s="125"/>
      <c r="I199" s="125"/>
      <c r="J199" s="522">
        <f t="shared" si="185"/>
        <v>799985</v>
      </c>
      <c r="K199" s="525">
        <v>799985</v>
      </c>
      <c r="L199" s="125"/>
      <c r="M199" s="125"/>
      <c r="N199" s="125"/>
      <c r="O199" s="523">
        <f t="shared" si="187"/>
        <v>799985</v>
      </c>
      <c r="P199" s="522">
        <f t="shared" si="186"/>
        <v>799985</v>
      </c>
      <c r="Q199" s="18"/>
      <c r="R199" s="44"/>
    </row>
    <row r="200" spans="1:18" ht="189" customHeight="1" thickTop="1" thickBot="1" x14ac:dyDescent="0.25">
      <c r="A200" s="94" t="s">
        <v>1406</v>
      </c>
      <c r="B200" s="94" t="s">
        <v>1407</v>
      </c>
      <c r="C200" s="94" t="s">
        <v>188</v>
      </c>
      <c r="D200" s="94" t="s">
        <v>1543</v>
      </c>
      <c r="E200" s="492"/>
      <c r="F200" s="125"/>
      <c r="G200" s="125"/>
      <c r="H200" s="125"/>
      <c r="I200" s="125"/>
      <c r="J200" s="522">
        <f>L200+O200</f>
        <v>51000000</v>
      </c>
      <c r="K200" s="525">
        <f>45000000+6000000</f>
        <v>51000000</v>
      </c>
      <c r="L200" s="125"/>
      <c r="M200" s="125"/>
      <c r="N200" s="125"/>
      <c r="O200" s="523">
        <f>K200</f>
        <v>51000000</v>
      </c>
      <c r="P200" s="522">
        <f>E200+J200</f>
        <v>51000000</v>
      </c>
      <c r="Q200" s="18"/>
      <c r="R200" s="44"/>
    </row>
    <row r="201" spans="1:18" ht="47.25" hidden="1" thickTop="1" thickBot="1" x14ac:dyDescent="0.25">
      <c r="A201" s="116" t="s">
        <v>712</v>
      </c>
      <c r="B201" s="116" t="s">
        <v>713</v>
      </c>
      <c r="C201" s="116"/>
      <c r="D201" s="285" t="s">
        <v>714</v>
      </c>
      <c r="E201" s="118">
        <f>SUM(E202)</f>
        <v>0</v>
      </c>
      <c r="F201" s="118">
        <f t="shared" ref="F201:P201" si="188">SUM(F202)</f>
        <v>0</v>
      </c>
      <c r="G201" s="118">
        <f t="shared" si="188"/>
        <v>0</v>
      </c>
      <c r="H201" s="118">
        <f t="shared" si="188"/>
        <v>0</v>
      </c>
      <c r="I201" s="118">
        <f t="shared" si="188"/>
        <v>0</v>
      </c>
      <c r="J201" s="118">
        <f>SUM(J202)</f>
        <v>0</v>
      </c>
      <c r="K201" s="118">
        <f t="shared" si="188"/>
        <v>0</v>
      </c>
      <c r="L201" s="118">
        <f t="shared" si="188"/>
        <v>0</v>
      </c>
      <c r="M201" s="118">
        <f t="shared" si="188"/>
        <v>0</v>
      </c>
      <c r="N201" s="118">
        <f t="shared" si="188"/>
        <v>0</v>
      </c>
      <c r="O201" s="118">
        <f t="shared" si="188"/>
        <v>0</v>
      </c>
      <c r="P201" s="118">
        <f t="shared" si="188"/>
        <v>0</v>
      </c>
      <c r="Q201" s="18"/>
      <c r="R201" s="44"/>
    </row>
    <row r="202" spans="1:18" s="31" customFormat="1" ht="48" hidden="1" thickTop="1" thickBot="1" x14ac:dyDescent="0.25">
      <c r="A202" s="131" t="s">
        <v>715</v>
      </c>
      <c r="B202" s="131" t="s">
        <v>716</v>
      </c>
      <c r="C202" s="131"/>
      <c r="D202" s="144" t="s">
        <v>717</v>
      </c>
      <c r="E202" s="132">
        <f>SUM(E203:E204)</f>
        <v>0</v>
      </c>
      <c r="F202" s="132">
        <f>SUM(F203:F204)</f>
        <v>0</v>
      </c>
      <c r="G202" s="132">
        <f>SUM(G203:G204)</f>
        <v>0</v>
      </c>
      <c r="H202" s="132">
        <f>SUM(H203:H204)</f>
        <v>0</v>
      </c>
      <c r="I202" s="132">
        <f>SUM(I203:I204)</f>
        <v>0</v>
      </c>
      <c r="J202" s="132">
        <f t="shared" ref="J202:O202" si="189">SUM(J203:J204)</f>
        <v>0</v>
      </c>
      <c r="K202" s="132">
        <f t="shared" si="189"/>
        <v>0</v>
      </c>
      <c r="L202" s="132">
        <f t="shared" si="189"/>
        <v>0</v>
      </c>
      <c r="M202" s="132">
        <f t="shared" si="189"/>
        <v>0</v>
      </c>
      <c r="N202" s="132">
        <f t="shared" si="189"/>
        <v>0</v>
      </c>
      <c r="O202" s="132">
        <f t="shared" si="189"/>
        <v>0</v>
      </c>
      <c r="P202" s="132">
        <f>SUM(P203:P204)</f>
        <v>0</v>
      </c>
      <c r="Q202" s="34"/>
      <c r="R202" s="50"/>
    </row>
    <row r="203" spans="1:18" ht="93" hidden="1" thickTop="1" thickBot="1" x14ac:dyDescent="0.25">
      <c r="A203" s="119" t="s">
        <v>360</v>
      </c>
      <c r="B203" s="119" t="s">
        <v>358</v>
      </c>
      <c r="C203" s="119" t="s">
        <v>334</v>
      </c>
      <c r="D203" s="282" t="s">
        <v>359</v>
      </c>
      <c r="E203" s="118"/>
      <c r="F203" s="125"/>
      <c r="G203" s="125"/>
      <c r="H203" s="125"/>
      <c r="I203" s="125"/>
      <c r="J203" s="118">
        <f t="shared" si="185"/>
        <v>0</v>
      </c>
      <c r="K203" s="125"/>
      <c r="L203" s="125"/>
      <c r="M203" s="125"/>
      <c r="N203" s="125"/>
      <c r="O203" s="123">
        <f t="shared" si="187"/>
        <v>0</v>
      </c>
      <c r="P203" s="118">
        <f t="shared" si="186"/>
        <v>0</v>
      </c>
      <c r="Q203" s="18"/>
      <c r="R203" s="44"/>
    </row>
    <row r="204" spans="1:18" ht="184.5" hidden="1" customHeight="1" thickTop="1" thickBot="1" x14ac:dyDescent="0.25">
      <c r="A204" s="119" t="s">
        <v>1000</v>
      </c>
      <c r="B204" s="119" t="s">
        <v>1001</v>
      </c>
      <c r="C204" s="119" t="s">
        <v>334</v>
      </c>
      <c r="D204" s="282" t="s">
        <v>1002</v>
      </c>
      <c r="E204" s="118">
        <f t="shared" si="162"/>
        <v>0</v>
      </c>
      <c r="F204" s="125"/>
      <c r="G204" s="125"/>
      <c r="H204" s="125"/>
      <c r="I204" s="125"/>
      <c r="J204" s="118">
        <f t="shared" si="185"/>
        <v>0</v>
      </c>
      <c r="K204" s="125"/>
      <c r="L204" s="125"/>
      <c r="M204" s="125"/>
      <c r="N204" s="125"/>
      <c r="O204" s="123">
        <f t="shared" si="187"/>
        <v>0</v>
      </c>
      <c r="P204" s="118">
        <f t="shared" si="186"/>
        <v>0</v>
      </c>
      <c r="Q204" s="18"/>
      <c r="R204" s="44"/>
    </row>
    <row r="205" spans="1:18" ht="90.75" customHeight="1" thickTop="1" thickBot="1" x14ac:dyDescent="0.25">
      <c r="A205" s="242" t="s">
        <v>721</v>
      </c>
      <c r="B205" s="242" t="s">
        <v>719</v>
      </c>
      <c r="C205" s="242"/>
      <c r="D205" s="242" t="s">
        <v>720</v>
      </c>
      <c r="E205" s="522">
        <f>E206</f>
        <v>500000</v>
      </c>
      <c r="F205" s="522">
        <f t="shared" ref="F205:P205" si="190">F206</f>
        <v>0</v>
      </c>
      <c r="G205" s="522">
        <f t="shared" si="190"/>
        <v>0</v>
      </c>
      <c r="H205" s="522">
        <f t="shared" si="190"/>
        <v>0</v>
      </c>
      <c r="I205" s="522">
        <f t="shared" si="190"/>
        <v>500000</v>
      </c>
      <c r="J205" s="522">
        <f t="shared" si="190"/>
        <v>0</v>
      </c>
      <c r="K205" s="522">
        <f t="shared" si="190"/>
        <v>0</v>
      </c>
      <c r="L205" s="522">
        <f t="shared" si="190"/>
        <v>0</v>
      </c>
      <c r="M205" s="522">
        <f t="shared" si="190"/>
        <v>0</v>
      </c>
      <c r="N205" s="522">
        <f t="shared" si="190"/>
        <v>0</v>
      </c>
      <c r="O205" s="522">
        <f t="shared" si="190"/>
        <v>0</v>
      </c>
      <c r="P205" s="522">
        <f t="shared" si="190"/>
        <v>500000</v>
      </c>
      <c r="Q205" s="18"/>
      <c r="R205" s="44"/>
    </row>
    <row r="206" spans="1:18" ht="103.5" customHeight="1" thickTop="1" thickBot="1" x14ac:dyDescent="0.25">
      <c r="A206" s="529" t="s">
        <v>723</v>
      </c>
      <c r="B206" s="529" t="s">
        <v>665</v>
      </c>
      <c r="C206" s="529"/>
      <c r="D206" s="529" t="s">
        <v>663</v>
      </c>
      <c r="E206" s="545">
        <f>E208+E207</f>
        <v>500000</v>
      </c>
      <c r="F206" s="545">
        <f t="shared" ref="F206:I206" si="191">F208+F207</f>
        <v>0</v>
      </c>
      <c r="G206" s="545">
        <f t="shared" si="191"/>
        <v>0</v>
      </c>
      <c r="H206" s="545">
        <f t="shared" si="191"/>
        <v>0</v>
      </c>
      <c r="I206" s="545">
        <f t="shared" si="191"/>
        <v>500000</v>
      </c>
      <c r="J206" s="545">
        <f>J208+J207</f>
        <v>0</v>
      </c>
      <c r="K206" s="545">
        <f t="shared" ref="K206" si="192">K208+K207</f>
        <v>0</v>
      </c>
      <c r="L206" s="545">
        <f t="shared" ref="L206" si="193">L208+L207</f>
        <v>0</v>
      </c>
      <c r="M206" s="545">
        <f t="shared" ref="M206" si="194">M208+M207</f>
        <v>0</v>
      </c>
      <c r="N206" s="545">
        <f t="shared" ref="N206" si="195">N208+N207</f>
        <v>0</v>
      </c>
      <c r="O206" s="545">
        <f t="shared" ref="O206" si="196">O208+O207</f>
        <v>0</v>
      </c>
      <c r="P206" s="545">
        <f>P208+P207</f>
        <v>500000</v>
      </c>
      <c r="Q206" s="18"/>
      <c r="R206" s="44"/>
    </row>
    <row r="207" spans="1:18" ht="101.25" customHeight="1" thickTop="1" thickBot="1" x14ac:dyDescent="0.25">
      <c r="A207" s="94" t="s">
        <v>1166</v>
      </c>
      <c r="B207" s="94" t="s">
        <v>209</v>
      </c>
      <c r="C207" s="94" t="s">
        <v>210</v>
      </c>
      <c r="D207" s="94" t="s">
        <v>41</v>
      </c>
      <c r="E207" s="492">
        <f>F207+I207</f>
        <v>500000</v>
      </c>
      <c r="F207" s="525">
        <v>0</v>
      </c>
      <c r="G207" s="525"/>
      <c r="H207" s="525"/>
      <c r="I207" s="525">
        <v>500000</v>
      </c>
      <c r="J207" s="522">
        <f t="shared" ref="J207" si="197">L207+O207</f>
        <v>0</v>
      </c>
      <c r="K207" s="525"/>
      <c r="L207" s="525"/>
      <c r="M207" s="525"/>
      <c r="N207" s="525"/>
      <c r="O207" s="523">
        <f t="shared" ref="O207" si="198">K207</f>
        <v>0</v>
      </c>
      <c r="P207" s="522">
        <f t="shared" ref="P207" si="199">E207+J207</f>
        <v>500000</v>
      </c>
      <c r="Q207" s="18"/>
      <c r="R207" s="44"/>
    </row>
    <row r="208" spans="1:18" ht="48" hidden="1" thickTop="1" thickBot="1" x14ac:dyDescent="0.25">
      <c r="A208" s="131" t="s">
        <v>722</v>
      </c>
      <c r="B208" s="131" t="s">
        <v>668</v>
      </c>
      <c r="C208" s="131"/>
      <c r="D208" s="144" t="s">
        <v>666</v>
      </c>
      <c r="E208" s="132">
        <f>E209</f>
        <v>0</v>
      </c>
      <c r="F208" s="132">
        <f t="shared" ref="F208:P208" si="200">F209</f>
        <v>0</v>
      </c>
      <c r="G208" s="132">
        <f t="shared" si="200"/>
        <v>0</v>
      </c>
      <c r="H208" s="132">
        <f t="shared" si="200"/>
        <v>0</v>
      </c>
      <c r="I208" s="132">
        <f t="shared" si="200"/>
        <v>0</v>
      </c>
      <c r="J208" s="132">
        <f t="shared" si="200"/>
        <v>0</v>
      </c>
      <c r="K208" s="132">
        <f t="shared" si="200"/>
        <v>0</v>
      </c>
      <c r="L208" s="132">
        <f t="shared" si="200"/>
        <v>0</v>
      </c>
      <c r="M208" s="132">
        <f t="shared" si="200"/>
        <v>0</v>
      </c>
      <c r="N208" s="132">
        <f t="shared" si="200"/>
        <v>0</v>
      </c>
      <c r="O208" s="132">
        <f t="shared" si="200"/>
        <v>0</v>
      </c>
      <c r="P208" s="132">
        <f t="shared" si="200"/>
        <v>0</v>
      </c>
      <c r="Q208" s="18"/>
      <c r="R208" s="44"/>
    </row>
    <row r="209" spans="1:18" ht="184.5" hidden="1" thickTop="1" thickBot="1" x14ac:dyDescent="0.7">
      <c r="A209" s="741" t="s">
        <v>415</v>
      </c>
      <c r="B209" s="741" t="s">
        <v>332</v>
      </c>
      <c r="C209" s="741" t="s">
        <v>167</v>
      </c>
      <c r="D209" s="145" t="s">
        <v>432</v>
      </c>
      <c r="E209" s="737">
        <f t="shared" si="162"/>
        <v>0</v>
      </c>
      <c r="F209" s="727"/>
      <c r="G209" s="727"/>
      <c r="H209" s="727"/>
      <c r="I209" s="727"/>
      <c r="J209" s="737">
        <f t="shared" si="185"/>
        <v>0</v>
      </c>
      <c r="K209" s="727"/>
      <c r="L209" s="727"/>
      <c r="M209" s="727"/>
      <c r="N209" s="727"/>
      <c r="O209" s="748">
        <f t="shared" si="187"/>
        <v>0</v>
      </c>
      <c r="P209" s="749">
        <f t="shared" si="186"/>
        <v>0</v>
      </c>
      <c r="Q209" s="18"/>
      <c r="R209" s="48"/>
    </row>
    <row r="210" spans="1:18" ht="93" hidden="1" thickTop="1" thickBot="1" x14ac:dyDescent="0.25">
      <c r="A210" s="738"/>
      <c r="B210" s="742"/>
      <c r="C210" s="738"/>
      <c r="D210" s="146" t="s">
        <v>433</v>
      </c>
      <c r="E210" s="738"/>
      <c r="F210" s="728"/>
      <c r="G210" s="728"/>
      <c r="H210" s="728"/>
      <c r="I210" s="728"/>
      <c r="J210" s="738"/>
      <c r="K210" s="738"/>
      <c r="L210" s="728"/>
      <c r="M210" s="728"/>
      <c r="N210" s="728"/>
      <c r="O210" s="772"/>
      <c r="P210" s="773"/>
      <c r="Q210" s="18"/>
      <c r="R210" s="48"/>
    </row>
    <row r="211" spans="1:18" ht="168.75" customHeight="1" thickTop="1" thickBot="1" x14ac:dyDescent="0.25">
      <c r="A211" s="535">
        <v>1000000</v>
      </c>
      <c r="B211" s="535"/>
      <c r="C211" s="535"/>
      <c r="D211" s="536" t="s">
        <v>24</v>
      </c>
      <c r="E211" s="537">
        <f>E212</f>
        <v>209935141</v>
      </c>
      <c r="F211" s="538">
        <f t="shared" ref="F211:G211" si="201">F212</f>
        <v>209081391</v>
      </c>
      <c r="G211" s="538">
        <f t="shared" si="201"/>
        <v>153879882</v>
      </c>
      <c r="H211" s="538">
        <f>H212</f>
        <v>8720850</v>
      </c>
      <c r="I211" s="538">
        <f>I212</f>
        <v>853750</v>
      </c>
      <c r="J211" s="537">
        <f>J212</f>
        <v>16072750</v>
      </c>
      <c r="K211" s="538">
        <f>K212</f>
        <v>0</v>
      </c>
      <c r="L211" s="538">
        <f>L212</f>
        <v>15482520</v>
      </c>
      <c r="M211" s="538">
        <f t="shared" ref="M211" si="202">M212</f>
        <v>11552040</v>
      </c>
      <c r="N211" s="538">
        <f>N212</f>
        <v>489580</v>
      </c>
      <c r="O211" s="537">
        <f>O212</f>
        <v>590230</v>
      </c>
      <c r="P211" s="538">
        <f t="shared" ref="P211" si="203">P212</f>
        <v>226007891</v>
      </c>
      <c r="Q211" s="538">
        <f>O212-K212</f>
        <v>590230</v>
      </c>
    </row>
    <row r="212" spans="1:18" ht="168.75" customHeight="1" thickTop="1" thickBot="1" x14ac:dyDescent="0.25">
      <c r="A212" s="532">
        <v>1010000</v>
      </c>
      <c r="B212" s="532"/>
      <c r="C212" s="532"/>
      <c r="D212" s="533" t="s">
        <v>39</v>
      </c>
      <c r="E212" s="534">
        <f>E213+E215+E229+E223</f>
        <v>209935141</v>
      </c>
      <c r="F212" s="534">
        <f>F213+F215+F229+F223</f>
        <v>209081391</v>
      </c>
      <c r="G212" s="534">
        <f>G213+G215+G229+G223</f>
        <v>153879882</v>
      </c>
      <c r="H212" s="534">
        <f>H213+H215+H229+H223</f>
        <v>8720850</v>
      </c>
      <c r="I212" s="534">
        <f>I213+I215+I229+I223</f>
        <v>853750</v>
      </c>
      <c r="J212" s="534">
        <f t="shared" ref="J212:J222" si="204">L212+O212</f>
        <v>16072750</v>
      </c>
      <c r="K212" s="534">
        <f>K213+K215+K229+K223</f>
        <v>0</v>
      </c>
      <c r="L212" s="534">
        <f>L213+L215+L229+L223</f>
        <v>15482520</v>
      </c>
      <c r="M212" s="534">
        <f>M213+M215+M229+M223</f>
        <v>11552040</v>
      </c>
      <c r="N212" s="534">
        <f>N213+N215+N229+N223</f>
        <v>489580</v>
      </c>
      <c r="O212" s="534">
        <f>O213+O215+O229+O223</f>
        <v>590230</v>
      </c>
      <c r="P212" s="534">
        <f t="shared" ref="P212:P222" si="205">E212+J212</f>
        <v>226007891</v>
      </c>
      <c r="Q212" s="568" t="b">
        <f>P212=P214+P216+P217+P218+P221+P222+P226</f>
        <v>1</v>
      </c>
      <c r="R212" s="44"/>
    </row>
    <row r="213" spans="1:18" ht="95.25" customHeight="1" thickTop="1" thickBot="1" x14ac:dyDescent="0.25">
      <c r="A213" s="242" t="s">
        <v>724</v>
      </c>
      <c r="B213" s="242" t="s">
        <v>681</v>
      </c>
      <c r="C213" s="242"/>
      <c r="D213" s="242" t="s">
        <v>682</v>
      </c>
      <c r="E213" s="522">
        <f>E214</f>
        <v>115943429</v>
      </c>
      <c r="F213" s="522">
        <f t="shared" ref="F213:P213" si="206">F214</f>
        <v>115663429</v>
      </c>
      <c r="G213" s="522">
        <f t="shared" si="206"/>
        <v>89536222</v>
      </c>
      <c r="H213" s="522">
        <f t="shared" si="206"/>
        <v>4878355</v>
      </c>
      <c r="I213" s="522">
        <f t="shared" si="206"/>
        <v>280000</v>
      </c>
      <c r="J213" s="522">
        <f t="shared" si="206"/>
        <v>14660970</v>
      </c>
      <c r="K213" s="522">
        <f t="shared" si="206"/>
        <v>0</v>
      </c>
      <c r="L213" s="522">
        <f t="shared" si="206"/>
        <v>14389620</v>
      </c>
      <c r="M213" s="522">
        <f t="shared" si="206"/>
        <v>10989590</v>
      </c>
      <c r="N213" s="522">
        <f t="shared" si="206"/>
        <v>401180</v>
      </c>
      <c r="O213" s="522">
        <f t="shared" si="206"/>
        <v>271350</v>
      </c>
      <c r="P213" s="522">
        <f t="shared" si="206"/>
        <v>130604399</v>
      </c>
      <c r="Q213" s="45"/>
      <c r="R213" s="44"/>
    </row>
    <row r="214" spans="1:18" ht="96" customHeight="1" thickTop="1" thickBot="1" x14ac:dyDescent="0.25">
      <c r="A214" s="94" t="s">
        <v>614</v>
      </c>
      <c r="B214" s="94" t="s">
        <v>615</v>
      </c>
      <c r="C214" s="94" t="s">
        <v>178</v>
      </c>
      <c r="D214" s="94" t="s">
        <v>1630</v>
      </c>
      <c r="E214" s="492">
        <f>F214+I214</f>
        <v>115943429</v>
      </c>
      <c r="F214" s="525">
        <f>115943429-280000</f>
        <v>115663429</v>
      </c>
      <c r="G214" s="525">
        <v>89536222</v>
      </c>
      <c r="H214" s="525">
        <f>3941825+52910+696910+134100+52610</f>
        <v>4878355</v>
      </c>
      <c r="I214" s="525">
        <v>280000</v>
      </c>
      <c r="J214" s="522">
        <f t="shared" si="204"/>
        <v>14660970</v>
      </c>
      <c r="K214" s="125"/>
      <c r="L214" s="525">
        <v>14389620</v>
      </c>
      <c r="M214" s="525">
        <v>10989590</v>
      </c>
      <c r="N214" s="525">
        <v>401180</v>
      </c>
      <c r="O214" s="523">
        <f>(K214+271350)</f>
        <v>271350</v>
      </c>
      <c r="P214" s="522">
        <f t="shared" si="205"/>
        <v>130604399</v>
      </c>
      <c r="Q214" s="18"/>
      <c r="R214" s="44"/>
    </row>
    <row r="215" spans="1:18" s="22" customFormat="1" ht="105.75" customHeight="1" thickTop="1" thickBot="1" x14ac:dyDescent="0.25">
      <c r="A215" s="242" t="s">
        <v>725</v>
      </c>
      <c r="B215" s="242" t="s">
        <v>726</v>
      </c>
      <c r="C215" s="242"/>
      <c r="D215" s="242" t="s">
        <v>727</v>
      </c>
      <c r="E215" s="522">
        <f t="shared" ref="E215:P215" si="207">SUM(E216:E222)-E220</f>
        <v>92561677</v>
      </c>
      <c r="F215" s="522">
        <f t="shared" si="207"/>
        <v>91987927</v>
      </c>
      <c r="G215" s="522">
        <f t="shared" si="207"/>
        <v>64343660</v>
      </c>
      <c r="H215" s="522">
        <f t="shared" si="207"/>
        <v>3842495</v>
      </c>
      <c r="I215" s="522">
        <f t="shared" si="207"/>
        <v>573750</v>
      </c>
      <c r="J215" s="522">
        <f t="shared" si="207"/>
        <v>1411780</v>
      </c>
      <c r="K215" s="522">
        <f t="shared" si="207"/>
        <v>0</v>
      </c>
      <c r="L215" s="522">
        <f t="shared" si="207"/>
        <v>1092900</v>
      </c>
      <c r="M215" s="522">
        <f t="shared" si="207"/>
        <v>562450</v>
      </c>
      <c r="N215" s="522">
        <f t="shared" si="207"/>
        <v>88400</v>
      </c>
      <c r="O215" s="522">
        <f t="shared" si="207"/>
        <v>318880</v>
      </c>
      <c r="P215" s="522">
        <f t="shared" si="207"/>
        <v>93973457</v>
      </c>
      <c r="Q215" s="23"/>
      <c r="R215" s="48"/>
    </row>
    <row r="216" spans="1:18" ht="122.25" customHeight="1" thickTop="1" thickBot="1" x14ac:dyDescent="0.25">
      <c r="A216" s="94" t="s">
        <v>169</v>
      </c>
      <c r="B216" s="94" t="s">
        <v>170</v>
      </c>
      <c r="C216" s="94" t="s">
        <v>171</v>
      </c>
      <c r="D216" s="94" t="s">
        <v>172</v>
      </c>
      <c r="E216" s="492">
        <f>F216+I216</f>
        <v>22586769</v>
      </c>
      <c r="F216" s="525">
        <f>22586769-63750</f>
        <v>22523019</v>
      </c>
      <c r="G216" s="525">
        <v>16650500</v>
      </c>
      <c r="H216" s="525">
        <f>887200+16690+216000+30390+23720</f>
        <v>1174000</v>
      </c>
      <c r="I216" s="525">
        <v>63750</v>
      </c>
      <c r="J216" s="522">
        <f t="shared" si="204"/>
        <v>240000</v>
      </c>
      <c r="K216" s="125"/>
      <c r="L216" s="525">
        <v>179000</v>
      </c>
      <c r="M216" s="525">
        <v>44000</v>
      </c>
      <c r="N216" s="525">
        <v>23300</v>
      </c>
      <c r="O216" s="523">
        <f>K216+61000</f>
        <v>61000</v>
      </c>
      <c r="P216" s="522">
        <f t="shared" si="205"/>
        <v>22826769</v>
      </c>
      <c r="Q216" s="18"/>
      <c r="R216" s="44"/>
    </row>
    <row r="217" spans="1:18" ht="112.5" customHeight="1" thickTop="1" thickBot="1" x14ac:dyDescent="0.25">
      <c r="A217" s="94" t="s">
        <v>173</v>
      </c>
      <c r="B217" s="94" t="s">
        <v>174</v>
      </c>
      <c r="C217" s="94" t="s">
        <v>171</v>
      </c>
      <c r="D217" s="94" t="s">
        <v>452</v>
      </c>
      <c r="E217" s="492">
        <f>F217+I217</f>
        <v>3488180</v>
      </c>
      <c r="F217" s="525">
        <v>3488180</v>
      </c>
      <c r="G217" s="525">
        <v>2354450</v>
      </c>
      <c r="H217" s="525">
        <f>358110+7860+182575+3990</f>
        <v>552535</v>
      </c>
      <c r="I217" s="525"/>
      <c r="J217" s="522">
        <f t="shared" si="204"/>
        <v>165000</v>
      </c>
      <c r="K217" s="125"/>
      <c r="L217" s="525">
        <v>148000</v>
      </c>
      <c r="M217" s="525">
        <v>34000</v>
      </c>
      <c r="N217" s="525">
        <v>18000</v>
      </c>
      <c r="O217" s="523">
        <f>K217+17000</f>
        <v>17000</v>
      </c>
      <c r="P217" s="522">
        <f t="shared" si="205"/>
        <v>3653180</v>
      </c>
      <c r="Q217" s="18"/>
      <c r="R217" s="44"/>
    </row>
    <row r="218" spans="1:18" ht="118.5" customHeight="1" thickTop="1" thickBot="1" x14ac:dyDescent="0.25">
      <c r="A218" s="94" t="s">
        <v>175</v>
      </c>
      <c r="B218" s="94" t="s">
        <v>168</v>
      </c>
      <c r="C218" s="94" t="s">
        <v>176</v>
      </c>
      <c r="D218" s="94" t="s">
        <v>177</v>
      </c>
      <c r="E218" s="492">
        <f>F218+I218</f>
        <v>25723034</v>
      </c>
      <c r="F218" s="492">
        <f>25723034-190000</f>
        <v>25533034</v>
      </c>
      <c r="G218" s="525">
        <v>18409290</v>
      </c>
      <c r="H218" s="525">
        <f>954960+18230+896950+94870+60310</f>
        <v>2025320</v>
      </c>
      <c r="I218" s="525">
        <v>190000</v>
      </c>
      <c r="J218" s="522">
        <f t="shared" si="204"/>
        <v>764900</v>
      </c>
      <c r="K218" s="125"/>
      <c r="L218" s="525">
        <v>671000</v>
      </c>
      <c r="M218" s="525">
        <v>461350</v>
      </c>
      <c r="N218" s="525">
        <v>47100</v>
      </c>
      <c r="O218" s="523">
        <f>(K218+93900)</f>
        <v>93900</v>
      </c>
      <c r="P218" s="522">
        <f t="shared" si="205"/>
        <v>26487934</v>
      </c>
      <c r="Q218" s="18"/>
      <c r="R218" s="44"/>
    </row>
    <row r="219" spans="1:18" ht="48" hidden="1" thickTop="1" thickBot="1" x14ac:dyDescent="0.25">
      <c r="A219" s="119" t="s">
        <v>1080</v>
      </c>
      <c r="B219" s="119" t="s">
        <v>1081</v>
      </c>
      <c r="C219" s="119" t="s">
        <v>1083</v>
      </c>
      <c r="D219" s="119" t="s">
        <v>1082</v>
      </c>
      <c r="E219" s="118">
        <f t="shared" ref="E219" si="208">F219</f>
        <v>0</v>
      </c>
      <c r="F219" s="125"/>
      <c r="G219" s="125"/>
      <c r="H219" s="125"/>
      <c r="I219" s="125"/>
      <c r="J219" s="118">
        <f t="shared" ref="J219" si="209">L219+O219</f>
        <v>0</v>
      </c>
      <c r="K219" s="125"/>
      <c r="L219" s="125"/>
      <c r="M219" s="125"/>
      <c r="N219" s="125"/>
      <c r="O219" s="123">
        <f>(K219)</f>
        <v>0</v>
      </c>
      <c r="P219" s="118">
        <f t="shared" ref="P219" si="210">E219+J219</f>
        <v>0</v>
      </c>
      <c r="Q219" s="18"/>
      <c r="R219" s="44"/>
    </row>
    <row r="220" spans="1:18" ht="126" customHeight="1" thickTop="1" thickBot="1" x14ac:dyDescent="0.25">
      <c r="A220" s="539" t="s">
        <v>728</v>
      </c>
      <c r="B220" s="539" t="s">
        <v>729</v>
      </c>
      <c r="C220" s="539"/>
      <c r="D220" s="539" t="s">
        <v>730</v>
      </c>
      <c r="E220" s="540">
        <f>SUM(E221:E222)</f>
        <v>40763694</v>
      </c>
      <c r="F220" s="540">
        <f t="shared" ref="F220:P220" si="211">SUM(F221:F222)</f>
        <v>40443694</v>
      </c>
      <c r="G220" s="540">
        <f t="shared" si="211"/>
        <v>26929420</v>
      </c>
      <c r="H220" s="540">
        <f t="shared" si="211"/>
        <v>90640</v>
      </c>
      <c r="I220" s="540">
        <f t="shared" si="211"/>
        <v>320000</v>
      </c>
      <c r="J220" s="540">
        <f t="shared" si="211"/>
        <v>241880</v>
      </c>
      <c r="K220" s="540">
        <f t="shared" si="211"/>
        <v>0</v>
      </c>
      <c r="L220" s="540">
        <f t="shared" si="211"/>
        <v>94900</v>
      </c>
      <c r="M220" s="540">
        <f t="shared" si="211"/>
        <v>23100</v>
      </c>
      <c r="N220" s="540">
        <f t="shared" si="211"/>
        <v>0</v>
      </c>
      <c r="O220" s="540">
        <f t="shared" si="211"/>
        <v>146980</v>
      </c>
      <c r="P220" s="540">
        <f t="shared" si="211"/>
        <v>41005574</v>
      </c>
      <c r="Q220" s="18"/>
      <c r="R220" s="44"/>
    </row>
    <row r="221" spans="1:18" ht="119.25" customHeight="1" thickTop="1" thickBot="1" x14ac:dyDescent="0.25">
      <c r="A221" s="94" t="s">
        <v>327</v>
      </c>
      <c r="B221" s="94" t="s">
        <v>328</v>
      </c>
      <c r="C221" s="94" t="s">
        <v>179</v>
      </c>
      <c r="D221" s="94" t="s">
        <v>453</v>
      </c>
      <c r="E221" s="492">
        <f>F221+I221</f>
        <v>35207346</v>
      </c>
      <c r="F221" s="525">
        <v>35207346</v>
      </c>
      <c r="G221" s="525">
        <v>26929420</v>
      </c>
      <c r="H221" s="525">
        <f>80900+9500+240</f>
        <v>90640</v>
      </c>
      <c r="I221" s="125"/>
      <c r="J221" s="522">
        <f t="shared" si="204"/>
        <v>241880</v>
      </c>
      <c r="K221" s="125"/>
      <c r="L221" s="525">
        <v>94900</v>
      </c>
      <c r="M221" s="525">
        <v>23100</v>
      </c>
      <c r="N221" s="525"/>
      <c r="O221" s="523">
        <f>(K221+146980)</f>
        <v>146980</v>
      </c>
      <c r="P221" s="522">
        <f t="shared" si="205"/>
        <v>35449226</v>
      </c>
      <c r="Q221" s="18"/>
      <c r="R221" s="44"/>
    </row>
    <row r="222" spans="1:18" ht="121.5" customHeight="1" thickTop="1" thickBot="1" x14ac:dyDescent="0.25">
      <c r="A222" s="94" t="s">
        <v>329</v>
      </c>
      <c r="B222" s="94" t="s">
        <v>330</v>
      </c>
      <c r="C222" s="94" t="s">
        <v>179</v>
      </c>
      <c r="D222" s="94" t="s">
        <v>454</v>
      </c>
      <c r="E222" s="492">
        <f>F222+I222</f>
        <v>5556348</v>
      </c>
      <c r="F222" s="525">
        <f>5556348-320000</f>
        <v>5236348</v>
      </c>
      <c r="G222" s="125"/>
      <c r="H222" s="125"/>
      <c r="I222" s="525">
        <v>320000</v>
      </c>
      <c r="J222" s="522">
        <f t="shared" si="204"/>
        <v>0</v>
      </c>
      <c r="K222" s="525"/>
      <c r="L222" s="525"/>
      <c r="M222" s="525"/>
      <c r="N222" s="525"/>
      <c r="O222" s="523">
        <f t="shared" ref="O222" si="212">K222</f>
        <v>0</v>
      </c>
      <c r="P222" s="522">
        <f t="shared" si="205"/>
        <v>5556348</v>
      </c>
      <c r="Q222" s="18"/>
      <c r="R222" s="48"/>
    </row>
    <row r="223" spans="1:18" ht="101.25" customHeight="1" thickTop="1" thickBot="1" x14ac:dyDescent="0.25">
      <c r="A223" s="242" t="s">
        <v>877</v>
      </c>
      <c r="B223" s="242" t="s">
        <v>719</v>
      </c>
      <c r="C223" s="242"/>
      <c r="D223" s="242" t="s">
        <v>720</v>
      </c>
      <c r="E223" s="522">
        <f>SUM(E224)</f>
        <v>1430035</v>
      </c>
      <c r="F223" s="522">
        <f t="shared" ref="F223:P223" si="213">SUM(F224)</f>
        <v>1430035</v>
      </c>
      <c r="G223" s="522">
        <f t="shared" si="213"/>
        <v>0</v>
      </c>
      <c r="H223" s="522">
        <f t="shared" si="213"/>
        <v>0</v>
      </c>
      <c r="I223" s="522">
        <f t="shared" si="213"/>
        <v>0</v>
      </c>
      <c r="J223" s="522">
        <f t="shared" si="213"/>
        <v>0</v>
      </c>
      <c r="K223" s="522">
        <f t="shared" si="213"/>
        <v>0</v>
      </c>
      <c r="L223" s="522">
        <f t="shared" si="213"/>
        <v>0</v>
      </c>
      <c r="M223" s="522">
        <f t="shared" si="213"/>
        <v>0</v>
      </c>
      <c r="N223" s="522">
        <f t="shared" si="213"/>
        <v>0</v>
      </c>
      <c r="O223" s="522">
        <f t="shared" si="213"/>
        <v>0</v>
      </c>
      <c r="P223" s="522">
        <f t="shared" si="213"/>
        <v>1430035</v>
      </c>
      <c r="Q223" s="18"/>
      <c r="R223" s="48"/>
    </row>
    <row r="224" spans="1:18" ht="111.75" customHeight="1" thickTop="1" thickBot="1" x14ac:dyDescent="0.25">
      <c r="A224" s="529" t="s">
        <v>878</v>
      </c>
      <c r="B224" s="529" t="s">
        <v>665</v>
      </c>
      <c r="C224" s="529"/>
      <c r="D224" s="529" t="s">
        <v>663</v>
      </c>
      <c r="E224" s="545">
        <f>E225+E228+E227</f>
        <v>1430035</v>
      </c>
      <c r="F224" s="545">
        <f t="shared" ref="F224:P224" si="214">F225+F228+F227</f>
        <v>1430035</v>
      </c>
      <c r="G224" s="545">
        <f t="shared" si="214"/>
        <v>0</v>
      </c>
      <c r="H224" s="545">
        <f t="shared" si="214"/>
        <v>0</v>
      </c>
      <c r="I224" s="545">
        <f t="shared" si="214"/>
        <v>0</v>
      </c>
      <c r="J224" s="545">
        <f t="shared" si="214"/>
        <v>0</v>
      </c>
      <c r="K224" s="545">
        <f t="shared" si="214"/>
        <v>0</v>
      </c>
      <c r="L224" s="545">
        <f t="shared" si="214"/>
        <v>0</v>
      </c>
      <c r="M224" s="545">
        <f t="shared" si="214"/>
        <v>0</v>
      </c>
      <c r="N224" s="545">
        <f t="shared" si="214"/>
        <v>0</v>
      </c>
      <c r="O224" s="545">
        <f t="shared" si="214"/>
        <v>0</v>
      </c>
      <c r="P224" s="545">
        <f t="shared" si="214"/>
        <v>1430035</v>
      </c>
      <c r="Q224" s="18"/>
      <c r="R224" s="48"/>
    </row>
    <row r="225" spans="1:18" ht="105.75" customHeight="1" thickTop="1" thickBot="1" x14ac:dyDescent="0.25">
      <c r="A225" s="539" t="s">
        <v>962</v>
      </c>
      <c r="B225" s="539" t="s">
        <v>963</v>
      </c>
      <c r="C225" s="539"/>
      <c r="D225" s="539" t="s">
        <v>961</v>
      </c>
      <c r="E225" s="540">
        <f>E226</f>
        <v>1430035</v>
      </c>
      <c r="F225" s="540">
        <f t="shared" ref="F225:P225" si="215">F226</f>
        <v>1430035</v>
      </c>
      <c r="G225" s="540">
        <f t="shared" si="215"/>
        <v>0</v>
      </c>
      <c r="H225" s="540">
        <f t="shared" si="215"/>
        <v>0</v>
      </c>
      <c r="I225" s="540">
        <f t="shared" si="215"/>
        <v>0</v>
      </c>
      <c r="J225" s="540">
        <f t="shared" si="215"/>
        <v>0</v>
      </c>
      <c r="K225" s="540">
        <f t="shared" si="215"/>
        <v>0</v>
      </c>
      <c r="L225" s="540">
        <f t="shared" si="215"/>
        <v>0</v>
      </c>
      <c r="M225" s="540">
        <f t="shared" si="215"/>
        <v>0</v>
      </c>
      <c r="N225" s="540">
        <f t="shared" si="215"/>
        <v>0</v>
      </c>
      <c r="O225" s="540">
        <f t="shared" si="215"/>
        <v>0</v>
      </c>
      <c r="P225" s="540">
        <f t="shared" si="215"/>
        <v>1430035</v>
      </c>
      <c r="Q225" s="18"/>
      <c r="R225" s="48"/>
    </row>
    <row r="226" spans="1:18" ht="105.75" customHeight="1" thickTop="1" thickBot="1" x14ac:dyDescent="0.25">
      <c r="A226" s="94" t="s">
        <v>965</v>
      </c>
      <c r="B226" s="94" t="s">
        <v>966</v>
      </c>
      <c r="C226" s="94" t="s">
        <v>210</v>
      </c>
      <c r="D226" s="94" t="s">
        <v>964</v>
      </c>
      <c r="E226" s="542">
        <f>F226+I226</f>
        <v>1430035</v>
      </c>
      <c r="F226" s="525">
        <v>1430035</v>
      </c>
      <c r="G226" s="525"/>
      <c r="H226" s="525"/>
      <c r="I226" s="525"/>
      <c r="J226" s="522">
        <f>L226+O226</f>
        <v>0</v>
      </c>
      <c r="K226" s="525"/>
      <c r="L226" s="525"/>
      <c r="M226" s="525"/>
      <c r="N226" s="525"/>
      <c r="O226" s="523">
        <f>K226</f>
        <v>0</v>
      </c>
      <c r="P226" s="522">
        <f>E226+J226</f>
        <v>1430035</v>
      </c>
      <c r="Q226" s="18"/>
      <c r="R226" s="48"/>
    </row>
    <row r="227" spans="1:18" ht="48" hidden="1" thickTop="1" thickBot="1" x14ac:dyDescent="0.25">
      <c r="A227" s="119" t="s">
        <v>1137</v>
      </c>
      <c r="B227" s="119" t="s">
        <v>209</v>
      </c>
      <c r="C227" s="119" t="s">
        <v>210</v>
      </c>
      <c r="D227" s="119" t="s">
        <v>41</v>
      </c>
      <c r="E227" s="118">
        <f t="shared" ref="E227" si="216">F227</f>
        <v>0</v>
      </c>
      <c r="F227" s="125"/>
      <c r="G227" s="125"/>
      <c r="H227" s="125"/>
      <c r="I227" s="125"/>
      <c r="J227" s="118">
        <f>L227+O227</f>
        <v>0</v>
      </c>
      <c r="K227" s="125"/>
      <c r="L227" s="125"/>
      <c r="M227" s="125"/>
      <c r="N227" s="125"/>
      <c r="O227" s="123">
        <f>K227</f>
        <v>0</v>
      </c>
      <c r="P227" s="118">
        <f>E227+J227</f>
        <v>0</v>
      </c>
      <c r="Q227" s="18"/>
      <c r="R227" s="48"/>
    </row>
    <row r="228" spans="1:18" ht="48" hidden="1" thickTop="1" thickBot="1" x14ac:dyDescent="0.25">
      <c r="A228" s="119" t="s">
        <v>879</v>
      </c>
      <c r="B228" s="119" t="s">
        <v>194</v>
      </c>
      <c r="C228" s="119" t="s">
        <v>167</v>
      </c>
      <c r="D228" s="119" t="s">
        <v>34</v>
      </c>
      <c r="E228" s="118">
        <f t="shared" ref="E228" si="217">F228</f>
        <v>0</v>
      </c>
      <c r="F228" s="125"/>
      <c r="G228" s="125"/>
      <c r="H228" s="125"/>
      <c r="I228" s="125"/>
      <c r="J228" s="118">
        <f t="shared" ref="J228" si="218">L228+O228</f>
        <v>0</v>
      </c>
      <c r="K228" s="125"/>
      <c r="L228" s="125"/>
      <c r="M228" s="125"/>
      <c r="N228" s="125"/>
      <c r="O228" s="123">
        <f t="shared" ref="O228" si="219">K228</f>
        <v>0</v>
      </c>
      <c r="P228" s="118">
        <f t="shared" ref="P228" si="220">E228+J228</f>
        <v>0</v>
      </c>
      <c r="Q228" s="18"/>
      <c r="R228" s="44"/>
    </row>
    <row r="229" spans="1:18" ht="47.25" hidden="1" thickTop="1" thickBot="1" x14ac:dyDescent="0.25">
      <c r="A229" s="137" t="s">
        <v>731</v>
      </c>
      <c r="B229" s="137" t="s">
        <v>675</v>
      </c>
      <c r="C229" s="137"/>
      <c r="D229" s="137" t="s">
        <v>676</v>
      </c>
      <c r="E229" s="40">
        <f>E230</f>
        <v>0</v>
      </c>
      <c r="F229" s="40">
        <f t="shared" ref="F229:P230" si="221">F230</f>
        <v>0</v>
      </c>
      <c r="G229" s="40">
        <f t="shared" si="221"/>
        <v>0</v>
      </c>
      <c r="H229" s="40">
        <f t="shared" si="221"/>
        <v>0</v>
      </c>
      <c r="I229" s="40">
        <f t="shared" si="221"/>
        <v>0</v>
      </c>
      <c r="J229" s="40">
        <f t="shared" si="221"/>
        <v>0</v>
      </c>
      <c r="K229" s="40">
        <f t="shared" si="221"/>
        <v>0</v>
      </c>
      <c r="L229" s="40">
        <f t="shared" si="221"/>
        <v>0</v>
      </c>
      <c r="M229" s="40">
        <f t="shared" si="221"/>
        <v>0</v>
      </c>
      <c r="N229" s="40">
        <f t="shared" si="221"/>
        <v>0</v>
      </c>
      <c r="O229" s="40">
        <f t="shared" si="221"/>
        <v>0</v>
      </c>
      <c r="P229" s="40">
        <f t="shared" si="221"/>
        <v>0</v>
      </c>
      <c r="Q229" s="18"/>
      <c r="R229" s="48"/>
    </row>
    <row r="230" spans="1:18" ht="91.5" hidden="1" thickTop="1" thickBot="1" x14ac:dyDescent="0.25">
      <c r="A230" s="138" t="s">
        <v>732</v>
      </c>
      <c r="B230" s="138" t="s">
        <v>678</v>
      </c>
      <c r="C230" s="138"/>
      <c r="D230" s="138" t="s">
        <v>679</v>
      </c>
      <c r="E230" s="139">
        <f>E231</f>
        <v>0</v>
      </c>
      <c r="F230" s="139">
        <f t="shared" si="221"/>
        <v>0</v>
      </c>
      <c r="G230" s="139">
        <f t="shared" si="221"/>
        <v>0</v>
      </c>
      <c r="H230" s="139">
        <f t="shared" si="221"/>
        <v>0</v>
      </c>
      <c r="I230" s="139">
        <f t="shared" si="221"/>
        <v>0</v>
      </c>
      <c r="J230" s="139">
        <f t="shared" si="221"/>
        <v>0</v>
      </c>
      <c r="K230" s="139">
        <f t="shared" si="221"/>
        <v>0</v>
      </c>
      <c r="L230" s="139">
        <f t="shared" si="221"/>
        <v>0</v>
      </c>
      <c r="M230" s="139">
        <f t="shared" si="221"/>
        <v>0</v>
      </c>
      <c r="N230" s="139">
        <f t="shared" si="221"/>
        <v>0</v>
      </c>
      <c r="O230" s="139">
        <f t="shared" si="221"/>
        <v>0</v>
      </c>
      <c r="P230" s="139">
        <f t="shared" si="221"/>
        <v>0</v>
      </c>
      <c r="Q230" s="18"/>
      <c r="R230" s="48"/>
    </row>
    <row r="231" spans="1:18" ht="48" hidden="1" thickTop="1" thickBot="1" x14ac:dyDescent="0.25">
      <c r="A231" s="39" t="s">
        <v>566</v>
      </c>
      <c r="B231" s="39" t="s">
        <v>356</v>
      </c>
      <c r="C231" s="39" t="s">
        <v>43</v>
      </c>
      <c r="D231" s="39" t="s">
        <v>357</v>
      </c>
      <c r="E231" s="40">
        <f t="shared" ref="E231" si="222">F231</f>
        <v>0</v>
      </c>
      <c r="F231" s="41">
        <v>0</v>
      </c>
      <c r="G231" s="41"/>
      <c r="H231" s="41"/>
      <c r="I231" s="41"/>
      <c r="J231" s="40">
        <f>L231+O231</f>
        <v>0</v>
      </c>
      <c r="K231" s="41"/>
      <c r="L231" s="41"/>
      <c r="M231" s="41"/>
      <c r="N231" s="41"/>
      <c r="O231" s="42">
        <f>K231</f>
        <v>0</v>
      </c>
      <c r="P231" s="40">
        <f>E231+J231</f>
        <v>0</v>
      </c>
      <c r="Q231" s="18"/>
      <c r="R231" s="48"/>
    </row>
    <row r="232" spans="1:18" ht="159" customHeight="1" thickTop="1" thickBot="1" x14ac:dyDescent="0.25">
      <c r="A232" s="535" t="s">
        <v>22</v>
      </c>
      <c r="B232" s="535"/>
      <c r="C232" s="535"/>
      <c r="D232" s="536" t="s">
        <v>23</v>
      </c>
      <c r="E232" s="537">
        <f>E233</f>
        <v>159721997.68000001</v>
      </c>
      <c r="F232" s="538">
        <f t="shared" ref="F232:G232" si="223">F233</f>
        <v>159266997.68000001</v>
      </c>
      <c r="G232" s="538">
        <f t="shared" si="223"/>
        <v>62360046</v>
      </c>
      <c r="H232" s="538">
        <f>H233</f>
        <v>4605854</v>
      </c>
      <c r="I232" s="538">
        <f t="shared" ref="I232" si="224">I233</f>
        <v>455000</v>
      </c>
      <c r="J232" s="537">
        <f>J233</f>
        <v>2621245</v>
      </c>
      <c r="K232" s="538">
        <f>K233</f>
        <v>0</v>
      </c>
      <c r="L232" s="538">
        <f>L233</f>
        <v>2621245</v>
      </c>
      <c r="M232" s="538">
        <f t="shared" ref="M232" si="225">M233</f>
        <v>931047</v>
      </c>
      <c r="N232" s="538">
        <f>N233</f>
        <v>540251</v>
      </c>
      <c r="O232" s="537">
        <f>O233</f>
        <v>0</v>
      </c>
      <c r="P232" s="538">
        <f t="shared" ref="P232" si="226">P233</f>
        <v>162343242.68000001</v>
      </c>
      <c r="Q232" s="538">
        <f>O233-K233</f>
        <v>0</v>
      </c>
    </row>
    <row r="233" spans="1:18" ht="156" customHeight="1" thickTop="1" thickBot="1" x14ac:dyDescent="0.25">
      <c r="A233" s="532" t="s">
        <v>21</v>
      </c>
      <c r="B233" s="532"/>
      <c r="C233" s="532"/>
      <c r="D233" s="533" t="s">
        <v>35</v>
      </c>
      <c r="E233" s="534">
        <f>E234+E240+E256+E259+E266</f>
        <v>159721997.68000001</v>
      </c>
      <c r="F233" s="534">
        <f>F234+F240+F256+F259+F266</f>
        <v>159266997.68000001</v>
      </c>
      <c r="G233" s="534">
        <f>G234+G240+G256+G259+G266</f>
        <v>62360046</v>
      </c>
      <c r="H233" s="534">
        <f>H234+H240+H256+H259+H266</f>
        <v>4605854</v>
      </c>
      <c r="I233" s="534">
        <f>I234+I240+I256+I259+I266</f>
        <v>455000</v>
      </c>
      <c r="J233" s="534">
        <f>L233+O233</f>
        <v>2621245</v>
      </c>
      <c r="K233" s="534">
        <f>K234+K240+K256+K259+K266</f>
        <v>0</v>
      </c>
      <c r="L233" s="534">
        <f>L234+L240+L256+L259+L266</f>
        <v>2621245</v>
      </c>
      <c r="M233" s="534">
        <f>M234+M240+M256+M259+M266</f>
        <v>931047</v>
      </c>
      <c r="N233" s="534">
        <f>N234+N240+N256+N259+N266</f>
        <v>540251</v>
      </c>
      <c r="O233" s="534">
        <f>O234+O240+O256+O259+O266</f>
        <v>0</v>
      </c>
      <c r="P233" s="534">
        <f>E233+J233</f>
        <v>162343242.68000001</v>
      </c>
      <c r="Q233" s="568" t="b">
        <f>P233=P238+P239+P242+P243+P245+P247+P248+P252+P253+P254+P258</f>
        <v>1</v>
      </c>
      <c r="R233" s="44"/>
    </row>
    <row r="234" spans="1:18" ht="96" customHeight="1" thickTop="1" thickBot="1" x14ac:dyDescent="0.25">
      <c r="A234" s="242" t="s">
        <v>733</v>
      </c>
      <c r="B234" s="242" t="s">
        <v>684</v>
      </c>
      <c r="C234" s="242"/>
      <c r="D234" s="242" t="s">
        <v>685</v>
      </c>
      <c r="E234" s="531">
        <f>SUM(E235:E239)-E235-E237</f>
        <v>17234792</v>
      </c>
      <c r="F234" s="531">
        <f t="shared" ref="F234:P234" si="227">SUM(F235:F239)-F235-F237</f>
        <v>17204792</v>
      </c>
      <c r="G234" s="531">
        <f t="shared" si="227"/>
        <v>6745249</v>
      </c>
      <c r="H234" s="531">
        <f t="shared" si="227"/>
        <v>971223</v>
      </c>
      <c r="I234" s="531">
        <f t="shared" si="227"/>
        <v>30000</v>
      </c>
      <c r="J234" s="531">
        <f t="shared" si="227"/>
        <v>860000</v>
      </c>
      <c r="K234" s="531">
        <f t="shared" si="227"/>
        <v>0</v>
      </c>
      <c r="L234" s="531">
        <f t="shared" si="227"/>
        <v>860000</v>
      </c>
      <c r="M234" s="531">
        <f t="shared" si="227"/>
        <v>343610</v>
      </c>
      <c r="N234" s="531">
        <f t="shared" si="227"/>
        <v>213450</v>
      </c>
      <c r="O234" s="531">
        <f t="shared" si="227"/>
        <v>0</v>
      </c>
      <c r="P234" s="531">
        <f t="shared" si="227"/>
        <v>18094792</v>
      </c>
      <c r="Q234" s="45"/>
      <c r="R234" s="44"/>
    </row>
    <row r="235" spans="1:18" s="31" customFormat="1" ht="48" hidden="1" thickTop="1" thickBot="1" x14ac:dyDescent="0.25">
      <c r="A235" s="131" t="s">
        <v>734</v>
      </c>
      <c r="B235" s="131" t="s">
        <v>735</v>
      </c>
      <c r="C235" s="131"/>
      <c r="D235" s="131" t="s">
        <v>736</v>
      </c>
      <c r="E235" s="361">
        <f>E236</f>
        <v>0</v>
      </c>
      <c r="F235" s="361">
        <f t="shared" ref="F235:P235" si="228">F236</f>
        <v>0</v>
      </c>
      <c r="G235" s="361">
        <f t="shared" si="228"/>
        <v>0</v>
      </c>
      <c r="H235" s="361">
        <f t="shared" si="228"/>
        <v>0</v>
      </c>
      <c r="I235" s="361">
        <f t="shared" si="228"/>
        <v>0</v>
      </c>
      <c r="J235" s="361">
        <f t="shared" si="228"/>
        <v>0</v>
      </c>
      <c r="K235" s="361">
        <f t="shared" si="228"/>
        <v>0</v>
      </c>
      <c r="L235" s="361">
        <f t="shared" si="228"/>
        <v>0</v>
      </c>
      <c r="M235" s="361">
        <f t="shared" si="228"/>
        <v>0</v>
      </c>
      <c r="N235" s="361">
        <f t="shared" si="228"/>
        <v>0</v>
      </c>
      <c r="O235" s="361">
        <f t="shared" si="228"/>
        <v>0</v>
      </c>
      <c r="P235" s="361">
        <f t="shared" si="228"/>
        <v>0</v>
      </c>
      <c r="Q235" s="147"/>
      <c r="R235" s="50"/>
    </row>
    <row r="236" spans="1:18" ht="48" hidden="1" thickTop="1" thickBot="1" x14ac:dyDescent="0.25">
      <c r="A236" s="119" t="s">
        <v>180</v>
      </c>
      <c r="B236" s="119" t="s">
        <v>181</v>
      </c>
      <c r="C236" s="119" t="s">
        <v>182</v>
      </c>
      <c r="D236" s="119" t="s">
        <v>616</v>
      </c>
      <c r="E236" s="143">
        <f t="shared" ref="E236" si="229">F236</f>
        <v>0</v>
      </c>
      <c r="F236" s="120">
        <f>(6040461)-6040461</f>
        <v>0</v>
      </c>
      <c r="G236" s="120">
        <f>(4559615)-4559615</f>
        <v>0</v>
      </c>
      <c r="H236" s="120">
        <f>(96665+5295+31600+3840)-137400</f>
        <v>0</v>
      </c>
      <c r="I236" s="120"/>
      <c r="J236" s="118">
        <f t="shared" ref="J236:J265" si="230">L236+O236</f>
        <v>0</v>
      </c>
      <c r="K236" s="120"/>
      <c r="L236" s="121"/>
      <c r="M236" s="121"/>
      <c r="N236" s="121"/>
      <c r="O236" s="123">
        <f t="shared" ref="O236:O265" si="231">K236</f>
        <v>0</v>
      </c>
      <c r="P236" s="118">
        <f>+J236+E236</f>
        <v>0</v>
      </c>
      <c r="Q236" s="48"/>
      <c r="R236" s="48"/>
    </row>
    <row r="237" spans="1:18" s="31" customFormat="1" ht="114.75" customHeight="1" thickTop="1" thickBot="1" x14ac:dyDescent="0.25">
      <c r="A237" s="539" t="s">
        <v>737</v>
      </c>
      <c r="B237" s="539" t="s">
        <v>738</v>
      </c>
      <c r="C237" s="539"/>
      <c r="D237" s="539" t="s">
        <v>1316</v>
      </c>
      <c r="E237" s="565">
        <f>SUM(E238:E239)</f>
        <v>17234792</v>
      </c>
      <c r="F237" s="565">
        <f t="shared" ref="F237:P237" si="232">SUM(F238:F239)</f>
        <v>17204792</v>
      </c>
      <c r="G237" s="565">
        <f t="shared" si="232"/>
        <v>6745249</v>
      </c>
      <c r="H237" s="565">
        <f t="shared" si="232"/>
        <v>971223</v>
      </c>
      <c r="I237" s="565">
        <f t="shared" si="232"/>
        <v>30000</v>
      </c>
      <c r="J237" s="565">
        <f t="shared" si="232"/>
        <v>860000</v>
      </c>
      <c r="K237" s="565">
        <f t="shared" si="232"/>
        <v>0</v>
      </c>
      <c r="L237" s="565">
        <f>SUM(L238:L239)</f>
        <v>860000</v>
      </c>
      <c r="M237" s="565">
        <f t="shared" si="232"/>
        <v>343610</v>
      </c>
      <c r="N237" s="565">
        <f t="shared" si="232"/>
        <v>213450</v>
      </c>
      <c r="O237" s="565">
        <f t="shared" si="232"/>
        <v>0</v>
      </c>
      <c r="P237" s="565">
        <f t="shared" si="232"/>
        <v>18094792</v>
      </c>
      <c r="Q237" s="49"/>
      <c r="R237" s="49"/>
    </row>
    <row r="238" spans="1:18" ht="124.5" customHeight="1" thickTop="1" thickBot="1" x14ac:dyDescent="0.25">
      <c r="A238" s="94" t="s">
        <v>186</v>
      </c>
      <c r="B238" s="94" t="s">
        <v>187</v>
      </c>
      <c r="C238" s="94" t="s">
        <v>182</v>
      </c>
      <c r="D238" s="94" t="s">
        <v>1420</v>
      </c>
      <c r="E238" s="492">
        <f t="shared" ref="E238:E239" si="233">F238+I238</f>
        <v>6592881</v>
      </c>
      <c r="F238" s="541">
        <v>6592881</v>
      </c>
      <c r="G238" s="541">
        <v>4266876</v>
      </c>
      <c r="H238" s="541">
        <f>488730+9412+280000+2675</f>
        <v>780817</v>
      </c>
      <c r="I238" s="120"/>
      <c r="J238" s="522">
        <f t="shared" si="230"/>
        <v>860000</v>
      </c>
      <c r="K238" s="541"/>
      <c r="L238" s="543">
        <v>860000</v>
      </c>
      <c r="M238" s="543">
        <v>343610</v>
      </c>
      <c r="N238" s="543">
        <v>213450</v>
      </c>
      <c r="O238" s="523">
        <f>(K238+0)</f>
        <v>0</v>
      </c>
      <c r="P238" s="522">
        <f t="shared" ref="P238:P265" si="234">E238+J238</f>
        <v>7452881</v>
      </c>
      <c r="Q238" s="18"/>
      <c r="R238" s="44"/>
    </row>
    <row r="239" spans="1:18" ht="111.75" customHeight="1" thickTop="1" thickBot="1" x14ac:dyDescent="0.25">
      <c r="A239" s="94" t="s">
        <v>345</v>
      </c>
      <c r="B239" s="94" t="s">
        <v>346</v>
      </c>
      <c r="C239" s="94" t="s">
        <v>182</v>
      </c>
      <c r="D239" s="94" t="s">
        <v>1421</v>
      </c>
      <c r="E239" s="492">
        <f t="shared" si="233"/>
        <v>10641911</v>
      </c>
      <c r="F239" s="541">
        <f>10641911-30000</f>
        <v>10611911</v>
      </c>
      <c r="G239" s="541">
        <v>2478373</v>
      </c>
      <c r="H239" s="541">
        <f>100540+6560+79706+3600</f>
        <v>190406</v>
      </c>
      <c r="I239" s="541">
        <v>30000</v>
      </c>
      <c r="J239" s="522">
        <f t="shared" si="230"/>
        <v>0</v>
      </c>
      <c r="K239" s="120"/>
      <c r="L239" s="121"/>
      <c r="M239" s="121"/>
      <c r="N239" s="121"/>
      <c r="O239" s="523">
        <f>K239+0</f>
        <v>0</v>
      </c>
      <c r="P239" s="522">
        <f t="shared" si="234"/>
        <v>10641911</v>
      </c>
      <c r="Q239" s="18"/>
      <c r="R239" s="44"/>
    </row>
    <row r="240" spans="1:18" ht="78.75" customHeight="1" thickTop="1" thickBot="1" x14ac:dyDescent="0.25">
      <c r="A240" s="242" t="s">
        <v>739</v>
      </c>
      <c r="B240" s="242" t="s">
        <v>740</v>
      </c>
      <c r="C240" s="94"/>
      <c r="D240" s="242" t="s">
        <v>741</v>
      </c>
      <c r="E240" s="542">
        <f>SUM(E241:E255)-E241-E244-E246-E251-E249</f>
        <v>142427205.68000001</v>
      </c>
      <c r="F240" s="542">
        <f t="shared" ref="F240:G240" si="235">SUM(F241:F255)-F241-F244-F246-F251-F249</f>
        <v>142002205.68000001</v>
      </c>
      <c r="G240" s="542">
        <f t="shared" si="235"/>
        <v>55614797</v>
      </c>
      <c r="H240" s="542">
        <f>SUM(H241:H255)-H241-H244-H246-H251-H249</f>
        <v>3634631</v>
      </c>
      <c r="I240" s="542">
        <f t="shared" ref="I240:O240" si="236">SUM(I241:I255)-I241-I244-I246-I251-I249</f>
        <v>425000</v>
      </c>
      <c r="J240" s="542">
        <f t="shared" si="236"/>
        <v>1761245</v>
      </c>
      <c r="K240" s="542">
        <f t="shared" si="236"/>
        <v>0</v>
      </c>
      <c r="L240" s="542">
        <f t="shared" si="236"/>
        <v>1761245</v>
      </c>
      <c r="M240" s="542">
        <f t="shared" si="236"/>
        <v>587437</v>
      </c>
      <c r="N240" s="542">
        <f t="shared" si="236"/>
        <v>326801</v>
      </c>
      <c r="O240" s="542">
        <f t="shared" si="236"/>
        <v>0</v>
      </c>
      <c r="P240" s="542">
        <f t="shared" ref="P240" si="237">SUM(P241:P254)-P241-P244-P246-P251-P249</f>
        <v>144188450.68000001</v>
      </c>
      <c r="Q240" s="18"/>
      <c r="R240" s="44"/>
    </row>
    <row r="241" spans="1:18" s="31" customFormat="1" ht="86.25" customHeight="1" thickTop="1" thickBot="1" x14ac:dyDescent="0.25">
      <c r="A241" s="539" t="s">
        <v>742</v>
      </c>
      <c r="B241" s="539" t="s">
        <v>743</v>
      </c>
      <c r="C241" s="539"/>
      <c r="D241" s="539" t="s">
        <v>744</v>
      </c>
      <c r="E241" s="565">
        <f>SUM(E242:E243)</f>
        <v>49630289.619999997</v>
      </c>
      <c r="F241" s="565">
        <f t="shared" ref="F241:P241" si="238">SUM(F242:F243)</f>
        <v>49630289.619999997</v>
      </c>
      <c r="G241" s="565">
        <f t="shared" si="238"/>
        <v>0</v>
      </c>
      <c r="H241" s="565">
        <f t="shared" si="238"/>
        <v>0</v>
      </c>
      <c r="I241" s="565">
        <f t="shared" si="238"/>
        <v>0</v>
      </c>
      <c r="J241" s="565">
        <f t="shared" si="238"/>
        <v>0</v>
      </c>
      <c r="K241" s="565">
        <f t="shared" si="238"/>
        <v>0</v>
      </c>
      <c r="L241" s="565">
        <f t="shared" si="238"/>
        <v>0</v>
      </c>
      <c r="M241" s="565">
        <f t="shared" si="238"/>
        <v>0</v>
      </c>
      <c r="N241" s="565">
        <f t="shared" si="238"/>
        <v>0</v>
      </c>
      <c r="O241" s="565">
        <f t="shared" si="238"/>
        <v>0</v>
      </c>
      <c r="P241" s="565">
        <f t="shared" si="238"/>
        <v>49630289.619999997</v>
      </c>
      <c r="Q241" s="34"/>
      <c r="R241" s="50"/>
    </row>
    <row r="242" spans="1:18" ht="93" thickTop="1" thickBot="1" x14ac:dyDescent="0.25">
      <c r="A242" s="94" t="s">
        <v>44</v>
      </c>
      <c r="B242" s="94" t="s">
        <v>183</v>
      </c>
      <c r="C242" s="94" t="s">
        <v>192</v>
      </c>
      <c r="D242" s="94" t="s">
        <v>45</v>
      </c>
      <c r="E242" s="492">
        <f>F242+I242</f>
        <v>44327495</v>
      </c>
      <c r="F242" s="541">
        <v>44327495</v>
      </c>
      <c r="G242" s="125"/>
      <c r="H242" s="125"/>
      <c r="I242" s="125"/>
      <c r="J242" s="522">
        <f t="shared" si="230"/>
        <v>0</v>
      </c>
      <c r="K242" s="125"/>
      <c r="L242" s="125"/>
      <c r="M242" s="125"/>
      <c r="N242" s="125"/>
      <c r="O242" s="523">
        <f t="shared" si="231"/>
        <v>0</v>
      </c>
      <c r="P242" s="522">
        <f t="shared" si="234"/>
        <v>44327495</v>
      </c>
      <c r="Q242" s="18"/>
      <c r="R242" s="44"/>
    </row>
    <row r="243" spans="1:18" ht="111.75" customHeight="1" thickTop="1" thickBot="1" x14ac:dyDescent="0.25">
      <c r="A243" s="94" t="s">
        <v>46</v>
      </c>
      <c r="B243" s="94" t="s">
        <v>184</v>
      </c>
      <c r="C243" s="94" t="s">
        <v>192</v>
      </c>
      <c r="D243" s="94" t="s">
        <v>4</v>
      </c>
      <c r="E243" s="492">
        <f>F243+I243</f>
        <v>5302794.62</v>
      </c>
      <c r="F243" s="541">
        <v>5302794.62</v>
      </c>
      <c r="G243" s="125"/>
      <c r="H243" s="125"/>
      <c r="I243" s="125"/>
      <c r="J243" s="522">
        <f t="shared" si="230"/>
        <v>0</v>
      </c>
      <c r="K243" s="125"/>
      <c r="L243" s="125"/>
      <c r="M243" s="125"/>
      <c r="N243" s="125"/>
      <c r="O243" s="523">
        <f t="shared" si="231"/>
        <v>0</v>
      </c>
      <c r="P243" s="522">
        <f t="shared" si="234"/>
        <v>5302794.62</v>
      </c>
      <c r="Q243" s="18"/>
      <c r="R243" s="44"/>
    </row>
    <row r="244" spans="1:18" s="31" customFormat="1" ht="121.7" customHeight="1" thickTop="1" thickBot="1" x14ac:dyDescent="0.25">
      <c r="A244" s="539" t="s">
        <v>745</v>
      </c>
      <c r="B244" s="539" t="s">
        <v>746</v>
      </c>
      <c r="C244" s="539"/>
      <c r="D244" s="539" t="s">
        <v>747</v>
      </c>
      <c r="E244" s="565">
        <f>E245</f>
        <v>231464</v>
      </c>
      <c r="F244" s="565">
        <f t="shared" ref="F244:P244" si="239">F245</f>
        <v>231464</v>
      </c>
      <c r="G244" s="565">
        <f t="shared" si="239"/>
        <v>0</v>
      </c>
      <c r="H244" s="565">
        <f t="shared" si="239"/>
        <v>0</v>
      </c>
      <c r="I244" s="565">
        <f t="shared" si="239"/>
        <v>0</v>
      </c>
      <c r="J244" s="565">
        <f t="shared" si="239"/>
        <v>0</v>
      </c>
      <c r="K244" s="565">
        <f t="shared" si="239"/>
        <v>0</v>
      </c>
      <c r="L244" s="565">
        <f t="shared" si="239"/>
        <v>0</v>
      </c>
      <c r="M244" s="565">
        <f t="shared" si="239"/>
        <v>0</v>
      </c>
      <c r="N244" s="565">
        <f t="shared" si="239"/>
        <v>0</v>
      </c>
      <c r="O244" s="565">
        <f t="shared" si="239"/>
        <v>0</v>
      </c>
      <c r="P244" s="565">
        <f t="shared" si="239"/>
        <v>231464</v>
      </c>
      <c r="Q244" s="34"/>
      <c r="R244" s="51"/>
    </row>
    <row r="245" spans="1:18" ht="114.75" customHeight="1" thickTop="1" thickBot="1" x14ac:dyDescent="0.25">
      <c r="A245" s="94" t="s">
        <v>47</v>
      </c>
      <c r="B245" s="94" t="s">
        <v>185</v>
      </c>
      <c r="C245" s="94" t="s">
        <v>192</v>
      </c>
      <c r="D245" s="94" t="s">
        <v>343</v>
      </c>
      <c r="E245" s="542">
        <f>F245+I245</f>
        <v>231464</v>
      </c>
      <c r="F245" s="541">
        <v>231464</v>
      </c>
      <c r="G245" s="120"/>
      <c r="H245" s="120"/>
      <c r="I245" s="125"/>
      <c r="J245" s="522">
        <f t="shared" si="230"/>
        <v>0</v>
      </c>
      <c r="K245" s="125"/>
      <c r="L245" s="120"/>
      <c r="M245" s="120"/>
      <c r="N245" s="120"/>
      <c r="O245" s="523">
        <f t="shared" si="231"/>
        <v>0</v>
      </c>
      <c r="P245" s="522">
        <f t="shared" si="234"/>
        <v>231464</v>
      </c>
      <c r="Q245" s="18"/>
      <c r="R245" s="44"/>
    </row>
    <row r="246" spans="1:18" ht="118.5" customHeight="1" thickTop="1" thickBot="1" x14ac:dyDescent="0.25">
      <c r="A246" s="539" t="s">
        <v>748</v>
      </c>
      <c r="B246" s="539" t="s">
        <v>749</v>
      </c>
      <c r="C246" s="539"/>
      <c r="D246" s="539" t="s">
        <v>750</v>
      </c>
      <c r="E246" s="565">
        <f>SUM(E247:E248)</f>
        <v>80920723</v>
      </c>
      <c r="F246" s="565">
        <f t="shared" ref="F246:P246" si="240">SUM(F247:F248)</f>
        <v>80495723</v>
      </c>
      <c r="G246" s="565">
        <f t="shared" si="240"/>
        <v>53708827</v>
      </c>
      <c r="H246" s="565">
        <f t="shared" si="240"/>
        <v>3634631</v>
      </c>
      <c r="I246" s="565">
        <f t="shared" si="240"/>
        <v>425000</v>
      </c>
      <c r="J246" s="565">
        <f t="shared" si="240"/>
        <v>1617197</v>
      </c>
      <c r="K246" s="565">
        <f t="shared" si="240"/>
        <v>0</v>
      </c>
      <c r="L246" s="565">
        <f t="shared" si="240"/>
        <v>1617197</v>
      </c>
      <c r="M246" s="565">
        <f t="shared" si="240"/>
        <v>587437</v>
      </c>
      <c r="N246" s="565">
        <f t="shared" si="240"/>
        <v>326801</v>
      </c>
      <c r="O246" s="565">
        <f t="shared" si="240"/>
        <v>0</v>
      </c>
      <c r="P246" s="565">
        <f t="shared" si="240"/>
        <v>82537920</v>
      </c>
      <c r="Q246" s="18"/>
      <c r="R246" s="44"/>
    </row>
    <row r="247" spans="1:18" ht="133.5" customHeight="1" thickTop="1" thickBot="1" x14ac:dyDescent="0.25">
      <c r="A247" s="94" t="s">
        <v>28</v>
      </c>
      <c r="B247" s="94" t="s">
        <v>189</v>
      </c>
      <c r="C247" s="94" t="s">
        <v>192</v>
      </c>
      <c r="D247" s="94" t="s">
        <v>1423</v>
      </c>
      <c r="E247" s="492">
        <f>F247+I247</f>
        <v>76187118</v>
      </c>
      <c r="F247" s="541">
        <f>23504640+20053119+20864155-400000-25000+11765204</f>
        <v>75762118</v>
      </c>
      <c r="G247" s="541">
        <f>15400894+14733924+15004947+8569062</f>
        <v>53708827</v>
      </c>
      <c r="H247" s="541">
        <f>606847+127353+600000+70181+467430+52697+307549+58685+9000+20973+21793+414506+338231+8040+263162+18244+189600+59200+1140</f>
        <v>3634631</v>
      </c>
      <c r="I247" s="541">
        <f>400000+25000</f>
        <v>425000</v>
      </c>
      <c r="J247" s="522">
        <f t="shared" si="230"/>
        <v>1617197</v>
      </c>
      <c r="K247" s="120"/>
      <c r="L247" s="541">
        <v>1617197</v>
      </c>
      <c r="M247" s="541">
        <v>587437</v>
      </c>
      <c r="N247" s="541">
        <v>326801</v>
      </c>
      <c r="O247" s="523">
        <f>(K247+0)</f>
        <v>0</v>
      </c>
      <c r="P247" s="522">
        <f t="shared" si="234"/>
        <v>77804315</v>
      </c>
      <c r="Q247" s="18"/>
      <c r="R247" s="44"/>
    </row>
    <row r="248" spans="1:18" ht="138" customHeight="1" thickTop="1" thickBot="1" x14ac:dyDescent="0.25">
      <c r="A248" s="94" t="s">
        <v>29</v>
      </c>
      <c r="B248" s="94" t="s">
        <v>190</v>
      </c>
      <c r="C248" s="94" t="s">
        <v>192</v>
      </c>
      <c r="D248" s="94" t="s">
        <v>49</v>
      </c>
      <c r="E248" s="492">
        <f>F248+I248</f>
        <v>4733605</v>
      </c>
      <c r="F248" s="541">
        <v>4733605</v>
      </c>
      <c r="G248" s="120"/>
      <c r="H248" s="120"/>
      <c r="I248" s="120"/>
      <c r="J248" s="522">
        <f t="shared" si="230"/>
        <v>0</v>
      </c>
      <c r="K248" s="541">
        <v>0</v>
      </c>
      <c r="L248" s="120"/>
      <c r="M248" s="120"/>
      <c r="N248" s="120"/>
      <c r="O248" s="523">
        <f t="shared" si="231"/>
        <v>0</v>
      </c>
      <c r="P248" s="522">
        <f t="shared" si="234"/>
        <v>4733605</v>
      </c>
      <c r="Q248" s="18"/>
      <c r="R248" s="44"/>
    </row>
    <row r="249" spans="1:18" ht="72.75" hidden="1" customHeight="1" thickTop="1" thickBot="1" x14ac:dyDescent="0.25">
      <c r="A249" s="286" t="s">
        <v>1201</v>
      </c>
      <c r="B249" s="131" t="s">
        <v>784</v>
      </c>
      <c r="C249" s="131"/>
      <c r="D249" s="131" t="s">
        <v>785</v>
      </c>
      <c r="E249" s="148">
        <f>E250</f>
        <v>0</v>
      </c>
      <c r="F249" s="148">
        <f t="shared" ref="F249:P249" si="241">F250</f>
        <v>0</v>
      </c>
      <c r="G249" s="148">
        <f t="shared" si="241"/>
        <v>0</v>
      </c>
      <c r="H249" s="148">
        <f t="shared" si="241"/>
        <v>0</v>
      </c>
      <c r="I249" s="148">
        <f t="shared" si="241"/>
        <v>0</v>
      </c>
      <c r="J249" s="148">
        <f t="shared" si="241"/>
        <v>0</v>
      </c>
      <c r="K249" s="148">
        <f t="shared" si="241"/>
        <v>0</v>
      </c>
      <c r="L249" s="148">
        <f t="shared" si="241"/>
        <v>0</v>
      </c>
      <c r="M249" s="148">
        <f t="shared" si="241"/>
        <v>0</v>
      </c>
      <c r="N249" s="148">
        <f t="shared" si="241"/>
        <v>0</v>
      </c>
      <c r="O249" s="148">
        <f t="shared" si="241"/>
        <v>0</v>
      </c>
      <c r="P249" s="148">
        <f t="shared" si="241"/>
        <v>0</v>
      </c>
      <c r="Q249" s="18"/>
      <c r="R249" s="44"/>
    </row>
    <row r="250" spans="1:18" ht="130.69999999999999" hidden="1" customHeight="1" thickTop="1" thickBot="1" x14ac:dyDescent="0.25">
      <c r="A250" s="119" t="s">
        <v>1202</v>
      </c>
      <c r="B250" s="119" t="s">
        <v>1203</v>
      </c>
      <c r="C250" s="119" t="s">
        <v>192</v>
      </c>
      <c r="D250" s="119" t="s">
        <v>1204</v>
      </c>
      <c r="E250" s="143"/>
      <c r="F250" s="120"/>
      <c r="G250" s="120"/>
      <c r="H250" s="120"/>
      <c r="I250" s="120"/>
      <c r="J250" s="118">
        <f t="shared" ref="J250" si="242">L250+O250</f>
        <v>0</v>
      </c>
      <c r="K250" s="120">
        <v>0</v>
      </c>
      <c r="L250" s="120"/>
      <c r="M250" s="120"/>
      <c r="N250" s="120"/>
      <c r="O250" s="123">
        <f t="shared" ref="O250" si="243">K250</f>
        <v>0</v>
      </c>
      <c r="P250" s="118">
        <f t="shared" ref="P250" si="244">E250+J250</f>
        <v>0</v>
      </c>
      <c r="Q250" s="18"/>
      <c r="R250" s="44"/>
    </row>
    <row r="251" spans="1:18" ht="82.5" customHeight="1" thickTop="1" thickBot="1" x14ac:dyDescent="0.25">
      <c r="A251" s="633" t="s">
        <v>751</v>
      </c>
      <c r="B251" s="539" t="s">
        <v>752</v>
      </c>
      <c r="C251" s="539"/>
      <c r="D251" s="539" t="s">
        <v>753</v>
      </c>
      <c r="E251" s="565">
        <f>SUM(E252:E254)</f>
        <v>11644729.060000001</v>
      </c>
      <c r="F251" s="565">
        <f t="shared" ref="F251:P251" si="245">SUM(F252:F254)</f>
        <v>11644729.060000001</v>
      </c>
      <c r="G251" s="565">
        <f t="shared" si="245"/>
        <v>1905970</v>
      </c>
      <c r="H251" s="565">
        <f t="shared" si="245"/>
        <v>0</v>
      </c>
      <c r="I251" s="565">
        <f t="shared" si="245"/>
        <v>0</v>
      </c>
      <c r="J251" s="565">
        <f t="shared" si="245"/>
        <v>144048</v>
      </c>
      <c r="K251" s="565">
        <f t="shared" si="245"/>
        <v>0</v>
      </c>
      <c r="L251" s="565">
        <f t="shared" si="245"/>
        <v>144048</v>
      </c>
      <c r="M251" s="565">
        <f t="shared" si="245"/>
        <v>0</v>
      </c>
      <c r="N251" s="565">
        <f t="shared" si="245"/>
        <v>0</v>
      </c>
      <c r="O251" s="565">
        <f t="shared" si="245"/>
        <v>0</v>
      </c>
      <c r="P251" s="565">
        <f t="shared" si="245"/>
        <v>11788777.060000001</v>
      </c>
      <c r="Q251" s="18"/>
      <c r="R251" s="44"/>
    </row>
    <row r="252" spans="1:18" ht="138.75" thickTop="1" thickBot="1" x14ac:dyDescent="0.25">
      <c r="A252" s="632" t="s">
        <v>30</v>
      </c>
      <c r="B252" s="632" t="s">
        <v>191</v>
      </c>
      <c r="C252" s="632" t="s">
        <v>192</v>
      </c>
      <c r="D252" s="94" t="s">
        <v>31</v>
      </c>
      <c r="E252" s="492">
        <f>F252+I252</f>
        <v>1048981.06</v>
      </c>
      <c r="F252" s="541">
        <v>1048981.06</v>
      </c>
      <c r="G252" s="125"/>
      <c r="H252" s="125"/>
      <c r="I252" s="125"/>
      <c r="J252" s="522">
        <f t="shared" si="230"/>
        <v>0</v>
      </c>
      <c r="K252" s="525"/>
      <c r="L252" s="525"/>
      <c r="M252" s="525"/>
      <c r="N252" s="525"/>
      <c r="O252" s="523">
        <f t="shared" si="231"/>
        <v>0</v>
      </c>
      <c r="P252" s="522">
        <f t="shared" si="234"/>
        <v>1048981.06</v>
      </c>
      <c r="Q252" s="18"/>
      <c r="R252" s="44"/>
    </row>
    <row r="253" spans="1:18" ht="111.75" customHeight="1" thickTop="1" thickBot="1" x14ac:dyDescent="0.25">
      <c r="A253" s="632" t="s">
        <v>500</v>
      </c>
      <c r="B253" s="632" t="s">
        <v>498</v>
      </c>
      <c r="C253" s="632" t="s">
        <v>192</v>
      </c>
      <c r="D253" s="94" t="s">
        <v>499</v>
      </c>
      <c r="E253" s="492">
        <f>F253+I253</f>
        <v>7726000</v>
      </c>
      <c r="F253" s="541">
        <v>7726000</v>
      </c>
      <c r="G253" s="525"/>
      <c r="H253" s="525"/>
      <c r="I253" s="525"/>
      <c r="J253" s="522">
        <f t="shared" si="230"/>
        <v>0</v>
      </c>
      <c r="K253" s="525"/>
      <c r="L253" s="525"/>
      <c r="M253" s="525"/>
      <c r="N253" s="525"/>
      <c r="O253" s="523">
        <f t="shared" si="231"/>
        <v>0</v>
      </c>
      <c r="P253" s="522">
        <f t="shared" si="234"/>
        <v>7726000</v>
      </c>
      <c r="Q253" s="18"/>
      <c r="R253" s="44"/>
    </row>
    <row r="254" spans="1:18" ht="100.5" customHeight="1" thickTop="1" thickBot="1" x14ac:dyDescent="0.25">
      <c r="A254" s="632" t="s">
        <v>32</v>
      </c>
      <c r="B254" s="632" t="s">
        <v>193</v>
      </c>
      <c r="C254" s="632" t="s">
        <v>192</v>
      </c>
      <c r="D254" s="94" t="s">
        <v>33</v>
      </c>
      <c r="E254" s="492">
        <f>F254+I254</f>
        <v>2869748</v>
      </c>
      <c r="F254" s="541">
        <v>2869748</v>
      </c>
      <c r="G254" s="525">
        <v>1905970</v>
      </c>
      <c r="H254" s="525"/>
      <c r="I254" s="525"/>
      <c r="J254" s="522">
        <f t="shared" si="230"/>
        <v>144048</v>
      </c>
      <c r="K254" s="125"/>
      <c r="L254" s="525">
        <v>144048</v>
      </c>
      <c r="M254" s="125"/>
      <c r="N254" s="125"/>
      <c r="O254" s="523">
        <f>K254+0</f>
        <v>0</v>
      </c>
      <c r="P254" s="522">
        <f t="shared" si="234"/>
        <v>3013796</v>
      </c>
      <c r="Q254" s="18"/>
      <c r="R254" s="44"/>
    </row>
    <row r="255" spans="1:18" ht="54" hidden="1" thickTop="1" thickBot="1" x14ac:dyDescent="0.25">
      <c r="A255" s="287" t="s">
        <v>1489</v>
      </c>
      <c r="B255" s="287" t="s">
        <v>1490</v>
      </c>
      <c r="C255" s="287" t="s">
        <v>192</v>
      </c>
      <c r="D255" s="119" t="s">
        <v>1121</v>
      </c>
      <c r="E255" s="143"/>
      <c r="F255" s="120"/>
      <c r="G255" s="125"/>
      <c r="H255" s="125"/>
      <c r="I255" s="125"/>
      <c r="J255" s="118">
        <f t="shared" ref="J255" si="246">L255+O255</f>
        <v>0</v>
      </c>
      <c r="K255" s="125"/>
      <c r="L255" s="125"/>
      <c r="M255" s="125"/>
      <c r="N255" s="125"/>
      <c r="O255" s="123">
        <f>K255+0</f>
        <v>0</v>
      </c>
      <c r="P255" s="118">
        <f t="shared" ref="P255" si="247">E255+J255</f>
        <v>0</v>
      </c>
      <c r="Q255" s="18"/>
      <c r="R255" s="44"/>
    </row>
    <row r="256" spans="1:18" ht="105.75" customHeight="1" thickTop="1" thickBot="1" x14ac:dyDescent="0.25">
      <c r="A256" s="242" t="s">
        <v>754</v>
      </c>
      <c r="B256" s="242" t="s">
        <v>713</v>
      </c>
      <c r="C256" s="242"/>
      <c r="D256" s="564" t="s">
        <v>714</v>
      </c>
      <c r="E256" s="542">
        <f>E257</f>
        <v>60000</v>
      </c>
      <c r="F256" s="542">
        <f t="shared" ref="F256:P257" si="248">F257</f>
        <v>60000</v>
      </c>
      <c r="G256" s="542">
        <f t="shared" si="248"/>
        <v>0</v>
      </c>
      <c r="H256" s="542">
        <f t="shared" si="248"/>
        <v>0</v>
      </c>
      <c r="I256" s="542">
        <f t="shared" si="248"/>
        <v>0</v>
      </c>
      <c r="J256" s="542">
        <f t="shared" si="248"/>
        <v>0</v>
      </c>
      <c r="K256" s="542">
        <f t="shared" si="248"/>
        <v>0</v>
      </c>
      <c r="L256" s="542">
        <f t="shared" si="248"/>
        <v>0</v>
      </c>
      <c r="M256" s="542">
        <f t="shared" si="248"/>
        <v>0</v>
      </c>
      <c r="N256" s="542">
        <f t="shared" si="248"/>
        <v>0</v>
      </c>
      <c r="O256" s="542">
        <f t="shared" si="248"/>
        <v>0</v>
      </c>
      <c r="P256" s="542">
        <f t="shared" si="248"/>
        <v>60000</v>
      </c>
      <c r="Q256" s="18"/>
      <c r="R256" s="44"/>
    </row>
    <row r="257" spans="1:18" ht="129.75" customHeight="1" thickTop="1" thickBot="1" x14ac:dyDescent="0.25">
      <c r="A257" s="633" t="s">
        <v>755</v>
      </c>
      <c r="B257" s="633" t="s">
        <v>716</v>
      </c>
      <c r="C257" s="633"/>
      <c r="D257" s="539" t="s">
        <v>717</v>
      </c>
      <c r="E257" s="565">
        <f>E258</f>
        <v>60000</v>
      </c>
      <c r="F257" s="565">
        <f t="shared" si="248"/>
        <v>60000</v>
      </c>
      <c r="G257" s="565">
        <f t="shared" si="248"/>
        <v>0</v>
      </c>
      <c r="H257" s="565">
        <f t="shared" si="248"/>
        <v>0</v>
      </c>
      <c r="I257" s="565">
        <f t="shared" si="248"/>
        <v>0</v>
      </c>
      <c r="J257" s="565">
        <f t="shared" si="248"/>
        <v>0</v>
      </c>
      <c r="K257" s="565">
        <f t="shared" si="248"/>
        <v>0</v>
      </c>
      <c r="L257" s="565">
        <f t="shared" si="248"/>
        <v>0</v>
      </c>
      <c r="M257" s="565">
        <f t="shared" si="248"/>
        <v>0</v>
      </c>
      <c r="N257" s="565">
        <f t="shared" si="248"/>
        <v>0</v>
      </c>
      <c r="O257" s="565">
        <f t="shared" si="248"/>
        <v>0</v>
      </c>
      <c r="P257" s="565">
        <f t="shared" si="248"/>
        <v>60000</v>
      </c>
      <c r="Q257" s="18"/>
      <c r="R257" s="44"/>
    </row>
    <row r="258" spans="1:18" ht="138.75" thickTop="1" thickBot="1" x14ac:dyDescent="0.25">
      <c r="A258" s="632" t="s">
        <v>336</v>
      </c>
      <c r="B258" s="632" t="s">
        <v>335</v>
      </c>
      <c r="C258" s="632" t="s">
        <v>334</v>
      </c>
      <c r="D258" s="94" t="s">
        <v>1633</v>
      </c>
      <c r="E258" s="492">
        <f>F258+I258</f>
        <v>60000</v>
      </c>
      <c r="F258" s="541">
        <v>60000</v>
      </c>
      <c r="G258" s="125"/>
      <c r="H258" s="125"/>
      <c r="I258" s="125"/>
      <c r="J258" s="522">
        <f t="shared" si="230"/>
        <v>0</v>
      </c>
      <c r="K258" s="125"/>
      <c r="L258" s="125"/>
      <c r="M258" s="125"/>
      <c r="N258" s="125"/>
      <c r="O258" s="523">
        <f t="shared" si="231"/>
        <v>0</v>
      </c>
      <c r="P258" s="522">
        <f t="shared" si="234"/>
        <v>60000</v>
      </c>
      <c r="Q258" s="18"/>
      <c r="R258" s="48"/>
    </row>
    <row r="259" spans="1:18" ht="47.25" hidden="1" thickTop="1" thickBot="1" x14ac:dyDescent="0.25">
      <c r="A259" s="116" t="s">
        <v>756</v>
      </c>
      <c r="B259" s="116" t="s">
        <v>719</v>
      </c>
      <c r="C259" s="116"/>
      <c r="D259" s="116" t="s">
        <v>720</v>
      </c>
      <c r="E259" s="143">
        <f>E263+E260</f>
        <v>0</v>
      </c>
      <c r="F259" s="143">
        <f t="shared" ref="F259:P259" si="249">F263+F260</f>
        <v>0</v>
      </c>
      <c r="G259" s="143">
        <f t="shared" si="249"/>
        <v>0</v>
      </c>
      <c r="H259" s="143">
        <f t="shared" si="249"/>
        <v>0</v>
      </c>
      <c r="I259" s="143">
        <f t="shared" si="249"/>
        <v>0</v>
      </c>
      <c r="J259" s="143">
        <f t="shared" si="249"/>
        <v>0</v>
      </c>
      <c r="K259" s="143">
        <f t="shared" si="249"/>
        <v>0</v>
      </c>
      <c r="L259" s="143">
        <f t="shared" si="249"/>
        <v>0</v>
      </c>
      <c r="M259" s="143">
        <f t="shared" si="249"/>
        <v>0</v>
      </c>
      <c r="N259" s="143">
        <f t="shared" si="249"/>
        <v>0</v>
      </c>
      <c r="O259" s="143">
        <f t="shared" si="249"/>
        <v>0</v>
      </c>
      <c r="P259" s="143">
        <f t="shared" si="249"/>
        <v>0</v>
      </c>
      <c r="Q259" s="18"/>
      <c r="R259" s="48"/>
    </row>
    <row r="260" spans="1:18" ht="47.25" hidden="1" thickTop="1" thickBot="1" x14ac:dyDescent="0.25">
      <c r="A260" s="127" t="s">
        <v>1020</v>
      </c>
      <c r="B260" s="127" t="s">
        <v>771</v>
      </c>
      <c r="C260" s="127"/>
      <c r="D260" s="127" t="s">
        <v>772</v>
      </c>
      <c r="E260" s="128">
        <f>E261</f>
        <v>0</v>
      </c>
      <c r="F260" s="128">
        <f t="shared" ref="F260:P261" si="250">F261</f>
        <v>0</v>
      </c>
      <c r="G260" s="128">
        <f t="shared" si="250"/>
        <v>0</v>
      </c>
      <c r="H260" s="128">
        <f t="shared" si="250"/>
        <v>0</v>
      </c>
      <c r="I260" s="128">
        <f t="shared" si="250"/>
        <v>0</v>
      </c>
      <c r="J260" s="128">
        <f t="shared" si="250"/>
        <v>0</v>
      </c>
      <c r="K260" s="128">
        <f t="shared" si="250"/>
        <v>0</v>
      </c>
      <c r="L260" s="128">
        <f t="shared" si="250"/>
        <v>0</v>
      </c>
      <c r="M260" s="128">
        <f t="shared" si="250"/>
        <v>0</v>
      </c>
      <c r="N260" s="128">
        <f t="shared" si="250"/>
        <v>0</v>
      </c>
      <c r="O260" s="128">
        <f t="shared" si="250"/>
        <v>0</v>
      </c>
      <c r="P260" s="128">
        <f t="shared" si="250"/>
        <v>0</v>
      </c>
      <c r="Q260" s="18"/>
      <c r="R260" s="48"/>
    </row>
    <row r="261" spans="1:18" ht="54" hidden="1" thickTop="1" thickBot="1" x14ac:dyDescent="0.25">
      <c r="A261" s="131" t="s">
        <v>1021</v>
      </c>
      <c r="B261" s="131" t="s">
        <v>788</v>
      </c>
      <c r="C261" s="131"/>
      <c r="D261" s="131" t="s">
        <v>1289</v>
      </c>
      <c r="E261" s="132">
        <f>E262</f>
        <v>0</v>
      </c>
      <c r="F261" s="132">
        <f t="shared" si="250"/>
        <v>0</v>
      </c>
      <c r="G261" s="132">
        <f t="shared" si="250"/>
        <v>0</v>
      </c>
      <c r="H261" s="132">
        <f t="shared" si="250"/>
        <v>0</v>
      </c>
      <c r="I261" s="132">
        <f t="shared" si="250"/>
        <v>0</v>
      </c>
      <c r="J261" s="132">
        <f t="shared" si="250"/>
        <v>0</v>
      </c>
      <c r="K261" s="132">
        <f t="shared" si="250"/>
        <v>0</v>
      </c>
      <c r="L261" s="132">
        <f t="shared" si="250"/>
        <v>0</v>
      </c>
      <c r="M261" s="132">
        <f t="shared" si="250"/>
        <v>0</v>
      </c>
      <c r="N261" s="132">
        <f t="shared" si="250"/>
        <v>0</v>
      </c>
      <c r="O261" s="132">
        <f t="shared" si="250"/>
        <v>0</v>
      </c>
      <c r="P261" s="132">
        <f t="shared" si="250"/>
        <v>0</v>
      </c>
      <c r="Q261" s="18"/>
      <c r="R261" s="48"/>
    </row>
    <row r="262" spans="1:18" ht="54" hidden="1" thickTop="1" thickBot="1" x14ac:dyDescent="0.25">
      <c r="A262" s="119" t="s">
        <v>1022</v>
      </c>
      <c r="B262" s="119" t="s">
        <v>308</v>
      </c>
      <c r="C262" s="119" t="s">
        <v>300</v>
      </c>
      <c r="D262" s="119" t="s">
        <v>1121</v>
      </c>
      <c r="E262" s="118">
        <f t="shared" ref="E262" si="251">F262</f>
        <v>0</v>
      </c>
      <c r="F262" s="125"/>
      <c r="G262" s="125"/>
      <c r="H262" s="125"/>
      <c r="I262" s="125"/>
      <c r="J262" s="118">
        <f t="shared" ref="J262" si="252">L262+O262</f>
        <v>0</v>
      </c>
      <c r="K262" s="125">
        <f>49500-49500</f>
        <v>0</v>
      </c>
      <c r="L262" s="125"/>
      <c r="M262" s="125"/>
      <c r="N262" s="125"/>
      <c r="O262" s="123">
        <f t="shared" ref="O262" si="253">K262</f>
        <v>0</v>
      </c>
      <c r="P262" s="118">
        <f>E262+J262</f>
        <v>0</v>
      </c>
      <c r="Q262" s="18"/>
      <c r="R262" s="48"/>
    </row>
    <row r="263" spans="1:18" ht="47.25" hidden="1" thickTop="1" thickBot="1" x14ac:dyDescent="0.25">
      <c r="A263" s="127" t="s">
        <v>757</v>
      </c>
      <c r="B263" s="127" t="s">
        <v>665</v>
      </c>
      <c r="C263" s="127"/>
      <c r="D263" s="127" t="s">
        <v>663</v>
      </c>
      <c r="E263" s="149">
        <f>E265+E264</f>
        <v>0</v>
      </c>
      <c r="F263" s="149">
        <f t="shared" ref="F263:H263" si="254">F265+F264</f>
        <v>0</v>
      </c>
      <c r="G263" s="149">
        <f t="shared" si="254"/>
        <v>0</v>
      </c>
      <c r="H263" s="149">
        <f t="shared" si="254"/>
        <v>0</v>
      </c>
      <c r="I263" s="149">
        <f>I265+I264</f>
        <v>0</v>
      </c>
      <c r="J263" s="149">
        <f>J265+J264</f>
        <v>0</v>
      </c>
      <c r="K263" s="149">
        <f>K265+K264</f>
        <v>0</v>
      </c>
      <c r="L263" s="149">
        <f t="shared" ref="L263:O263" si="255">L265+L264</f>
        <v>0</v>
      </c>
      <c r="M263" s="149">
        <f t="shared" si="255"/>
        <v>0</v>
      </c>
      <c r="N263" s="149">
        <f t="shared" si="255"/>
        <v>0</v>
      </c>
      <c r="O263" s="149">
        <f t="shared" si="255"/>
        <v>0</v>
      </c>
      <c r="P263" s="149">
        <f>P265+P264</f>
        <v>0</v>
      </c>
      <c r="Q263" s="18"/>
      <c r="R263" s="48"/>
    </row>
    <row r="264" spans="1:18" ht="48" hidden="1" thickTop="1" thickBot="1" x14ac:dyDescent="0.25">
      <c r="A264" s="287" t="s">
        <v>1171</v>
      </c>
      <c r="B264" s="287" t="s">
        <v>209</v>
      </c>
      <c r="C264" s="287"/>
      <c r="D264" s="119" t="s">
        <v>41</v>
      </c>
      <c r="E264" s="143">
        <f>F264</f>
        <v>0</v>
      </c>
      <c r="F264" s="120"/>
      <c r="G264" s="125"/>
      <c r="H264" s="125"/>
      <c r="I264" s="125"/>
      <c r="J264" s="118">
        <f t="shared" ref="J264" si="256">L264+O264</f>
        <v>0</v>
      </c>
      <c r="K264" s="125"/>
      <c r="L264" s="125"/>
      <c r="M264" s="125"/>
      <c r="N264" s="125"/>
      <c r="O264" s="123">
        <f t="shared" ref="O264" si="257">K264</f>
        <v>0</v>
      </c>
      <c r="P264" s="118">
        <f t="shared" ref="P264" si="258">E264+J264</f>
        <v>0</v>
      </c>
      <c r="Q264" s="18"/>
      <c r="R264" s="48"/>
    </row>
    <row r="265" spans="1:18" ht="48" hidden="1" thickTop="1" thickBot="1" x14ac:dyDescent="0.25">
      <c r="A265" s="119" t="s">
        <v>586</v>
      </c>
      <c r="B265" s="119" t="s">
        <v>194</v>
      </c>
      <c r="C265" s="119" t="s">
        <v>167</v>
      </c>
      <c r="D265" s="119" t="s">
        <v>34</v>
      </c>
      <c r="E265" s="118"/>
      <c r="F265" s="125"/>
      <c r="G265" s="125"/>
      <c r="H265" s="125"/>
      <c r="I265" s="125"/>
      <c r="J265" s="118">
        <f t="shared" si="230"/>
        <v>0</v>
      </c>
      <c r="K265" s="125"/>
      <c r="L265" s="125"/>
      <c r="M265" s="125"/>
      <c r="N265" s="125"/>
      <c r="O265" s="123">
        <f t="shared" si="231"/>
        <v>0</v>
      </c>
      <c r="P265" s="118">
        <f t="shared" si="234"/>
        <v>0</v>
      </c>
      <c r="Q265" s="18"/>
      <c r="R265" s="44"/>
    </row>
    <row r="266" spans="1:18" ht="47.25" hidden="1" thickTop="1" thickBot="1" x14ac:dyDescent="0.25">
      <c r="A266" s="116" t="s">
        <v>1026</v>
      </c>
      <c r="B266" s="116" t="s">
        <v>675</v>
      </c>
      <c r="C266" s="116"/>
      <c r="D266" s="116" t="s">
        <v>676</v>
      </c>
      <c r="E266" s="118">
        <f>E267</f>
        <v>0</v>
      </c>
      <c r="F266" s="118">
        <f t="shared" ref="F266:P267" si="259">F267</f>
        <v>0</v>
      </c>
      <c r="G266" s="118">
        <f t="shared" si="259"/>
        <v>0</v>
      </c>
      <c r="H266" s="118">
        <f t="shared" si="259"/>
        <v>0</v>
      </c>
      <c r="I266" s="118">
        <f t="shared" si="259"/>
        <v>0</v>
      </c>
      <c r="J266" s="118">
        <f t="shared" si="259"/>
        <v>0</v>
      </c>
      <c r="K266" s="118">
        <f t="shared" si="259"/>
        <v>0</v>
      </c>
      <c r="L266" s="118">
        <f t="shared" si="259"/>
        <v>0</v>
      </c>
      <c r="M266" s="118">
        <f t="shared" si="259"/>
        <v>0</v>
      </c>
      <c r="N266" s="118">
        <f t="shared" si="259"/>
        <v>0</v>
      </c>
      <c r="O266" s="118">
        <f t="shared" si="259"/>
        <v>0</v>
      </c>
      <c r="P266" s="118">
        <f t="shared" si="259"/>
        <v>0</v>
      </c>
      <c r="Q266" s="18"/>
      <c r="R266" s="44"/>
    </row>
    <row r="267" spans="1:18" ht="91.5" hidden="1" thickTop="1" thickBot="1" x14ac:dyDescent="0.25">
      <c r="A267" s="127" t="s">
        <v>1027</v>
      </c>
      <c r="B267" s="127" t="s">
        <v>678</v>
      </c>
      <c r="C267" s="127"/>
      <c r="D267" s="127" t="s">
        <v>679</v>
      </c>
      <c r="E267" s="128">
        <f>E268</f>
        <v>0</v>
      </c>
      <c r="F267" s="128">
        <f t="shared" si="259"/>
        <v>0</v>
      </c>
      <c r="G267" s="128">
        <f t="shared" si="259"/>
        <v>0</v>
      </c>
      <c r="H267" s="128">
        <f t="shared" si="259"/>
        <v>0</v>
      </c>
      <c r="I267" s="128">
        <f t="shared" si="259"/>
        <v>0</v>
      </c>
      <c r="J267" s="128">
        <f t="shared" si="259"/>
        <v>0</v>
      </c>
      <c r="K267" s="128">
        <f t="shared" si="259"/>
        <v>0</v>
      </c>
      <c r="L267" s="128">
        <f t="shared" si="259"/>
        <v>0</v>
      </c>
      <c r="M267" s="128">
        <f t="shared" si="259"/>
        <v>0</v>
      </c>
      <c r="N267" s="128">
        <f t="shared" si="259"/>
        <v>0</v>
      </c>
      <c r="O267" s="128">
        <f t="shared" si="259"/>
        <v>0</v>
      </c>
      <c r="P267" s="128">
        <f t="shared" si="259"/>
        <v>0</v>
      </c>
      <c r="Q267" s="18"/>
      <c r="R267" s="44"/>
    </row>
    <row r="268" spans="1:18" ht="48" hidden="1" thickTop="1" thickBot="1" x14ac:dyDescent="0.25">
      <c r="A268" s="119" t="s">
        <v>1028</v>
      </c>
      <c r="B268" s="119" t="s">
        <v>356</v>
      </c>
      <c r="C268" s="119" t="s">
        <v>43</v>
      </c>
      <c r="D268" s="119" t="s">
        <v>357</v>
      </c>
      <c r="E268" s="118">
        <f t="shared" ref="E268" si="260">F268</f>
        <v>0</v>
      </c>
      <c r="F268" s="125"/>
      <c r="G268" s="125"/>
      <c r="H268" s="125"/>
      <c r="I268" s="125"/>
      <c r="J268" s="118">
        <f>L268+O268</f>
        <v>0</v>
      </c>
      <c r="K268" s="125"/>
      <c r="L268" s="125"/>
      <c r="M268" s="125"/>
      <c r="N268" s="125"/>
      <c r="O268" s="123">
        <f>K268</f>
        <v>0</v>
      </c>
      <c r="P268" s="118">
        <f>E268+J268</f>
        <v>0</v>
      </c>
      <c r="Q268" s="18"/>
      <c r="R268" s="44"/>
    </row>
    <row r="269" spans="1:18" ht="91.5" thickTop="1" thickBot="1" x14ac:dyDescent="0.25">
      <c r="A269" s="535" t="s">
        <v>155</v>
      </c>
      <c r="B269" s="535"/>
      <c r="C269" s="535"/>
      <c r="D269" s="536" t="s">
        <v>542</v>
      </c>
      <c r="E269" s="537">
        <f>E270</f>
        <v>43989359</v>
      </c>
      <c r="F269" s="538">
        <f t="shared" ref="F269:G269" si="261">F270</f>
        <v>29981956</v>
      </c>
      <c r="G269" s="538">
        <f t="shared" si="261"/>
        <v>9009267</v>
      </c>
      <c r="H269" s="538">
        <f>H270</f>
        <v>236135</v>
      </c>
      <c r="I269" s="538">
        <f t="shared" ref="I269" si="262">I270</f>
        <v>14007403</v>
      </c>
      <c r="J269" s="537">
        <f>J270</f>
        <v>9664770</v>
      </c>
      <c r="K269" s="538">
        <f>K270</f>
        <v>9664770</v>
      </c>
      <c r="L269" s="538">
        <f>L270</f>
        <v>0</v>
      </c>
      <c r="M269" s="538">
        <f t="shared" ref="M269" si="263">M270</f>
        <v>0</v>
      </c>
      <c r="N269" s="538">
        <f>N270</f>
        <v>0</v>
      </c>
      <c r="O269" s="537">
        <f>O270</f>
        <v>9664770</v>
      </c>
      <c r="P269" s="538">
        <f>P270</f>
        <v>53654129</v>
      </c>
      <c r="Q269" s="18"/>
      <c r="R269" s="48"/>
    </row>
    <row r="270" spans="1:18" ht="144.75" customHeight="1" thickTop="1" thickBot="1" x14ac:dyDescent="0.25">
      <c r="A270" s="532" t="s">
        <v>156</v>
      </c>
      <c r="B270" s="532"/>
      <c r="C270" s="532"/>
      <c r="D270" s="533" t="s">
        <v>543</v>
      </c>
      <c r="E270" s="534">
        <f>E271+E278+E288+E297+E275</f>
        <v>43989359</v>
      </c>
      <c r="F270" s="534">
        <f t="shared" ref="F270:I270" si="264">F271+F278+F288+F297+F275</f>
        <v>29981956</v>
      </c>
      <c r="G270" s="534">
        <f t="shared" si="264"/>
        <v>9009267</v>
      </c>
      <c r="H270" s="534">
        <f t="shared" si="264"/>
        <v>236135</v>
      </c>
      <c r="I270" s="534">
        <f t="shared" si="264"/>
        <v>14007403</v>
      </c>
      <c r="J270" s="534">
        <f>L270+O270</f>
        <v>9664770</v>
      </c>
      <c r="K270" s="534">
        <f>K271+K278+K288+K297+K275</f>
        <v>9664770</v>
      </c>
      <c r="L270" s="534">
        <f t="shared" ref="L270:N270" si="265">L271+L278+L288+L297+L275</f>
        <v>0</v>
      </c>
      <c r="M270" s="534">
        <f t="shared" si="265"/>
        <v>0</v>
      </c>
      <c r="N270" s="534">
        <f t="shared" si="265"/>
        <v>0</v>
      </c>
      <c r="O270" s="534">
        <f>O271+O278+O288+O297+O275</f>
        <v>9664770</v>
      </c>
      <c r="P270" s="534">
        <f>E270+J270</f>
        <v>53654129</v>
      </c>
      <c r="Q270" s="568" t="b">
        <f>P270=P272+P277+P280+P282+P283+P284+P285+P286+P299</f>
        <v>1</v>
      </c>
      <c r="R270" s="52"/>
    </row>
    <row r="271" spans="1:18" ht="93.75" customHeight="1" thickTop="1" thickBot="1" x14ac:dyDescent="0.25">
      <c r="A271" s="242" t="s">
        <v>758</v>
      </c>
      <c r="B271" s="242" t="s">
        <v>658</v>
      </c>
      <c r="C271" s="242"/>
      <c r="D271" s="504" t="s">
        <v>659</v>
      </c>
      <c r="E271" s="522">
        <f>SUM(E272:E274)</f>
        <v>13066608</v>
      </c>
      <c r="F271" s="522">
        <f t="shared" ref="F271:N271" si="266">SUM(F272:F274)</f>
        <v>13066608</v>
      </c>
      <c r="G271" s="522">
        <f t="shared" si="266"/>
        <v>9009267</v>
      </c>
      <c r="H271" s="522">
        <f t="shared" si="266"/>
        <v>236135</v>
      </c>
      <c r="I271" s="522">
        <f t="shared" si="266"/>
        <v>0</v>
      </c>
      <c r="J271" s="522">
        <f t="shared" si="266"/>
        <v>0</v>
      </c>
      <c r="K271" s="522">
        <f t="shared" si="266"/>
        <v>0</v>
      </c>
      <c r="L271" s="522">
        <f t="shared" si="266"/>
        <v>0</v>
      </c>
      <c r="M271" s="522">
        <f t="shared" si="266"/>
        <v>0</v>
      </c>
      <c r="N271" s="522">
        <f t="shared" si="266"/>
        <v>0</v>
      </c>
      <c r="O271" s="522">
        <f>SUM(O272:O274)</f>
        <v>0</v>
      </c>
      <c r="P271" s="522">
        <f>SUM(P272:P274)</f>
        <v>13066608</v>
      </c>
      <c r="Q271" s="45"/>
      <c r="R271" s="52"/>
    </row>
    <row r="272" spans="1:18" ht="144.75" customHeight="1" thickTop="1" thickBot="1" x14ac:dyDescent="0.25">
      <c r="A272" s="94" t="s">
        <v>413</v>
      </c>
      <c r="B272" s="94" t="s">
        <v>233</v>
      </c>
      <c r="C272" s="94" t="s">
        <v>231</v>
      </c>
      <c r="D272" s="490" t="s">
        <v>1554</v>
      </c>
      <c r="E272" s="492">
        <f>F272+I272</f>
        <v>13066608</v>
      </c>
      <c r="F272" s="541">
        <v>13066608</v>
      </c>
      <c r="G272" s="541">
        <v>9009267</v>
      </c>
      <c r="H272" s="541">
        <v>236135</v>
      </c>
      <c r="I272" s="541"/>
      <c r="J272" s="522">
        <f t="shared" ref="J272:J295" si="267">L272+O272</f>
        <v>0</v>
      </c>
      <c r="K272" s="541"/>
      <c r="L272" s="543"/>
      <c r="M272" s="543"/>
      <c r="N272" s="543"/>
      <c r="O272" s="523">
        <f t="shared" ref="O272:O292" si="268">K272</f>
        <v>0</v>
      </c>
      <c r="P272" s="522">
        <f t="shared" ref="P272:P283" si="269">+J272+E272</f>
        <v>13066608</v>
      </c>
      <c r="Q272" s="18"/>
      <c r="R272" s="52"/>
    </row>
    <row r="273" spans="1:18" ht="93" hidden="1" thickTop="1" thickBot="1" x14ac:dyDescent="0.25">
      <c r="A273" s="119" t="s">
        <v>605</v>
      </c>
      <c r="B273" s="119" t="s">
        <v>355</v>
      </c>
      <c r="C273" s="119" t="s">
        <v>603</v>
      </c>
      <c r="D273" s="119" t="s">
        <v>604</v>
      </c>
      <c r="E273" s="118">
        <f t="shared" ref="E273:E274" si="270">F273</f>
        <v>0</v>
      </c>
      <c r="F273" s="120">
        <v>0</v>
      </c>
      <c r="G273" s="120"/>
      <c r="H273" s="120"/>
      <c r="I273" s="120"/>
      <c r="J273" s="118">
        <f t="shared" si="267"/>
        <v>0</v>
      </c>
      <c r="K273" s="120"/>
      <c r="L273" s="121"/>
      <c r="M273" s="122"/>
      <c r="N273" s="122"/>
      <c r="O273" s="123">
        <f t="shared" si="268"/>
        <v>0</v>
      </c>
      <c r="P273" s="118">
        <f>+J273+E273</f>
        <v>0</v>
      </c>
      <c r="Q273" s="18"/>
      <c r="R273" s="52"/>
    </row>
    <row r="274" spans="1:18" ht="48" hidden="1" thickTop="1" thickBot="1" x14ac:dyDescent="0.25">
      <c r="A274" s="119" t="s">
        <v>1039</v>
      </c>
      <c r="B274" s="119" t="s">
        <v>43</v>
      </c>
      <c r="C274" s="119" t="s">
        <v>42</v>
      </c>
      <c r="D274" s="119" t="s">
        <v>244</v>
      </c>
      <c r="E274" s="118">
        <f t="shared" si="270"/>
        <v>0</v>
      </c>
      <c r="F274" s="120"/>
      <c r="G274" s="120"/>
      <c r="H274" s="120"/>
      <c r="I274" s="120"/>
      <c r="J274" s="118">
        <f t="shared" si="267"/>
        <v>0</v>
      </c>
      <c r="K274" s="120"/>
      <c r="L274" s="121"/>
      <c r="M274" s="122"/>
      <c r="N274" s="122"/>
      <c r="O274" s="123"/>
      <c r="P274" s="118">
        <f>+J274+E274</f>
        <v>0</v>
      </c>
      <c r="Q274" s="18"/>
      <c r="R274" s="52"/>
    </row>
    <row r="275" spans="1:18" ht="123" customHeight="1" thickTop="1" thickBot="1" x14ac:dyDescent="0.25">
      <c r="A275" s="504" t="s">
        <v>1487</v>
      </c>
      <c r="B275" s="504" t="s">
        <v>684</v>
      </c>
      <c r="C275" s="504"/>
      <c r="D275" s="504" t="s">
        <v>685</v>
      </c>
      <c r="E275" s="506">
        <f t="shared" ref="E275:P275" si="271">SUM(E276:E277)</f>
        <v>0</v>
      </c>
      <c r="F275" s="506">
        <f t="shared" si="271"/>
        <v>0</v>
      </c>
      <c r="G275" s="506">
        <f t="shared" si="271"/>
        <v>0</v>
      </c>
      <c r="H275" s="506">
        <f t="shared" si="271"/>
        <v>0</v>
      </c>
      <c r="I275" s="506">
        <f t="shared" si="271"/>
        <v>0</v>
      </c>
      <c r="J275" s="506">
        <f t="shared" si="271"/>
        <v>9664770</v>
      </c>
      <c r="K275" s="506">
        <f t="shared" si="271"/>
        <v>9664770</v>
      </c>
      <c r="L275" s="506">
        <f t="shared" si="271"/>
        <v>0</v>
      </c>
      <c r="M275" s="506">
        <f t="shared" si="271"/>
        <v>0</v>
      </c>
      <c r="N275" s="506">
        <f t="shared" si="271"/>
        <v>0</v>
      </c>
      <c r="O275" s="506">
        <f t="shared" si="271"/>
        <v>9664770</v>
      </c>
      <c r="P275" s="506">
        <f t="shared" si="271"/>
        <v>9664770</v>
      </c>
      <c r="Q275" s="18"/>
      <c r="R275" s="52"/>
    </row>
    <row r="276" spans="1:18" ht="45" hidden="1" customHeight="1" thickTop="1" thickBot="1" x14ac:dyDescent="0.25">
      <c r="A276" s="119" t="s">
        <v>1488</v>
      </c>
      <c r="B276" s="119" t="s">
        <v>1086</v>
      </c>
      <c r="C276" s="119" t="s">
        <v>203</v>
      </c>
      <c r="D276" s="282" t="s">
        <v>1087</v>
      </c>
      <c r="E276" s="118"/>
      <c r="F276" s="125"/>
      <c r="G276" s="125"/>
      <c r="H276" s="125"/>
      <c r="I276" s="125"/>
      <c r="J276" s="118">
        <f>L276+O276</f>
        <v>0</v>
      </c>
      <c r="K276" s="125"/>
      <c r="L276" s="125"/>
      <c r="M276" s="125"/>
      <c r="N276" s="125"/>
      <c r="O276" s="123">
        <f>K276</f>
        <v>0</v>
      </c>
      <c r="P276" s="118">
        <f>E276+J276</f>
        <v>0</v>
      </c>
      <c r="Q276" s="18"/>
      <c r="R276" s="52"/>
    </row>
    <row r="277" spans="1:18" ht="194.25" customHeight="1" thickTop="1" thickBot="1" x14ac:dyDescent="0.25">
      <c r="A277" s="490" t="s">
        <v>1544</v>
      </c>
      <c r="B277" s="490" t="s">
        <v>1407</v>
      </c>
      <c r="C277" s="490" t="s">
        <v>188</v>
      </c>
      <c r="D277" s="507" t="s">
        <v>1543</v>
      </c>
      <c r="E277" s="118"/>
      <c r="F277" s="125"/>
      <c r="G277" s="125"/>
      <c r="H277" s="125"/>
      <c r="I277" s="125"/>
      <c r="J277" s="506">
        <f>L277+O277</f>
        <v>9664770</v>
      </c>
      <c r="K277" s="508">
        <v>9664770</v>
      </c>
      <c r="L277" s="125"/>
      <c r="M277" s="125"/>
      <c r="N277" s="125"/>
      <c r="O277" s="509">
        <f>K277</f>
        <v>9664770</v>
      </c>
      <c r="P277" s="506">
        <f>E277+J277</f>
        <v>9664770</v>
      </c>
      <c r="Q277" s="18"/>
      <c r="R277" s="52"/>
    </row>
    <row r="278" spans="1:18" ht="104.25" customHeight="1" thickTop="1" thickBot="1" x14ac:dyDescent="0.25">
      <c r="A278" s="504" t="s">
        <v>759</v>
      </c>
      <c r="B278" s="504" t="s">
        <v>713</v>
      </c>
      <c r="C278" s="116"/>
      <c r="D278" s="505" t="s">
        <v>714</v>
      </c>
      <c r="E278" s="506">
        <f>SUM(E279:E287)-E279</f>
        <v>25922751</v>
      </c>
      <c r="F278" s="506">
        <f t="shared" ref="F278:P278" si="272">SUM(F279:F287)-F279</f>
        <v>16915348</v>
      </c>
      <c r="G278" s="506">
        <f t="shared" si="272"/>
        <v>0</v>
      </c>
      <c r="H278" s="506">
        <f t="shared" si="272"/>
        <v>0</v>
      </c>
      <c r="I278" s="506">
        <f t="shared" si="272"/>
        <v>9007403</v>
      </c>
      <c r="J278" s="506">
        <f t="shared" si="272"/>
        <v>0</v>
      </c>
      <c r="K278" s="506">
        <f t="shared" si="272"/>
        <v>0</v>
      </c>
      <c r="L278" s="506">
        <f t="shared" si="272"/>
        <v>0</v>
      </c>
      <c r="M278" s="506">
        <f t="shared" si="272"/>
        <v>0</v>
      </c>
      <c r="N278" s="506">
        <f t="shared" si="272"/>
        <v>0</v>
      </c>
      <c r="O278" s="506">
        <f t="shared" si="272"/>
        <v>0</v>
      </c>
      <c r="P278" s="506">
        <f t="shared" si="272"/>
        <v>25922751</v>
      </c>
      <c r="Q278" s="18"/>
      <c r="R278" s="52"/>
    </row>
    <row r="279" spans="1:18" s="31" customFormat="1" ht="129" customHeight="1" thickTop="1" thickBot="1" x14ac:dyDescent="0.25">
      <c r="A279" s="502" t="s">
        <v>760</v>
      </c>
      <c r="B279" s="502" t="s">
        <v>761</v>
      </c>
      <c r="C279" s="131"/>
      <c r="D279" s="502" t="s">
        <v>1541</v>
      </c>
      <c r="E279" s="503">
        <f>SUM(E280:E283)</f>
        <v>11220903</v>
      </c>
      <c r="F279" s="503">
        <f t="shared" ref="F279:P279" si="273">SUM(F280:F283)</f>
        <v>2213500</v>
      </c>
      <c r="G279" s="503">
        <f t="shared" si="273"/>
        <v>0</v>
      </c>
      <c r="H279" s="503">
        <f t="shared" si="273"/>
        <v>0</v>
      </c>
      <c r="I279" s="503">
        <f t="shared" si="273"/>
        <v>9007403</v>
      </c>
      <c r="J279" s="503">
        <f t="shared" si="273"/>
        <v>0</v>
      </c>
      <c r="K279" s="503">
        <f t="shared" si="273"/>
        <v>0</v>
      </c>
      <c r="L279" s="503">
        <f t="shared" si="273"/>
        <v>0</v>
      </c>
      <c r="M279" s="503">
        <f t="shared" si="273"/>
        <v>0</v>
      </c>
      <c r="N279" s="503">
        <f t="shared" si="273"/>
        <v>0</v>
      </c>
      <c r="O279" s="503">
        <f t="shared" si="273"/>
        <v>0</v>
      </c>
      <c r="P279" s="503">
        <f t="shared" si="273"/>
        <v>11220903</v>
      </c>
      <c r="Q279" s="34"/>
      <c r="R279" s="52"/>
    </row>
    <row r="280" spans="1:18" ht="88.5" customHeight="1" thickTop="1" thickBot="1" x14ac:dyDescent="0.25">
      <c r="A280" s="490" t="s">
        <v>276</v>
      </c>
      <c r="B280" s="490" t="s">
        <v>277</v>
      </c>
      <c r="C280" s="490" t="s">
        <v>334</v>
      </c>
      <c r="D280" s="490" t="s">
        <v>278</v>
      </c>
      <c r="E280" s="492">
        <f>F280+I280</f>
        <v>4042403</v>
      </c>
      <c r="F280" s="491">
        <v>2035000</v>
      </c>
      <c r="G280" s="120"/>
      <c r="H280" s="120"/>
      <c r="I280" s="491">
        <v>2007403</v>
      </c>
      <c r="J280" s="506">
        <f t="shared" si="267"/>
        <v>0</v>
      </c>
      <c r="K280" s="491"/>
      <c r="L280" s="515"/>
      <c r="M280" s="515"/>
      <c r="N280" s="515"/>
      <c r="O280" s="509">
        <f t="shared" si="268"/>
        <v>0</v>
      </c>
      <c r="P280" s="506">
        <f t="shared" si="269"/>
        <v>4042403</v>
      </c>
      <c r="Q280" s="18"/>
      <c r="R280" s="52"/>
    </row>
    <row r="281" spans="1:18" ht="48" hidden="1" thickTop="1" thickBot="1" x14ac:dyDescent="0.25">
      <c r="A281" s="119" t="s">
        <v>1362</v>
      </c>
      <c r="B281" s="119" t="s">
        <v>282</v>
      </c>
      <c r="C281" s="119" t="s">
        <v>279</v>
      </c>
      <c r="D281" s="119" t="s">
        <v>283</v>
      </c>
      <c r="E281" s="143">
        <f>F281</f>
        <v>0</v>
      </c>
      <c r="F281" s="120"/>
      <c r="G281" s="120"/>
      <c r="H281" s="120"/>
      <c r="I281" s="120"/>
      <c r="J281" s="118">
        <f t="shared" ref="J281" si="274">L281+O281</f>
        <v>0</v>
      </c>
      <c r="K281" s="120"/>
      <c r="L281" s="121"/>
      <c r="M281" s="121"/>
      <c r="N281" s="121"/>
      <c r="O281" s="123">
        <f t="shared" ref="O281" si="275">K281</f>
        <v>0</v>
      </c>
      <c r="P281" s="118">
        <f t="shared" ref="P281" si="276">+J281+E281</f>
        <v>0</v>
      </c>
      <c r="Q281" s="18"/>
      <c r="R281" s="52"/>
    </row>
    <row r="282" spans="1:18" ht="82.5" customHeight="1" thickTop="1" thickBot="1" x14ac:dyDescent="0.25">
      <c r="A282" s="490" t="s">
        <v>297</v>
      </c>
      <c r="B282" s="490" t="s">
        <v>298</v>
      </c>
      <c r="C282" s="490" t="s">
        <v>279</v>
      </c>
      <c r="D282" s="490" t="s">
        <v>299</v>
      </c>
      <c r="E282" s="492">
        <f>F282+I282</f>
        <v>7000000</v>
      </c>
      <c r="F282" s="120"/>
      <c r="G282" s="120"/>
      <c r="H282" s="120"/>
      <c r="I282" s="491">
        <v>7000000</v>
      </c>
      <c r="J282" s="506">
        <f t="shared" si="267"/>
        <v>0</v>
      </c>
      <c r="K282" s="491"/>
      <c r="L282" s="515"/>
      <c r="M282" s="515"/>
      <c r="N282" s="515"/>
      <c r="O282" s="509">
        <f t="shared" si="268"/>
        <v>0</v>
      </c>
      <c r="P282" s="506">
        <f t="shared" si="269"/>
        <v>7000000</v>
      </c>
      <c r="Q282" s="18"/>
      <c r="R282" s="52"/>
    </row>
    <row r="283" spans="1:18" ht="150" customHeight="1" thickTop="1" thickBot="1" x14ac:dyDescent="0.25">
      <c r="A283" s="490" t="s">
        <v>280</v>
      </c>
      <c r="B283" s="490" t="s">
        <v>281</v>
      </c>
      <c r="C283" s="490" t="s">
        <v>279</v>
      </c>
      <c r="D283" s="490" t="s">
        <v>1539</v>
      </c>
      <c r="E283" s="492">
        <f>F283+I283</f>
        <v>178500</v>
      </c>
      <c r="F283" s="491">
        <v>178500</v>
      </c>
      <c r="G283" s="120"/>
      <c r="H283" s="120"/>
      <c r="I283" s="120"/>
      <c r="J283" s="506">
        <f t="shared" si="267"/>
        <v>0</v>
      </c>
      <c r="K283" s="491"/>
      <c r="L283" s="515"/>
      <c r="M283" s="515"/>
      <c r="N283" s="515"/>
      <c r="O283" s="509">
        <f t="shared" si="268"/>
        <v>0</v>
      </c>
      <c r="P283" s="506">
        <f t="shared" si="269"/>
        <v>178500</v>
      </c>
      <c r="Q283" s="18"/>
      <c r="R283" s="52"/>
    </row>
    <row r="284" spans="1:18" ht="150.75" customHeight="1" thickTop="1" thickBot="1" x14ac:dyDescent="0.25">
      <c r="A284" s="490" t="s">
        <v>886</v>
      </c>
      <c r="B284" s="490" t="s">
        <v>293</v>
      </c>
      <c r="C284" s="490" t="s">
        <v>279</v>
      </c>
      <c r="D284" s="490" t="s">
        <v>294</v>
      </c>
      <c r="E284" s="492">
        <f>F284+I284</f>
        <v>1159200</v>
      </c>
      <c r="F284" s="491">
        <v>1159200</v>
      </c>
      <c r="G284" s="120"/>
      <c r="H284" s="120"/>
      <c r="I284" s="120"/>
      <c r="J284" s="506">
        <f t="shared" ref="J284" si="277">L284+O284</f>
        <v>0</v>
      </c>
      <c r="K284" s="491"/>
      <c r="L284" s="515"/>
      <c r="M284" s="515"/>
      <c r="N284" s="515"/>
      <c r="O284" s="509">
        <f t="shared" ref="O284" si="278">K284</f>
        <v>0</v>
      </c>
      <c r="P284" s="506">
        <f t="shared" ref="P284" si="279">+J284+E284</f>
        <v>1159200</v>
      </c>
      <c r="Q284" s="18"/>
      <c r="R284" s="52"/>
    </row>
    <row r="285" spans="1:18" ht="72.75" customHeight="1" thickTop="1" thickBot="1" x14ac:dyDescent="0.25">
      <c r="A285" s="490" t="s">
        <v>284</v>
      </c>
      <c r="B285" s="490" t="s">
        <v>285</v>
      </c>
      <c r="C285" s="490" t="s">
        <v>279</v>
      </c>
      <c r="D285" s="490" t="s">
        <v>286</v>
      </c>
      <c r="E285" s="492">
        <f>F285+I285</f>
        <v>12000000</v>
      </c>
      <c r="F285" s="491">
        <v>12000000</v>
      </c>
      <c r="G285" s="120"/>
      <c r="H285" s="120"/>
      <c r="I285" s="120"/>
      <c r="J285" s="506">
        <f t="shared" si="267"/>
        <v>0</v>
      </c>
      <c r="K285" s="508"/>
      <c r="L285" s="491"/>
      <c r="M285" s="491"/>
      <c r="N285" s="491"/>
      <c r="O285" s="509">
        <f t="shared" si="268"/>
        <v>0</v>
      </c>
      <c r="P285" s="506">
        <f t="shared" ref="P285" si="280">E285+J285</f>
        <v>12000000</v>
      </c>
      <c r="Q285" s="18"/>
      <c r="R285" s="48"/>
    </row>
    <row r="286" spans="1:18" ht="72.75" customHeight="1" thickTop="1" thickBot="1" x14ac:dyDescent="0.25">
      <c r="A286" s="490" t="s">
        <v>1136</v>
      </c>
      <c r="B286" s="490" t="s">
        <v>1044</v>
      </c>
      <c r="C286" s="490" t="s">
        <v>1045</v>
      </c>
      <c r="D286" s="490" t="s">
        <v>1042</v>
      </c>
      <c r="E286" s="492">
        <f>F286+I286</f>
        <v>1542648</v>
      </c>
      <c r="F286" s="491">
        <v>1542648</v>
      </c>
      <c r="G286" s="120"/>
      <c r="H286" s="120"/>
      <c r="I286" s="120"/>
      <c r="J286" s="506">
        <f t="shared" ref="J286" si="281">L286+O286</f>
        <v>0</v>
      </c>
      <c r="K286" s="508"/>
      <c r="L286" s="491"/>
      <c r="M286" s="491"/>
      <c r="N286" s="491"/>
      <c r="O286" s="509">
        <f t="shared" ref="O286" si="282">K286</f>
        <v>0</v>
      </c>
      <c r="P286" s="506">
        <f t="shared" ref="P286" si="283">E286+J286</f>
        <v>1542648</v>
      </c>
      <c r="Q286" s="18"/>
      <c r="R286" s="48"/>
    </row>
    <row r="287" spans="1:18" ht="72.75" hidden="1" customHeight="1" thickTop="1" thickBot="1" x14ac:dyDescent="0.25">
      <c r="A287" s="119" t="s">
        <v>1383</v>
      </c>
      <c r="B287" s="119" t="s">
        <v>1384</v>
      </c>
      <c r="C287" s="119" t="s">
        <v>1045</v>
      </c>
      <c r="D287" s="119" t="s">
        <v>1291</v>
      </c>
      <c r="E287" s="143"/>
      <c r="F287" s="120"/>
      <c r="G287" s="120"/>
      <c r="H287" s="120"/>
      <c r="I287" s="120"/>
      <c r="J287" s="118">
        <f t="shared" ref="J287" si="284">L287+O287</f>
        <v>0</v>
      </c>
      <c r="K287" s="125"/>
      <c r="L287" s="120"/>
      <c r="M287" s="120"/>
      <c r="N287" s="120"/>
      <c r="O287" s="123">
        <f t="shared" ref="O287" si="285">K287</f>
        <v>0</v>
      </c>
      <c r="P287" s="118">
        <f t="shared" ref="P287" si="286">E287+J287</f>
        <v>0</v>
      </c>
      <c r="Q287" s="18"/>
      <c r="R287" s="48"/>
    </row>
    <row r="288" spans="1:18" ht="47.25" hidden="1" thickTop="1" thickBot="1" x14ac:dyDescent="0.25">
      <c r="A288" s="116" t="s">
        <v>762</v>
      </c>
      <c r="B288" s="116" t="s">
        <v>719</v>
      </c>
      <c r="C288" s="116"/>
      <c r="D288" s="116" t="s">
        <v>763</v>
      </c>
      <c r="E288" s="143">
        <f>E291+E289</f>
        <v>0</v>
      </c>
      <c r="F288" s="143">
        <f t="shared" ref="F288:P288" si="287">F291+F289</f>
        <v>0</v>
      </c>
      <c r="G288" s="143">
        <f t="shared" si="287"/>
        <v>0</v>
      </c>
      <c r="H288" s="143">
        <f t="shared" si="287"/>
        <v>0</v>
      </c>
      <c r="I288" s="143">
        <f t="shared" si="287"/>
        <v>0</v>
      </c>
      <c r="J288" s="143">
        <f t="shared" si="287"/>
        <v>0</v>
      </c>
      <c r="K288" s="143">
        <f t="shared" si="287"/>
        <v>0</v>
      </c>
      <c r="L288" s="143">
        <f t="shared" si="287"/>
        <v>0</v>
      </c>
      <c r="M288" s="143">
        <f t="shared" si="287"/>
        <v>0</v>
      </c>
      <c r="N288" s="143">
        <f t="shared" si="287"/>
        <v>0</v>
      </c>
      <c r="O288" s="143">
        <f t="shared" si="287"/>
        <v>0</v>
      </c>
      <c r="P288" s="143">
        <f t="shared" si="287"/>
        <v>0</v>
      </c>
      <c r="Q288" s="18"/>
      <c r="R288" s="48"/>
    </row>
    <row r="289" spans="1:18" ht="47.25" hidden="1" thickTop="1" thickBot="1" x14ac:dyDescent="0.25">
      <c r="A289" s="127" t="s">
        <v>1462</v>
      </c>
      <c r="B289" s="127" t="s">
        <v>806</v>
      </c>
      <c r="C289" s="127"/>
      <c r="D289" s="127" t="s">
        <v>807</v>
      </c>
      <c r="E289" s="128">
        <f>SUM(E290)</f>
        <v>0</v>
      </c>
      <c r="F289" s="128">
        <f t="shared" ref="F289:P289" si="288">SUM(F290)</f>
        <v>0</v>
      </c>
      <c r="G289" s="128">
        <f t="shared" si="288"/>
        <v>0</v>
      </c>
      <c r="H289" s="128">
        <f t="shared" si="288"/>
        <v>0</v>
      </c>
      <c r="I289" s="128">
        <f t="shared" si="288"/>
        <v>0</v>
      </c>
      <c r="J289" s="128">
        <f t="shared" si="288"/>
        <v>0</v>
      </c>
      <c r="K289" s="128">
        <f t="shared" si="288"/>
        <v>0</v>
      </c>
      <c r="L289" s="128">
        <f t="shared" si="288"/>
        <v>0</v>
      </c>
      <c r="M289" s="128">
        <f t="shared" si="288"/>
        <v>0</v>
      </c>
      <c r="N289" s="128">
        <f t="shared" si="288"/>
        <v>0</v>
      </c>
      <c r="O289" s="128">
        <f t="shared" si="288"/>
        <v>0</v>
      </c>
      <c r="P289" s="128">
        <f t="shared" si="288"/>
        <v>0</v>
      </c>
      <c r="Q289" s="18"/>
      <c r="R289" s="48"/>
    </row>
    <row r="290" spans="1:18" ht="60.75" hidden="1" customHeight="1" thickTop="1" thickBot="1" x14ac:dyDescent="0.25">
      <c r="A290" s="119" t="s">
        <v>1463</v>
      </c>
      <c r="B290" s="119" t="s">
        <v>303</v>
      </c>
      <c r="C290" s="119" t="s">
        <v>304</v>
      </c>
      <c r="D290" s="119" t="s">
        <v>451</v>
      </c>
      <c r="E290" s="118"/>
      <c r="F290" s="125"/>
      <c r="G290" s="125"/>
      <c r="H290" s="125"/>
      <c r="I290" s="125"/>
      <c r="J290" s="118">
        <f>L290+O290</f>
        <v>0</v>
      </c>
      <c r="K290" s="125"/>
      <c r="L290" s="125"/>
      <c r="M290" s="125"/>
      <c r="N290" s="125"/>
      <c r="O290" s="123">
        <f>(K290)</f>
        <v>0</v>
      </c>
      <c r="P290" s="118">
        <f>E290+J290</f>
        <v>0</v>
      </c>
      <c r="Q290" s="18"/>
      <c r="R290" s="48"/>
    </row>
    <row r="291" spans="1:18" ht="47.25" hidden="1" thickTop="1" thickBot="1" x14ac:dyDescent="0.25">
      <c r="A291" s="127" t="s">
        <v>764</v>
      </c>
      <c r="B291" s="127" t="s">
        <v>665</v>
      </c>
      <c r="C291" s="127"/>
      <c r="D291" s="127" t="s">
        <v>663</v>
      </c>
      <c r="E291" s="149">
        <f>E292+E294+E293</f>
        <v>0</v>
      </c>
      <c r="F291" s="149">
        <f t="shared" ref="F291:P291" si="289">F292+F294+F293</f>
        <v>0</v>
      </c>
      <c r="G291" s="149">
        <f t="shared" si="289"/>
        <v>0</v>
      </c>
      <c r="H291" s="149">
        <f t="shared" si="289"/>
        <v>0</v>
      </c>
      <c r="I291" s="149">
        <f t="shared" si="289"/>
        <v>0</v>
      </c>
      <c r="J291" s="149">
        <f>J292+J294+J293</f>
        <v>0</v>
      </c>
      <c r="K291" s="149">
        <f t="shared" si="289"/>
        <v>0</v>
      </c>
      <c r="L291" s="149">
        <f t="shared" si="289"/>
        <v>0</v>
      </c>
      <c r="M291" s="149">
        <f t="shared" si="289"/>
        <v>0</v>
      </c>
      <c r="N291" s="149">
        <f t="shared" si="289"/>
        <v>0</v>
      </c>
      <c r="O291" s="149">
        <f t="shared" si="289"/>
        <v>0</v>
      </c>
      <c r="P291" s="149">
        <f t="shared" si="289"/>
        <v>0</v>
      </c>
      <c r="Q291" s="18"/>
      <c r="R291" s="48"/>
    </row>
    <row r="292" spans="1:18" ht="82.5" hidden="1" customHeight="1" thickTop="1" thickBot="1" x14ac:dyDescent="0.25">
      <c r="A292" s="119" t="s">
        <v>292</v>
      </c>
      <c r="B292" s="119" t="s">
        <v>209</v>
      </c>
      <c r="C292" s="119" t="s">
        <v>210</v>
      </c>
      <c r="D292" s="119" t="s">
        <v>41</v>
      </c>
      <c r="E292" s="143"/>
      <c r="F292" s="120"/>
      <c r="G292" s="120"/>
      <c r="H292" s="120"/>
      <c r="I292" s="120"/>
      <c r="J292" s="118">
        <f t="shared" si="267"/>
        <v>0</v>
      </c>
      <c r="K292" s="125"/>
      <c r="L292" s="120"/>
      <c r="M292" s="120"/>
      <c r="N292" s="120"/>
      <c r="O292" s="123">
        <f t="shared" si="268"/>
        <v>0</v>
      </c>
      <c r="P292" s="118">
        <f>E292+J292</f>
        <v>0</v>
      </c>
      <c r="Q292" s="18"/>
      <c r="R292" s="52"/>
    </row>
    <row r="293" spans="1:18" ht="72.75" hidden="1" customHeight="1" thickTop="1" thickBot="1" x14ac:dyDescent="0.25">
      <c r="A293" s="321" t="s">
        <v>880</v>
      </c>
      <c r="B293" s="321" t="s">
        <v>194</v>
      </c>
      <c r="C293" s="321" t="s">
        <v>167</v>
      </c>
      <c r="D293" s="321" t="s">
        <v>34</v>
      </c>
      <c r="E293" s="362">
        <f t="shared" ref="E293" si="290">F293</f>
        <v>0</v>
      </c>
      <c r="F293" s="363"/>
      <c r="G293" s="363"/>
      <c r="H293" s="363"/>
      <c r="I293" s="363"/>
      <c r="J293" s="343">
        <f t="shared" ref="J293" si="291">L293+O293</f>
        <v>0</v>
      </c>
      <c r="K293" s="344">
        <f>((10000000)+20000000)-30000000</f>
        <v>0</v>
      </c>
      <c r="L293" s="363"/>
      <c r="M293" s="363"/>
      <c r="N293" s="363"/>
      <c r="O293" s="345">
        <f t="shared" ref="O293" si="292">K293</f>
        <v>0</v>
      </c>
      <c r="P293" s="343">
        <f>E293+J293</f>
        <v>0</v>
      </c>
      <c r="Q293" s="18"/>
      <c r="R293" s="52"/>
    </row>
    <row r="294" spans="1:18" ht="48" hidden="1" thickTop="1" thickBot="1" x14ac:dyDescent="0.25">
      <c r="A294" s="131" t="s">
        <v>765</v>
      </c>
      <c r="B294" s="131" t="s">
        <v>668</v>
      </c>
      <c r="C294" s="131"/>
      <c r="D294" s="131" t="s">
        <v>766</v>
      </c>
      <c r="E294" s="148">
        <f>E295</f>
        <v>0</v>
      </c>
      <c r="F294" s="148">
        <f t="shared" ref="F294:P294" si="293">F295</f>
        <v>0</v>
      </c>
      <c r="G294" s="148">
        <f t="shared" si="293"/>
        <v>0</v>
      </c>
      <c r="H294" s="148">
        <f t="shared" si="293"/>
        <v>0</v>
      </c>
      <c r="I294" s="148">
        <f t="shared" si="293"/>
        <v>0</v>
      </c>
      <c r="J294" s="148">
        <f t="shared" si="293"/>
        <v>0</v>
      </c>
      <c r="K294" s="148">
        <f t="shared" si="293"/>
        <v>0</v>
      </c>
      <c r="L294" s="148">
        <f t="shared" si="293"/>
        <v>0</v>
      </c>
      <c r="M294" s="148">
        <f t="shared" si="293"/>
        <v>0</v>
      </c>
      <c r="N294" s="148">
        <f t="shared" si="293"/>
        <v>0</v>
      </c>
      <c r="O294" s="148">
        <f t="shared" si="293"/>
        <v>0</v>
      </c>
      <c r="P294" s="148">
        <f t="shared" si="293"/>
        <v>0</v>
      </c>
      <c r="Q294" s="18"/>
      <c r="R294" s="48"/>
    </row>
    <row r="295" spans="1:18" ht="214.5" hidden="1" customHeight="1" thickTop="1" thickBot="1" x14ac:dyDescent="0.7">
      <c r="A295" s="741" t="s">
        <v>416</v>
      </c>
      <c r="B295" s="741" t="s">
        <v>332</v>
      </c>
      <c r="C295" s="741" t="s">
        <v>167</v>
      </c>
      <c r="D295" s="145" t="s">
        <v>432</v>
      </c>
      <c r="E295" s="737">
        <f t="shared" ref="E295" si="294">F295</f>
        <v>0</v>
      </c>
      <c r="F295" s="727"/>
      <c r="G295" s="727"/>
      <c r="H295" s="727"/>
      <c r="I295" s="727"/>
      <c r="J295" s="737">
        <f t="shared" si="267"/>
        <v>0</v>
      </c>
      <c r="K295" s="727"/>
      <c r="L295" s="727">
        <v>0</v>
      </c>
      <c r="M295" s="727"/>
      <c r="N295" s="727"/>
      <c r="O295" s="748">
        <f>((K295+884000)-450000)-434000</f>
        <v>0</v>
      </c>
      <c r="P295" s="749">
        <f>E295+J295</f>
        <v>0</v>
      </c>
      <c r="Q295" s="18"/>
      <c r="R295" s="48"/>
    </row>
    <row r="296" spans="1:18" ht="93" hidden="1" thickTop="1" thickBot="1" x14ac:dyDescent="0.25">
      <c r="A296" s="741"/>
      <c r="B296" s="741"/>
      <c r="C296" s="741"/>
      <c r="D296" s="146" t="s">
        <v>433</v>
      </c>
      <c r="E296" s="737"/>
      <c r="F296" s="727"/>
      <c r="G296" s="727"/>
      <c r="H296" s="727"/>
      <c r="I296" s="727"/>
      <c r="J296" s="737"/>
      <c r="K296" s="727"/>
      <c r="L296" s="727"/>
      <c r="M296" s="727"/>
      <c r="N296" s="727"/>
      <c r="O296" s="748"/>
      <c r="P296" s="749"/>
      <c r="Q296" s="18"/>
      <c r="R296" s="48"/>
    </row>
    <row r="297" spans="1:18" ht="104.25" customHeight="1" thickTop="1" thickBot="1" x14ac:dyDescent="0.25">
      <c r="A297" s="504" t="s">
        <v>1114</v>
      </c>
      <c r="B297" s="504" t="s">
        <v>670</v>
      </c>
      <c r="C297" s="504"/>
      <c r="D297" s="504" t="s">
        <v>671</v>
      </c>
      <c r="E297" s="506">
        <f>E300+E298</f>
        <v>5000000</v>
      </c>
      <c r="F297" s="506">
        <f t="shared" ref="F297:I297" si="295">F300+F298</f>
        <v>0</v>
      </c>
      <c r="G297" s="506">
        <f t="shared" si="295"/>
        <v>0</v>
      </c>
      <c r="H297" s="506">
        <f t="shared" si="295"/>
        <v>0</v>
      </c>
      <c r="I297" s="506">
        <f t="shared" si="295"/>
        <v>5000000</v>
      </c>
      <c r="J297" s="506">
        <f>J300+J298</f>
        <v>0</v>
      </c>
      <c r="K297" s="506">
        <f t="shared" ref="K297:N297" si="296">K300+K298</f>
        <v>0</v>
      </c>
      <c r="L297" s="506">
        <f t="shared" si="296"/>
        <v>0</v>
      </c>
      <c r="M297" s="506">
        <f t="shared" si="296"/>
        <v>0</v>
      </c>
      <c r="N297" s="506">
        <f t="shared" si="296"/>
        <v>0</v>
      </c>
      <c r="O297" s="506">
        <f>O300+O298</f>
        <v>0</v>
      </c>
      <c r="P297" s="506">
        <f>P300+P298</f>
        <v>5000000</v>
      </c>
      <c r="Q297" s="18"/>
      <c r="R297" s="48"/>
    </row>
    <row r="298" spans="1:18" ht="101.25" customHeight="1" thickTop="1" thickBot="1" x14ac:dyDescent="0.25">
      <c r="A298" s="517" t="s">
        <v>1293</v>
      </c>
      <c r="B298" s="517" t="s">
        <v>780</v>
      </c>
      <c r="C298" s="517"/>
      <c r="D298" s="518" t="s">
        <v>1146</v>
      </c>
      <c r="E298" s="516">
        <f>SUM(E299:E301)</f>
        <v>5000000</v>
      </c>
      <c r="F298" s="516">
        <f t="shared" ref="F298:P298" si="297">SUM(F299:F301)</f>
        <v>0</v>
      </c>
      <c r="G298" s="516">
        <f t="shared" si="297"/>
        <v>0</v>
      </c>
      <c r="H298" s="516">
        <f t="shared" si="297"/>
        <v>0</v>
      </c>
      <c r="I298" s="516">
        <f t="shared" si="297"/>
        <v>5000000</v>
      </c>
      <c r="J298" s="516">
        <f t="shared" si="297"/>
        <v>0</v>
      </c>
      <c r="K298" s="516">
        <f t="shared" si="297"/>
        <v>0</v>
      </c>
      <c r="L298" s="516">
        <f t="shared" si="297"/>
        <v>0</v>
      </c>
      <c r="M298" s="516">
        <f t="shared" si="297"/>
        <v>0</v>
      </c>
      <c r="N298" s="516">
        <f t="shared" si="297"/>
        <v>0</v>
      </c>
      <c r="O298" s="516">
        <f t="shared" si="297"/>
        <v>0</v>
      </c>
      <c r="P298" s="516">
        <f t="shared" si="297"/>
        <v>5000000</v>
      </c>
      <c r="Q298" s="18"/>
      <c r="R298" s="48"/>
    </row>
    <row r="299" spans="1:18" ht="125.25" customHeight="1" thickTop="1" thickBot="1" x14ac:dyDescent="0.25">
      <c r="A299" s="490" t="s">
        <v>1294</v>
      </c>
      <c r="B299" s="490" t="s">
        <v>504</v>
      </c>
      <c r="C299" s="490" t="s">
        <v>247</v>
      </c>
      <c r="D299" s="490" t="s">
        <v>505</v>
      </c>
      <c r="E299" s="492">
        <f>F299+I299</f>
        <v>5000000</v>
      </c>
      <c r="F299" s="120"/>
      <c r="G299" s="120"/>
      <c r="H299" s="120"/>
      <c r="I299" s="491">
        <v>5000000</v>
      </c>
      <c r="J299" s="506">
        <f>L299+O299</f>
        <v>0</v>
      </c>
      <c r="K299" s="125"/>
      <c r="L299" s="120"/>
      <c r="M299" s="120"/>
      <c r="N299" s="120"/>
      <c r="O299" s="509">
        <f>K299</f>
        <v>0</v>
      </c>
      <c r="P299" s="506">
        <f>E299+J299</f>
        <v>5000000</v>
      </c>
      <c r="Q299" s="18"/>
      <c r="R299" s="48"/>
    </row>
    <row r="300" spans="1:18" ht="47.25" hidden="1" thickTop="1" thickBot="1" x14ac:dyDescent="0.25">
      <c r="A300" s="127" t="s">
        <v>1115</v>
      </c>
      <c r="B300" s="127" t="s">
        <v>1072</v>
      </c>
      <c r="C300" s="127"/>
      <c r="D300" s="127" t="s">
        <v>1070</v>
      </c>
      <c r="E300" s="128">
        <f t="shared" ref="E300:P300" si="298">SUM(E301:E301)</f>
        <v>0</v>
      </c>
      <c r="F300" s="128">
        <f t="shared" si="298"/>
        <v>0</v>
      </c>
      <c r="G300" s="128">
        <f t="shared" si="298"/>
        <v>0</v>
      </c>
      <c r="H300" s="128">
        <f t="shared" si="298"/>
        <v>0</v>
      </c>
      <c r="I300" s="128">
        <f t="shared" si="298"/>
        <v>0</v>
      </c>
      <c r="J300" s="128">
        <f t="shared" si="298"/>
        <v>0</v>
      </c>
      <c r="K300" s="128">
        <f t="shared" si="298"/>
        <v>0</v>
      </c>
      <c r="L300" s="128">
        <f t="shared" si="298"/>
        <v>0</v>
      </c>
      <c r="M300" s="128">
        <f t="shared" si="298"/>
        <v>0</v>
      </c>
      <c r="N300" s="128">
        <f t="shared" si="298"/>
        <v>0</v>
      </c>
      <c r="O300" s="128">
        <f t="shared" si="298"/>
        <v>0</v>
      </c>
      <c r="P300" s="128">
        <f t="shared" si="298"/>
        <v>0</v>
      </c>
      <c r="Q300" s="18"/>
      <c r="R300" s="48"/>
    </row>
    <row r="301" spans="1:18" ht="48" hidden="1" thickTop="1" thickBot="1" x14ac:dyDescent="0.25">
      <c r="A301" s="119" t="s">
        <v>1116</v>
      </c>
      <c r="B301" s="119" t="s">
        <v>1099</v>
      </c>
      <c r="C301" s="119" t="s">
        <v>1074</v>
      </c>
      <c r="D301" s="119" t="s">
        <v>1100</v>
      </c>
      <c r="E301" s="118">
        <f>F301</f>
        <v>0</v>
      </c>
      <c r="F301" s="125"/>
      <c r="G301" s="125"/>
      <c r="H301" s="125"/>
      <c r="I301" s="125"/>
      <c r="J301" s="118">
        <f>L301+O301</f>
        <v>0</v>
      </c>
      <c r="K301" s="125"/>
      <c r="L301" s="125"/>
      <c r="M301" s="125"/>
      <c r="N301" s="125"/>
      <c r="O301" s="123">
        <f>K301</f>
        <v>0</v>
      </c>
      <c r="P301" s="118">
        <f>E301+J301</f>
        <v>0</v>
      </c>
      <c r="Q301" s="18"/>
      <c r="R301" s="48"/>
    </row>
    <row r="302" spans="1:18" ht="120" customHeight="1" thickTop="1" thickBot="1" x14ac:dyDescent="0.25">
      <c r="A302" s="535" t="s">
        <v>523</v>
      </c>
      <c r="B302" s="535"/>
      <c r="C302" s="535"/>
      <c r="D302" s="536" t="s">
        <v>540</v>
      </c>
      <c r="E302" s="537">
        <f>E303</f>
        <v>518250964.77999997</v>
      </c>
      <c r="F302" s="538">
        <f t="shared" ref="F302:G302" si="299">F303</f>
        <v>517895434.77999997</v>
      </c>
      <c r="G302" s="538">
        <f t="shared" si="299"/>
        <v>10319222</v>
      </c>
      <c r="H302" s="538">
        <f>H303</f>
        <v>365723</v>
      </c>
      <c r="I302" s="538">
        <f t="shared" ref="I302" si="300">I303</f>
        <v>355530</v>
      </c>
      <c r="J302" s="537">
        <f>J303</f>
        <v>15459619.199999999</v>
      </c>
      <c r="K302" s="538">
        <f>K303</f>
        <v>15459619.199999999</v>
      </c>
      <c r="L302" s="538">
        <f>L303</f>
        <v>0</v>
      </c>
      <c r="M302" s="538">
        <f t="shared" ref="M302" si="301">M303</f>
        <v>0</v>
      </c>
      <c r="N302" s="538">
        <f>N303</f>
        <v>0</v>
      </c>
      <c r="O302" s="537">
        <f>O303</f>
        <v>15459619.199999999</v>
      </c>
      <c r="P302" s="538">
        <f>P303</f>
        <v>533710583.97999996</v>
      </c>
      <c r="Q302" s="18"/>
      <c r="R302" s="48"/>
    </row>
    <row r="303" spans="1:18" ht="120" customHeight="1" thickTop="1" thickBot="1" x14ac:dyDescent="0.25">
      <c r="A303" s="532" t="s">
        <v>524</v>
      </c>
      <c r="B303" s="532"/>
      <c r="C303" s="532"/>
      <c r="D303" s="533" t="s">
        <v>541</v>
      </c>
      <c r="E303" s="534">
        <f>E304+E308+E317+E329+E334</f>
        <v>518250964.77999997</v>
      </c>
      <c r="F303" s="534">
        <f>F304+F308+F317+F329+F334</f>
        <v>517895434.77999997</v>
      </c>
      <c r="G303" s="534">
        <f>G304+G308+G317+G329+G334</f>
        <v>10319222</v>
      </c>
      <c r="H303" s="534">
        <f>H304+H308+H317+H329+H334</f>
        <v>365723</v>
      </c>
      <c r="I303" s="534">
        <f>I304+I308+I317+I329+I334</f>
        <v>355530</v>
      </c>
      <c r="J303" s="534">
        <f t="shared" ref="J303:J326" si="302">L303+O303</f>
        <v>15459619.199999999</v>
      </c>
      <c r="K303" s="534">
        <f>K304+K308+K317+K329+K334</f>
        <v>15459619.199999999</v>
      </c>
      <c r="L303" s="534">
        <f>L304+L308+L317+L329+L334</f>
        <v>0</v>
      </c>
      <c r="M303" s="534">
        <f>M304+M308+M317+M329+M334</f>
        <v>0</v>
      </c>
      <c r="N303" s="534">
        <f>N304+N308+N317+N329+N334</f>
        <v>0</v>
      </c>
      <c r="O303" s="534">
        <f>O304+O308+O317+O329+O334</f>
        <v>15459619.199999999</v>
      </c>
      <c r="P303" s="534">
        <f>E303+J303</f>
        <v>533710583.97999996</v>
      </c>
      <c r="Q303" s="568" t="b">
        <f>P303=P305+P307+P310+P311+P313+P314+P315+P316+P321+P324+P331+P332+P336</f>
        <v>1</v>
      </c>
      <c r="R303" s="43"/>
    </row>
    <row r="304" spans="1:18" ht="113.25" customHeight="1" thickTop="1" thickBot="1" x14ac:dyDescent="0.25">
      <c r="A304" s="242" t="s">
        <v>767</v>
      </c>
      <c r="B304" s="242" t="s">
        <v>658</v>
      </c>
      <c r="C304" s="242"/>
      <c r="D304" s="242" t="s">
        <v>659</v>
      </c>
      <c r="E304" s="522">
        <f>SUM(E305:E307)</f>
        <v>10797772</v>
      </c>
      <c r="F304" s="522">
        <f t="shared" ref="F304:P304" si="303">SUM(F305:F307)</f>
        <v>10797772</v>
      </c>
      <c r="G304" s="522">
        <f t="shared" si="303"/>
        <v>8289570</v>
      </c>
      <c r="H304" s="522">
        <f t="shared" si="303"/>
        <v>304058</v>
      </c>
      <c r="I304" s="522">
        <f t="shared" si="303"/>
        <v>0</v>
      </c>
      <c r="J304" s="522">
        <f t="shared" si="303"/>
        <v>0</v>
      </c>
      <c r="K304" s="522">
        <f t="shared" si="303"/>
        <v>0</v>
      </c>
      <c r="L304" s="522">
        <f t="shared" si="303"/>
        <v>0</v>
      </c>
      <c r="M304" s="522">
        <f t="shared" si="303"/>
        <v>0</v>
      </c>
      <c r="N304" s="522">
        <f t="shared" si="303"/>
        <v>0</v>
      </c>
      <c r="O304" s="522">
        <f t="shared" si="303"/>
        <v>0</v>
      </c>
      <c r="P304" s="522">
        <f t="shared" si="303"/>
        <v>10797772</v>
      </c>
      <c r="Q304" s="45"/>
      <c r="R304" s="43"/>
    </row>
    <row r="305" spans="1:18" ht="168" customHeight="1" thickTop="1" thickBot="1" x14ac:dyDescent="0.25">
      <c r="A305" s="94" t="s">
        <v>525</v>
      </c>
      <c r="B305" s="94" t="s">
        <v>233</v>
      </c>
      <c r="C305" s="94" t="s">
        <v>231</v>
      </c>
      <c r="D305" s="94" t="s">
        <v>1554</v>
      </c>
      <c r="E305" s="542">
        <f>F305+I305</f>
        <v>10767154</v>
      </c>
      <c r="F305" s="541">
        <v>10767154</v>
      </c>
      <c r="G305" s="541">
        <v>8289570</v>
      </c>
      <c r="H305" s="541">
        <v>304058</v>
      </c>
      <c r="I305" s="541"/>
      <c r="J305" s="522">
        <f t="shared" si="302"/>
        <v>0</v>
      </c>
      <c r="K305" s="541"/>
      <c r="L305" s="543"/>
      <c r="M305" s="543"/>
      <c r="N305" s="543"/>
      <c r="O305" s="523">
        <f t="shared" ref="O305:O324" si="304">K305</f>
        <v>0</v>
      </c>
      <c r="P305" s="522">
        <f t="shared" ref="P305:P311" si="305">+J305+E305</f>
        <v>10767154</v>
      </c>
      <c r="Q305" s="18"/>
      <c r="R305" s="43"/>
    </row>
    <row r="306" spans="1:18" ht="93" hidden="1" thickTop="1" thickBot="1" x14ac:dyDescent="0.25">
      <c r="A306" s="119" t="s">
        <v>607</v>
      </c>
      <c r="B306" s="119" t="s">
        <v>355</v>
      </c>
      <c r="C306" s="119" t="s">
        <v>603</v>
      </c>
      <c r="D306" s="119" t="s">
        <v>604</v>
      </c>
      <c r="E306" s="143">
        <f>F306</f>
        <v>0</v>
      </c>
      <c r="F306" s="120"/>
      <c r="G306" s="120"/>
      <c r="H306" s="120"/>
      <c r="I306" s="120"/>
      <c r="J306" s="118">
        <f t="shared" ref="J306" si="306">L306+O306</f>
        <v>0</v>
      </c>
      <c r="K306" s="120"/>
      <c r="L306" s="121"/>
      <c r="M306" s="121"/>
      <c r="N306" s="121"/>
      <c r="O306" s="123">
        <f t="shared" ref="O306" si="307">K306</f>
        <v>0</v>
      </c>
      <c r="P306" s="118">
        <f t="shared" ref="P306" si="308">+J306+E306</f>
        <v>0</v>
      </c>
      <c r="Q306" s="18"/>
      <c r="R306" s="43"/>
    </row>
    <row r="307" spans="1:18" ht="108" customHeight="1" thickTop="1" thickBot="1" x14ac:dyDescent="0.25">
      <c r="A307" s="94" t="s">
        <v>526</v>
      </c>
      <c r="B307" s="94" t="s">
        <v>43</v>
      </c>
      <c r="C307" s="94" t="s">
        <v>42</v>
      </c>
      <c r="D307" s="94" t="s">
        <v>244</v>
      </c>
      <c r="E307" s="492">
        <f>F307+I307</f>
        <v>30618</v>
      </c>
      <c r="F307" s="541">
        <v>30618</v>
      </c>
      <c r="G307" s="120"/>
      <c r="H307" s="120"/>
      <c r="I307" s="120"/>
      <c r="J307" s="522">
        <f t="shared" si="302"/>
        <v>0</v>
      </c>
      <c r="K307" s="541"/>
      <c r="L307" s="543"/>
      <c r="M307" s="543"/>
      <c r="N307" s="543"/>
      <c r="O307" s="523">
        <f t="shared" si="304"/>
        <v>0</v>
      </c>
      <c r="P307" s="522">
        <f t="shared" si="305"/>
        <v>30618</v>
      </c>
      <c r="Q307" s="18"/>
      <c r="R307" s="48"/>
    </row>
    <row r="308" spans="1:18" ht="113.25" customHeight="1" thickTop="1" thickBot="1" x14ac:dyDescent="0.25">
      <c r="A308" s="242" t="s">
        <v>768</v>
      </c>
      <c r="B308" s="242" t="s">
        <v>713</v>
      </c>
      <c r="C308" s="242"/>
      <c r="D308" s="564" t="s">
        <v>714</v>
      </c>
      <c r="E308" s="542">
        <f t="shared" ref="E308:P308" si="309">SUM(E309:E316)-E309</f>
        <v>503446316.77999997</v>
      </c>
      <c r="F308" s="542">
        <f t="shared" si="309"/>
        <v>503446316.77999997</v>
      </c>
      <c r="G308" s="542">
        <f t="shared" si="309"/>
        <v>0</v>
      </c>
      <c r="H308" s="542">
        <f t="shared" si="309"/>
        <v>1000</v>
      </c>
      <c r="I308" s="542">
        <f t="shared" si="309"/>
        <v>0</v>
      </c>
      <c r="J308" s="542">
        <f t="shared" si="309"/>
        <v>1427391.2</v>
      </c>
      <c r="K308" s="542">
        <f t="shared" si="309"/>
        <v>1427391.2</v>
      </c>
      <c r="L308" s="542">
        <f t="shared" si="309"/>
        <v>0</v>
      </c>
      <c r="M308" s="542">
        <f t="shared" si="309"/>
        <v>0</v>
      </c>
      <c r="N308" s="542">
        <f t="shared" si="309"/>
        <v>0</v>
      </c>
      <c r="O308" s="542">
        <f t="shared" si="309"/>
        <v>1427391.2</v>
      </c>
      <c r="P308" s="542">
        <f t="shared" si="309"/>
        <v>504873707.98000002</v>
      </c>
      <c r="Q308" s="18"/>
      <c r="R308" s="48"/>
    </row>
    <row r="309" spans="1:18" ht="171" customHeight="1" thickTop="1" thickBot="1" x14ac:dyDescent="0.25">
      <c r="A309" s="539" t="s">
        <v>769</v>
      </c>
      <c r="B309" s="539" t="s">
        <v>761</v>
      </c>
      <c r="C309" s="539"/>
      <c r="D309" s="539" t="s">
        <v>1541</v>
      </c>
      <c r="E309" s="565">
        <f>SUM(E310:E312)</f>
        <v>80600240</v>
      </c>
      <c r="F309" s="565">
        <f t="shared" ref="F309:P309" si="310">SUM(F310:F312)</f>
        <v>80600240</v>
      </c>
      <c r="G309" s="565">
        <f t="shared" si="310"/>
        <v>0</v>
      </c>
      <c r="H309" s="565">
        <f t="shared" si="310"/>
        <v>0</v>
      </c>
      <c r="I309" s="565">
        <f t="shared" si="310"/>
        <v>0</v>
      </c>
      <c r="J309" s="565">
        <f t="shared" si="310"/>
        <v>0</v>
      </c>
      <c r="K309" s="565">
        <f t="shared" si="310"/>
        <v>0</v>
      </c>
      <c r="L309" s="565">
        <f t="shared" si="310"/>
        <v>0</v>
      </c>
      <c r="M309" s="565">
        <f t="shared" si="310"/>
        <v>0</v>
      </c>
      <c r="N309" s="565">
        <f t="shared" si="310"/>
        <v>0</v>
      </c>
      <c r="O309" s="565">
        <f t="shared" si="310"/>
        <v>0</v>
      </c>
      <c r="P309" s="565">
        <f t="shared" si="310"/>
        <v>80600240</v>
      </c>
      <c r="Q309" s="18"/>
      <c r="R309" s="48"/>
    </row>
    <row r="310" spans="1:18" ht="162" customHeight="1" thickTop="1" thickBot="1" x14ac:dyDescent="0.25">
      <c r="A310" s="94" t="s">
        <v>527</v>
      </c>
      <c r="B310" s="94" t="s">
        <v>369</v>
      </c>
      <c r="C310" s="94" t="s">
        <v>279</v>
      </c>
      <c r="D310" s="94" t="s">
        <v>370</v>
      </c>
      <c r="E310" s="492">
        <f>F310+I310</f>
        <v>50000000</v>
      </c>
      <c r="F310" s="541">
        <v>50000000</v>
      </c>
      <c r="G310" s="120"/>
      <c r="H310" s="120"/>
      <c r="I310" s="120"/>
      <c r="J310" s="522">
        <f t="shared" si="302"/>
        <v>0</v>
      </c>
      <c r="K310" s="541"/>
      <c r="L310" s="543"/>
      <c r="M310" s="543"/>
      <c r="N310" s="543"/>
      <c r="O310" s="523">
        <f t="shared" si="304"/>
        <v>0</v>
      </c>
      <c r="P310" s="522">
        <f t="shared" si="305"/>
        <v>50000000</v>
      </c>
      <c r="Q310" s="18"/>
      <c r="R310" s="48"/>
    </row>
    <row r="311" spans="1:18" ht="123" customHeight="1" thickTop="1" thickBot="1" x14ac:dyDescent="0.25">
      <c r="A311" s="94" t="s">
        <v>528</v>
      </c>
      <c r="B311" s="94" t="s">
        <v>282</v>
      </c>
      <c r="C311" s="94" t="s">
        <v>279</v>
      </c>
      <c r="D311" s="94" t="s">
        <v>283</v>
      </c>
      <c r="E311" s="492">
        <f>F311+I311</f>
        <v>30600240</v>
      </c>
      <c r="F311" s="541">
        <v>30600240</v>
      </c>
      <c r="G311" s="120"/>
      <c r="H311" s="120"/>
      <c r="I311" s="120"/>
      <c r="J311" s="522">
        <f t="shared" si="302"/>
        <v>0</v>
      </c>
      <c r="K311" s="541"/>
      <c r="L311" s="543"/>
      <c r="M311" s="543"/>
      <c r="N311" s="543"/>
      <c r="O311" s="523">
        <f t="shared" si="304"/>
        <v>0</v>
      </c>
      <c r="P311" s="522">
        <f t="shared" si="305"/>
        <v>30600240</v>
      </c>
      <c r="Q311" s="18"/>
      <c r="R311" s="48"/>
    </row>
    <row r="312" spans="1:18" ht="93" hidden="1" thickTop="1" thickBot="1" x14ac:dyDescent="0.25">
      <c r="A312" s="119" t="s">
        <v>1229</v>
      </c>
      <c r="B312" s="119" t="s">
        <v>1230</v>
      </c>
      <c r="C312" s="119" t="s">
        <v>279</v>
      </c>
      <c r="D312" s="119" t="s">
        <v>1231</v>
      </c>
      <c r="E312" s="143">
        <f t="shared" ref="E312" si="311">F312</f>
        <v>0</v>
      </c>
      <c r="F312" s="120">
        <v>0</v>
      </c>
      <c r="G312" s="120"/>
      <c r="H312" s="120"/>
      <c r="I312" s="120"/>
      <c r="J312" s="118">
        <f t="shared" ref="J312" si="312">L312+O312</f>
        <v>0</v>
      </c>
      <c r="K312" s="120"/>
      <c r="L312" s="121"/>
      <c r="M312" s="121"/>
      <c r="N312" s="121"/>
      <c r="O312" s="123">
        <f t="shared" ref="O312" si="313">K312</f>
        <v>0</v>
      </c>
      <c r="P312" s="118">
        <f t="shared" ref="P312" si="314">+J312+E312</f>
        <v>0</v>
      </c>
      <c r="Q312" s="18"/>
      <c r="R312" s="48"/>
    </row>
    <row r="313" spans="1:18" ht="171" customHeight="1" thickTop="1" thickBot="1" x14ac:dyDescent="0.25">
      <c r="A313" s="94" t="s">
        <v>529</v>
      </c>
      <c r="B313" s="94" t="s">
        <v>293</v>
      </c>
      <c r="C313" s="94" t="s">
        <v>279</v>
      </c>
      <c r="D313" s="94" t="s">
        <v>294</v>
      </c>
      <c r="E313" s="492">
        <f>F313+I313</f>
        <v>68765426.620000005</v>
      </c>
      <c r="F313" s="541">
        <v>68765426.620000005</v>
      </c>
      <c r="G313" s="120"/>
      <c r="H313" s="120"/>
      <c r="I313" s="120"/>
      <c r="J313" s="522">
        <f t="shared" si="302"/>
        <v>0</v>
      </c>
      <c r="K313" s="525"/>
      <c r="L313" s="541"/>
      <c r="M313" s="541"/>
      <c r="N313" s="541"/>
      <c r="O313" s="523">
        <f t="shared" si="304"/>
        <v>0</v>
      </c>
      <c r="P313" s="522">
        <f t="shared" ref="P313:P315" si="315">E313+J313</f>
        <v>68765426.620000005</v>
      </c>
      <c r="Q313" s="18"/>
      <c r="R313" s="48"/>
    </row>
    <row r="314" spans="1:18" ht="104.25" customHeight="1" thickTop="1" thickBot="1" x14ac:dyDescent="0.25">
      <c r="A314" s="94" t="s">
        <v>530</v>
      </c>
      <c r="B314" s="94" t="s">
        <v>285</v>
      </c>
      <c r="C314" s="94" t="s">
        <v>279</v>
      </c>
      <c r="D314" s="94" t="s">
        <v>1563</v>
      </c>
      <c r="E314" s="492">
        <f>F314+I314</f>
        <v>350671588.98000002</v>
      </c>
      <c r="F314" s="541">
        <v>350671588.98000002</v>
      </c>
      <c r="G314" s="120"/>
      <c r="H314" s="541">
        <v>1000</v>
      </c>
      <c r="I314" s="120"/>
      <c r="J314" s="522">
        <f t="shared" si="302"/>
        <v>0</v>
      </c>
      <c r="K314" s="525"/>
      <c r="L314" s="541"/>
      <c r="M314" s="541"/>
      <c r="N314" s="541"/>
      <c r="O314" s="523">
        <f t="shared" si="304"/>
        <v>0</v>
      </c>
      <c r="P314" s="522">
        <f t="shared" si="315"/>
        <v>350671588.98000002</v>
      </c>
      <c r="Q314" s="18"/>
      <c r="R314" s="43"/>
    </row>
    <row r="315" spans="1:18" ht="98.25" customHeight="1" thickTop="1" thickBot="1" x14ac:dyDescent="0.25">
      <c r="A315" s="94" t="s">
        <v>1043</v>
      </c>
      <c r="B315" s="94" t="s">
        <v>1044</v>
      </c>
      <c r="C315" s="94" t="s">
        <v>1045</v>
      </c>
      <c r="D315" s="94" t="s">
        <v>1042</v>
      </c>
      <c r="E315" s="492">
        <f>F315+I315</f>
        <v>3409061.18</v>
      </c>
      <c r="F315" s="492">
        <v>3409061.18</v>
      </c>
      <c r="G315" s="120"/>
      <c r="H315" s="120"/>
      <c r="I315" s="120"/>
      <c r="J315" s="522">
        <f t="shared" si="302"/>
        <v>0</v>
      </c>
      <c r="K315" s="525"/>
      <c r="L315" s="541"/>
      <c r="M315" s="541"/>
      <c r="N315" s="541"/>
      <c r="O315" s="523">
        <f t="shared" si="304"/>
        <v>0</v>
      </c>
      <c r="P315" s="522">
        <f t="shared" si="315"/>
        <v>3409061.18</v>
      </c>
      <c r="Q315" s="18"/>
      <c r="R315" s="43"/>
    </row>
    <row r="316" spans="1:18" ht="186" customHeight="1" thickTop="1" thickBot="1" x14ac:dyDescent="0.25">
      <c r="A316" s="94" t="s">
        <v>1385</v>
      </c>
      <c r="B316" s="94" t="s">
        <v>1384</v>
      </c>
      <c r="C316" s="94" t="s">
        <v>1045</v>
      </c>
      <c r="D316" s="94" t="s">
        <v>1571</v>
      </c>
      <c r="E316" s="143"/>
      <c r="F316" s="120"/>
      <c r="G316" s="120"/>
      <c r="H316" s="120"/>
      <c r="I316" s="120"/>
      <c r="J316" s="522">
        <f t="shared" ref="J316" si="316">L316+O316</f>
        <v>1427391.2</v>
      </c>
      <c r="K316" s="525">
        <f>1000000+427391.2</f>
        <v>1427391.2</v>
      </c>
      <c r="L316" s="120"/>
      <c r="M316" s="120"/>
      <c r="N316" s="120"/>
      <c r="O316" s="523">
        <f t="shared" ref="O316" si="317">K316</f>
        <v>1427391.2</v>
      </c>
      <c r="P316" s="522">
        <f t="shared" ref="P316" si="318">E316+J316</f>
        <v>1427391.2</v>
      </c>
      <c r="Q316" s="18"/>
      <c r="R316" s="43"/>
    </row>
    <row r="317" spans="1:18" ht="103.5" customHeight="1" thickTop="1" thickBot="1" x14ac:dyDescent="0.25">
      <c r="A317" s="504" t="s">
        <v>770</v>
      </c>
      <c r="B317" s="504" t="s">
        <v>719</v>
      </c>
      <c r="C317" s="504"/>
      <c r="D317" s="504" t="s">
        <v>763</v>
      </c>
      <c r="E317" s="492">
        <f>E318+E322</f>
        <v>0</v>
      </c>
      <c r="F317" s="492">
        <f t="shared" ref="F317:P317" si="319">F318+F322</f>
        <v>0</v>
      </c>
      <c r="G317" s="492">
        <f t="shared" si="319"/>
        <v>0</v>
      </c>
      <c r="H317" s="492">
        <f t="shared" si="319"/>
        <v>0</v>
      </c>
      <c r="I317" s="492">
        <f t="shared" si="319"/>
        <v>0</v>
      </c>
      <c r="J317" s="492">
        <f t="shared" si="319"/>
        <v>14032228</v>
      </c>
      <c r="K317" s="492">
        <f t="shared" si="319"/>
        <v>14032228</v>
      </c>
      <c r="L317" s="492">
        <f t="shared" si="319"/>
        <v>0</v>
      </c>
      <c r="M317" s="492">
        <f t="shared" si="319"/>
        <v>0</v>
      </c>
      <c r="N317" s="492">
        <f t="shared" si="319"/>
        <v>0</v>
      </c>
      <c r="O317" s="492">
        <f t="shared" si="319"/>
        <v>14032228</v>
      </c>
      <c r="P317" s="492">
        <f t="shared" si="319"/>
        <v>14032228</v>
      </c>
      <c r="Q317" s="18"/>
      <c r="R317" s="48"/>
    </row>
    <row r="318" spans="1:18" ht="106.5" customHeight="1" thickTop="1" thickBot="1" x14ac:dyDescent="0.25">
      <c r="A318" s="517" t="s">
        <v>773</v>
      </c>
      <c r="B318" s="517" t="s">
        <v>774</v>
      </c>
      <c r="C318" s="517"/>
      <c r="D318" s="517" t="s">
        <v>775</v>
      </c>
      <c r="E318" s="552">
        <f>E319+E321</f>
        <v>0</v>
      </c>
      <c r="F318" s="552">
        <f t="shared" ref="F318:P318" si="320">F319+F321</f>
        <v>0</v>
      </c>
      <c r="G318" s="552">
        <f t="shared" si="320"/>
        <v>0</v>
      </c>
      <c r="H318" s="552">
        <f t="shared" si="320"/>
        <v>0</v>
      </c>
      <c r="I318" s="552">
        <f t="shared" si="320"/>
        <v>0</v>
      </c>
      <c r="J318" s="552">
        <f t="shared" si="320"/>
        <v>10000000</v>
      </c>
      <c r="K318" s="552">
        <f t="shared" si="320"/>
        <v>10000000</v>
      </c>
      <c r="L318" s="552">
        <f t="shared" si="320"/>
        <v>0</v>
      </c>
      <c r="M318" s="552">
        <f t="shared" si="320"/>
        <v>0</v>
      </c>
      <c r="N318" s="552">
        <f t="shared" si="320"/>
        <v>0</v>
      </c>
      <c r="O318" s="552">
        <f t="shared" si="320"/>
        <v>10000000</v>
      </c>
      <c r="P318" s="552">
        <f t="shared" si="320"/>
        <v>10000000</v>
      </c>
      <c r="Q318" s="18"/>
      <c r="R318" s="48"/>
    </row>
    <row r="319" spans="1:18" ht="93" hidden="1" thickTop="1" thickBot="1" x14ac:dyDescent="0.25">
      <c r="A319" s="119" t="s">
        <v>903</v>
      </c>
      <c r="B319" s="131" t="s">
        <v>904</v>
      </c>
      <c r="C319" s="127"/>
      <c r="D319" s="131" t="s">
        <v>905</v>
      </c>
      <c r="E319" s="148">
        <f t="shared" ref="E319:P319" si="321">E320</f>
        <v>0</v>
      </c>
      <c r="F319" s="148">
        <f t="shared" si="321"/>
        <v>0</v>
      </c>
      <c r="G319" s="148">
        <f t="shared" si="321"/>
        <v>0</v>
      </c>
      <c r="H319" s="148">
        <f t="shared" si="321"/>
        <v>0</v>
      </c>
      <c r="I319" s="148">
        <f t="shared" si="321"/>
        <v>0</v>
      </c>
      <c r="J319" s="148">
        <f t="shared" si="321"/>
        <v>0</v>
      </c>
      <c r="K319" s="148">
        <f t="shared" si="321"/>
        <v>0</v>
      </c>
      <c r="L319" s="148">
        <f t="shared" si="321"/>
        <v>0</v>
      </c>
      <c r="M319" s="148">
        <f t="shared" si="321"/>
        <v>0</v>
      </c>
      <c r="N319" s="148">
        <f t="shared" si="321"/>
        <v>0</v>
      </c>
      <c r="O319" s="148">
        <f t="shared" si="321"/>
        <v>0</v>
      </c>
      <c r="P319" s="148">
        <f t="shared" si="321"/>
        <v>0</v>
      </c>
      <c r="Q319" s="18"/>
      <c r="R319" s="48"/>
    </row>
    <row r="320" spans="1:18" ht="93" hidden="1" thickTop="1" thickBot="1" x14ac:dyDescent="0.25">
      <c r="A320" s="119" t="s">
        <v>531</v>
      </c>
      <c r="B320" s="119" t="s">
        <v>289</v>
      </c>
      <c r="C320" s="119" t="s">
        <v>291</v>
      </c>
      <c r="D320" s="119" t="s">
        <v>290</v>
      </c>
      <c r="E320" s="143"/>
      <c r="F320" s="120">
        <f>(18000000-3000000-3000000)-12000000</f>
        <v>0</v>
      </c>
      <c r="G320" s="120"/>
      <c r="H320" s="120"/>
      <c r="I320" s="120"/>
      <c r="J320" s="118">
        <f t="shared" si="302"/>
        <v>0</v>
      </c>
      <c r="K320" s="120"/>
      <c r="L320" s="121"/>
      <c r="M320" s="121"/>
      <c r="N320" s="121"/>
      <c r="O320" s="123">
        <f>K320</f>
        <v>0</v>
      </c>
      <c r="P320" s="118">
        <f>+J320+E320</f>
        <v>0</v>
      </c>
      <c r="Q320" s="18"/>
      <c r="R320" s="43"/>
    </row>
    <row r="321" spans="1:18" ht="179.25" customHeight="1" thickTop="1" thickBot="1" x14ac:dyDescent="0.25">
      <c r="A321" s="490" t="s">
        <v>1575</v>
      </c>
      <c r="B321" s="490" t="s">
        <v>1576</v>
      </c>
      <c r="C321" s="490" t="s">
        <v>291</v>
      </c>
      <c r="D321" s="490" t="s">
        <v>1574</v>
      </c>
      <c r="E321" s="143"/>
      <c r="F321" s="120"/>
      <c r="G321" s="120"/>
      <c r="H321" s="120"/>
      <c r="I321" s="120"/>
      <c r="J321" s="506">
        <f t="shared" ref="J321" si="322">L321+O321</f>
        <v>10000000</v>
      </c>
      <c r="K321" s="491">
        <f>10427391.2-427391.2</f>
        <v>10000000</v>
      </c>
      <c r="L321" s="121"/>
      <c r="M321" s="121"/>
      <c r="N321" s="121"/>
      <c r="O321" s="509">
        <f>K321</f>
        <v>10000000</v>
      </c>
      <c r="P321" s="506">
        <f>+J321+E321</f>
        <v>10000000</v>
      </c>
      <c r="Q321" s="18"/>
      <c r="R321" s="43"/>
    </row>
    <row r="322" spans="1:18" ht="84.75" customHeight="1" thickTop="1" thickBot="1" x14ac:dyDescent="0.25">
      <c r="A322" s="517" t="s">
        <v>776</v>
      </c>
      <c r="B322" s="517" t="s">
        <v>665</v>
      </c>
      <c r="C322" s="517"/>
      <c r="D322" s="517" t="s">
        <v>663</v>
      </c>
      <c r="E322" s="552">
        <f>SUM(E323:E328)-E325</f>
        <v>0</v>
      </c>
      <c r="F322" s="552">
        <f t="shared" ref="F322:P322" si="323">SUM(F323:F328)-F325</f>
        <v>0</v>
      </c>
      <c r="G322" s="552">
        <f t="shared" si="323"/>
        <v>0</v>
      </c>
      <c r="H322" s="552">
        <f t="shared" si="323"/>
        <v>0</v>
      </c>
      <c r="I322" s="552">
        <f t="shared" si="323"/>
        <v>0</v>
      </c>
      <c r="J322" s="552">
        <f t="shared" si="323"/>
        <v>4032228</v>
      </c>
      <c r="K322" s="552">
        <f t="shared" si="323"/>
        <v>4032228</v>
      </c>
      <c r="L322" s="552">
        <f t="shared" si="323"/>
        <v>0</v>
      </c>
      <c r="M322" s="552">
        <f t="shared" si="323"/>
        <v>0</v>
      </c>
      <c r="N322" s="552">
        <f t="shared" si="323"/>
        <v>0</v>
      </c>
      <c r="O322" s="552">
        <f t="shared" si="323"/>
        <v>4032228</v>
      </c>
      <c r="P322" s="552">
        <f t="shared" si="323"/>
        <v>4032228</v>
      </c>
      <c r="Q322" s="18"/>
      <c r="R322" s="43"/>
    </row>
    <row r="323" spans="1:18" ht="48" hidden="1" thickTop="1" thickBot="1" x14ac:dyDescent="0.25">
      <c r="A323" s="119" t="s">
        <v>532</v>
      </c>
      <c r="B323" s="119" t="s">
        <v>209</v>
      </c>
      <c r="C323" s="119" t="s">
        <v>210</v>
      </c>
      <c r="D323" s="119" t="s">
        <v>41</v>
      </c>
      <c r="E323" s="143">
        <f t="shared" ref="E323" si="324">F323</f>
        <v>0</v>
      </c>
      <c r="F323" s="120"/>
      <c r="G323" s="120"/>
      <c r="H323" s="120"/>
      <c r="I323" s="120"/>
      <c r="J323" s="118">
        <f t="shared" si="302"/>
        <v>0</v>
      </c>
      <c r="K323" s="125"/>
      <c r="L323" s="120"/>
      <c r="M323" s="120"/>
      <c r="N323" s="120"/>
      <c r="O323" s="123">
        <f t="shared" si="304"/>
        <v>0</v>
      </c>
      <c r="P323" s="118">
        <f>E323+J323</f>
        <v>0</v>
      </c>
      <c r="Q323" s="18"/>
      <c r="R323" s="43"/>
    </row>
    <row r="324" spans="1:18" ht="107.25" customHeight="1" thickTop="1" thickBot="1" x14ac:dyDescent="0.25">
      <c r="A324" s="490" t="s">
        <v>533</v>
      </c>
      <c r="B324" s="490" t="s">
        <v>194</v>
      </c>
      <c r="C324" s="490" t="s">
        <v>167</v>
      </c>
      <c r="D324" s="490" t="s">
        <v>1065</v>
      </c>
      <c r="E324" s="143"/>
      <c r="F324" s="120"/>
      <c r="G324" s="120"/>
      <c r="H324" s="120"/>
      <c r="I324" s="120"/>
      <c r="J324" s="506">
        <f t="shared" si="302"/>
        <v>4032228</v>
      </c>
      <c r="K324" s="508">
        <v>4032228</v>
      </c>
      <c r="L324" s="491"/>
      <c r="M324" s="491"/>
      <c r="N324" s="491"/>
      <c r="O324" s="509">
        <f t="shared" si="304"/>
        <v>4032228</v>
      </c>
      <c r="P324" s="506">
        <f>E324+J324</f>
        <v>4032228</v>
      </c>
      <c r="Q324" s="18"/>
      <c r="R324" s="43"/>
    </row>
    <row r="325" spans="1:18" ht="48" hidden="1" thickTop="1" thickBot="1" x14ac:dyDescent="0.25">
      <c r="A325" s="131" t="s">
        <v>777</v>
      </c>
      <c r="B325" s="131" t="s">
        <v>668</v>
      </c>
      <c r="C325" s="131"/>
      <c r="D325" s="131" t="s">
        <v>766</v>
      </c>
      <c r="E325" s="148">
        <f t="shared" ref="E325:P325" si="325">E326+E328</f>
        <v>0</v>
      </c>
      <c r="F325" s="148">
        <f t="shared" si="325"/>
        <v>0</v>
      </c>
      <c r="G325" s="148">
        <f t="shared" si="325"/>
        <v>0</v>
      </c>
      <c r="H325" s="148">
        <f t="shared" si="325"/>
        <v>0</v>
      </c>
      <c r="I325" s="148">
        <f t="shared" si="325"/>
        <v>0</v>
      </c>
      <c r="J325" s="148">
        <f t="shared" si="325"/>
        <v>0</v>
      </c>
      <c r="K325" s="148">
        <f t="shared" si="325"/>
        <v>0</v>
      </c>
      <c r="L325" s="148">
        <f t="shared" si="325"/>
        <v>0</v>
      </c>
      <c r="M325" s="148">
        <f t="shared" si="325"/>
        <v>0</v>
      </c>
      <c r="N325" s="148">
        <f t="shared" si="325"/>
        <v>0</v>
      </c>
      <c r="O325" s="148">
        <f t="shared" si="325"/>
        <v>0</v>
      </c>
      <c r="P325" s="148">
        <f t="shared" si="325"/>
        <v>0</v>
      </c>
      <c r="Q325" s="18"/>
      <c r="R325" s="48"/>
    </row>
    <row r="326" spans="1:18" ht="184.5" hidden="1" thickTop="1" thickBot="1" x14ac:dyDescent="0.7">
      <c r="A326" s="741" t="s">
        <v>534</v>
      </c>
      <c r="B326" s="741" t="s">
        <v>332</v>
      </c>
      <c r="C326" s="741" t="s">
        <v>167</v>
      </c>
      <c r="D326" s="280" t="s">
        <v>432</v>
      </c>
      <c r="E326" s="737"/>
      <c r="F326" s="727"/>
      <c r="G326" s="727"/>
      <c r="H326" s="727"/>
      <c r="I326" s="727"/>
      <c r="J326" s="737">
        <f t="shared" si="302"/>
        <v>0</v>
      </c>
      <c r="K326" s="727"/>
      <c r="L326" s="727"/>
      <c r="M326" s="727"/>
      <c r="N326" s="727"/>
      <c r="O326" s="748"/>
      <c r="P326" s="749">
        <f>E326+J326</f>
        <v>0</v>
      </c>
      <c r="Q326" s="18"/>
      <c r="R326" s="48"/>
    </row>
    <row r="327" spans="1:18" ht="93" hidden="1" thickTop="1" thickBot="1" x14ac:dyDescent="0.25">
      <c r="A327" s="741"/>
      <c r="B327" s="741"/>
      <c r="C327" s="741"/>
      <c r="D327" s="146" t="s">
        <v>433</v>
      </c>
      <c r="E327" s="737"/>
      <c r="F327" s="727"/>
      <c r="G327" s="727"/>
      <c r="H327" s="727"/>
      <c r="I327" s="727"/>
      <c r="J327" s="737"/>
      <c r="K327" s="727"/>
      <c r="L327" s="727"/>
      <c r="M327" s="727"/>
      <c r="N327" s="727"/>
      <c r="O327" s="748"/>
      <c r="P327" s="749"/>
      <c r="Q327" s="18"/>
      <c r="R327" s="48"/>
    </row>
    <row r="328" spans="1:18" ht="48" hidden="1" thickTop="1" thickBot="1" x14ac:dyDescent="0.25">
      <c r="A328" s="119" t="s">
        <v>1069</v>
      </c>
      <c r="B328" s="119" t="s">
        <v>253</v>
      </c>
      <c r="C328" s="119" t="s">
        <v>167</v>
      </c>
      <c r="D328" s="119" t="s">
        <v>251</v>
      </c>
      <c r="E328" s="143">
        <f t="shared" ref="E328" si="326">F328</f>
        <v>0</v>
      </c>
      <c r="F328" s="120"/>
      <c r="G328" s="120"/>
      <c r="H328" s="120"/>
      <c r="I328" s="120"/>
      <c r="J328" s="118">
        <f t="shared" ref="J328" si="327">L328+O328</f>
        <v>0</v>
      </c>
      <c r="K328" s="125"/>
      <c r="L328" s="120"/>
      <c r="M328" s="120"/>
      <c r="N328" s="120"/>
      <c r="O328" s="123">
        <f t="shared" ref="O328" si="328">K328</f>
        <v>0</v>
      </c>
      <c r="P328" s="118">
        <f>E328+J328</f>
        <v>0</v>
      </c>
      <c r="Q328" s="18"/>
      <c r="R328" s="48"/>
    </row>
    <row r="329" spans="1:18" ht="94.5" customHeight="1" thickTop="1" thickBot="1" x14ac:dyDescent="0.25">
      <c r="A329" s="242" t="s">
        <v>778</v>
      </c>
      <c r="B329" s="242" t="s">
        <v>670</v>
      </c>
      <c r="C329" s="242"/>
      <c r="D329" s="566" t="s">
        <v>671</v>
      </c>
      <c r="E329" s="522">
        <f>E330</f>
        <v>3506876</v>
      </c>
      <c r="F329" s="522">
        <f t="shared" ref="F329:P329" si="329">F330</f>
        <v>3151346</v>
      </c>
      <c r="G329" s="522">
        <f t="shared" si="329"/>
        <v>2029652</v>
      </c>
      <c r="H329" s="522">
        <f t="shared" si="329"/>
        <v>60665</v>
      </c>
      <c r="I329" s="522">
        <f t="shared" si="329"/>
        <v>355530</v>
      </c>
      <c r="J329" s="522">
        <f t="shared" si="329"/>
        <v>0</v>
      </c>
      <c r="K329" s="522">
        <f t="shared" si="329"/>
        <v>0</v>
      </c>
      <c r="L329" s="522">
        <f t="shared" si="329"/>
        <v>0</v>
      </c>
      <c r="M329" s="522">
        <f t="shared" si="329"/>
        <v>0</v>
      </c>
      <c r="N329" s="522">
        <f t="shared" si="329"/>
        <v>0</v>
      </c>
      <c r="O329" s="522">
        <f t="shared" si="329"/>
        <v>0</v>
      </c>
      <c r="P329" s="522">
        <f t="shared" si="329"/>
        <v>3506876</v>
      </c>
      <c r="Q329" s="18"/>
      <c r="R329" s="48"/>
    </row>
    <row r="330" spans="1:18" ht="100.5" customHeight="1" thickTop="1" thickBot="1" x14ac:dyDescent="0.25">
      <c r="A330" s="529" t="s">
        <v>779</v>
      </c>
      <c r="B330" s="529" t="s">
        <v>780</v>
      </c>
      <c r="C330" s="529"/>
      <c r="D330" s="567" t="s">
        <v>1146</v>
      </c>
      <c r="E330" s="545">
        <f>SUM(E331:E333)</f>
        <v>3506876</v>
      </c>
      <c r="F330" s="545">
        <f t="shared" ref="F330:P330" si="330">SUM(F331:F333)</f>
        <v>3151346</v>
      </c>
      <c r="G330" s="545">
        <f t="shared" si="330"/>
        <v>2029652</v>
      </c>
      <c r="H330" s="545">
        <f t="shared" si="330"/>
        <v>60665</v>
      </c>
      <c r="I330" s="545">
        <f t="shared" si="330"/>
        <v>355530</v>
      </c>
      <c r="J330" s="545">
        <f t="shared" si="330"/>
        <v>0</v>
      </c>
      <c r="K330" s="545">
        <f t="shared" si="330"/>
        <v>0</v>
      </c>
      <c r="L330" s="545">
        <f t="shared" si="330"/>
        <v>0</v>
      </c>
      <c r="M330" s="545">
        <f t="shared" si="330"/>
        <v>0</v>
      </c>
      <c r="N330" s="545">
        <f t="shared" si="330"/>
        <v>0</v>
      </c>
      <c r="O330" s="545">
        <f t="shared" si="330"/>
        <v>0</v>
      </c>
      <c r="P330" s="545">
        <f t="shared" si="330"/>
        <v>3506876</v>
      </c>
      <c r="Q330" s="18"/>
      <c r="R330" s="48"/>
    </row>
    <row r="331" spans="1:18" ht="140.25" customHeight="1" thickTop="1" thickBot="1" x14ac:dyDescent="0.25">
      <c r="A331" s="94" t="s">
        <v>535</v>
      </c>
      <c r="B331" s="94" t="s">
        <v>504</v>
      </c>
      <c r="C331" s="94" t="s">
        <v>247</v>
      </c>
      <c r="D331" s="94" t="s">
        <v>505</v>
      </c>
      <c r="E331" s="492">
        <f>F331+I331</f>
        <v>500000</v>
      </c>
      <c r="F331" s="541">
        <v>500000</v>
      </c>
      <c r="G331" s="120"/>
      <c r="H331" s="120"/>
      <c r="I331" s="120"/>
      <c r="J331" s="522">
        <f>L331+O331</f>
        <v>0</v>
      </c>
      <c r="K331" s="525">
        <v>0</v>
      </c>
      <c r="L331" s="541"/>
      <c r="M331" s="541"/>
      <c r="N331" s="541"/>
      <c r="O331" s="523">
        <f>K331</f>
        <v>0</v>
      </c>
      <c r="P331" s="522">
        <f>E331+J331</f>
        <v>500000</v>
      </c>
      <c r="Q331" s="18"/>
      <c r="R331" s="48"/>
    </row>
    <row r="332" spans="1:18" ht="100.5" customHeight="1" thickTop="1" thickBot="1" x14ac:dyDescent="0.25">
      <c r="A332" s="490" t="s">
        <v>536</v>
      </c>
      <c r="B332" s="490" t="s">
        <v>246</v>
      </c>
      <c r="C332" s="490" t="s">
        <v>247</v>
      </c>
      <c r="D332" s="490" t="s">
        <v>245</v>
      </c>
      <c r="E332" s="492">
        <f>F332+I332</f>
        <v>3006876</v>
      </c>
      <c r="F332" s="491">
        <v>2651346</v>
      </c>
      <c r="G332" s="491">
        <v>2029652</v>
      </c>
      <c r="H332" s="491">
        <f>1025+43200+16440</f>
        <v>60665</v>
      </c>
      <c r="I332" s="491">
        <v>355530</v>
      </c>
      <c r="J332" s="522">
        <f>L332+O332</f>
        <v>0</v>
      </c>
      <c r="K332" s="125"/>
      <c r="L332" s="120"/>
      <c r="M332" s="120"/>
      <c r="N332" s="120"/>
      <c r="O332" s="523">
        <f>K332</f>
        <v>0</v>
      </c>
      <c r="P332" s="522">
        <f>E332+J332</f>
        <v>3006876</v>
      </c>
      <c r="Q332" s="18"/>
      <c r="R332" s="44"/>
    </row>
    <row r="333" spans="1:18" ht="48" hidden="1" thickTop="1" thickBot="1" x14ac:dyDescent="0.25">
      <c r="A333" s="39" t="s">
        <v>537</v>
      </c>
      <c r="B333" s="39" t="s">
        <v>538</v>
      </c>
      <c r="C333" s="39" t="s">
        <v>247</v>
      </c>
      <c r="D333" s="39" t="s">
        <v>539</v>
      </c>
      <c r="E333" s="150">
        <f t="shared" ref="E333" si="331">F333</f>
        <v>0</v>
      </c>
      <c r="F333" s="151">
        <f>(1219000)-1219000</f>
        <v>0</v>
      </c>
      <c r="G333" s="151">
        <f>(354000+540000)-894000</f>
        <v>0</v>
      </c>
      <c r="H333" s="151">
        <f>(6000+3000)-9000</f>
        <v>0</v>
      </c>
      <c r="I333" s="151"/>
      <c r="J333" s="40">
        <f>L333+O333</f>
        <v>0</v>
      </c>
      <c r="K333" s="41"/>
      <c r="L333" s="151"/>
      <c r="M333" s="151"/>
      <c r="N333" s="151"/>
      <c r="O333" s="42">
        <f>K333</f>
        <v>0</v>
      </c>
      <c r="P333" s="40">
        <f>E333+J333</f>
        <v>0</v>
      </c>
      <c r="Q333" s="18"/>
      <c r="R333" s="48"/>
    </row>
    <row r="334" spans="1:18" ht="66" customHeight="1" thickTop="1" thickBot="1" x14ac:dyDescent="0.25">
      <c r="A334" s="242" t="s">
        <v>1284</v>
      </c>
      <c r="B334" s="242" t="s">
        <v>675</v>
      </c>
      <c r="C334" s="242"/>
      <c r="D334" s="242" t="s">
        <v>676</v>
      </c>
      <c r="E334" s="522">
        <f>E335</f>
        <v>500000</v>
      </c>
      <c r="F334" s="522">
        <f t="shared" ref="F334:P335" si="332">F335</f>
        <v>500000</v>
      </c>
      <c r="G334" s="522">
        <f t="shared" si="332"/>
        <v>0</v>
      </c>
      <c r="H334" s="522">
        <f t="shared" si="332"/>
        <v>0</v>
      </c>
      <c r="I334" s="522">
        <f t="shared" si="332"/>
        <v>0</v>
      </c>
      <c r="J334" s="522">
        <f t="shared" si="332"/>
        <v>0</v>
      </c>
      <c r="K334" s="522">
        <f t="shared" si="332"/>
        <v>0</v>
      </c>
      <c r="L334" s="522">
        <f t="shared" si="332"/>
        <v>0</v>
      </c>
      <c r="M334" s="522">
        <f t="shared" si="332"/>
        <v>0</v>
      </c>
      <c r="N334" s="522">
        <f t="shared" si="332"/>
        <v>0</v>
      </c>
      <c r="O334" s="522">
        <f t="shared" si="332"/>
        <v>0</v>
      </c>
      <c r="P334" s="522">
        <f t="shared" si="332"/>
        <v>500000</v>
      </c>
      <c r="Q334" s="18"/>
      <c r="R334" s="48"/>
    </row>
    <row r="335" spans="1:18" ht="113.25" customHeight="1" thickTop="1" thickBot="1" x14ac:dyDescent="0.25">
      <c r="A335" s="529" t="s">
        <v>1285</v>
      </c>
      <c r="B335" s="529" t="s">
        <v>678</v>
      </c>
      <c r="C335" s="529"/>
      <c r="D335" s="529" t="s">
        <v>679</v>
      </c>
      <c r="E335" s="545">
        <f>E336</f>
        <v>500000</v>
      </c>
      <c r="F335" s="545">
        <f t="shared" si="332"/>
        <v>500000</v>
      </c>
      <c r="G335" s="545">
        <f t="shared" si="332"/>
        <v>0</v>
      </c>
      <c r="H335" s="545">
        <f t="shared" si="332"/>
        <v>0</v>
      </c>
      <c r="I335" s="545">
        <f t="shared" si="332"/>
        <v>0</v>
      </c>
      <c r="J335" s="545">
        <f t="shared" si="332"/>
        <v>0</v>
      </c>
      <c r="K335" s="545">
        <f t="shared" si="332"/>
        <v>0</v>
      </c>
      <c r="L335" s="545">
        <f t="shared" si="332"/>
        <v>0</v>
      </c>
      <c r="M335" s="545">
        <f t="shared" si="332"/>
        <v>0</v>
      </c>
      <c r="N335" s="545">
        <f t="shared" si="332"/>
        <v>0</v>
      </c>
      <c r="O335" s="545">
        <f t="shared" si="332"/>
        <v>0</v>
      </c>
      <c r="P335" s="545">
        <f t="shared" si="332"/>
        <v>500000</v>
      </c>
      <c r="Q335" s="18"/>
      <c r="R335" s="48"/>
    </row>
    <row r="336" spans="1:18" ht="72.75" customHeight="1" thickTop="1" thickBot="1" x14ac:dyDescent="0.25">
      <c r="A336" s="94" t="s">
        <v>1286</v>
      </c>
      <c r="B336" s="94" t="s">
        <v>356</v>
      </c>
      <c r="C336" s="94" t="s">
        <v>43</v>
      </c>
      <c r="D336" s="94" t="s">
        <v>357</v>
      </c>
      <c r="E336" s="542">
        <f>F336+I336</f>
        <v>500000</v>
      </c>
      <c r="F336" s="525">
        <v>500000</v>
      </c>
      <c r="G336" s="525"/>
      <c r="H336" s="525"/>
      <c r="I336" s="525"/>
      <c r="J336" s="522">
        <f>L336+O336</f>
        <v>0</v>
      </c>
      <c r="K336" s="525">
        <v>0</v>
      </c>
      <c r="L336" s="525"/>
      <c r="M336" s="525"/>
      <c r="N336" s="525"/>
      <c r="O336" s="523">
        <f>K336</f>
        <v>0</v>
      </c>
      <c r="P336" s="522">
        <f>E336+J336</f>
        <v>500000</v>
      </c>
      <c r="Q336" s="18"/>
      <c r="R336" s="48"/>
    </row>
    <row r="337" spans="1:18" ht="189" customHeight="1" thickTop="1" thickBot="1" x14ac:dyDescent="0.25">
      <c r="A337" s="535" t="s">
        <v>25</v>
      </c>
      <c r="B337" s="535"/>
      <c r="C337" s="535"/>
      <c r="D337" s="536" t="s">
        <v>1176</v>
      </c>
      <c r="E337" s="537">
        <f>E338</f>
        <v>4531349</v>
      </c>
      <c r="F337" s="538">
        <f t="shared" ref="F337:G337" si="333">F338</f>
        <v>4531349</v>
      </c>
      <c r="G337" s="538">
        <f t="shared" si="333"/>
        <v>3243030</v>
      </c>
      <c r="H337" s="538">
        <f>H338</f>
        <v>147710</v>
      </c>
      <c r="I337" s="538">
        <f t="shared" ref="I337" si="334">I338</f>
        <v>0</v>
      </c>
      <c r="J337" s="537">
        <f>J338</f>
        <v>33700000</v>
      </c>
      <c r="K337" s="538">
        <f>K338</f>
        <v>33700000</v>
      </c>
      <c r="L337" s="538">
        <f>L338</f>
        <v>0</v>
      </c>
      <c r="M337" s="538">
        <f t="shared" ref="M337" si="335">M338</f>
        <v>0</v>
      </c>
      <c r="N337" s="538">
        <f>N338</f>
        <v>0</v>
      </c>
      <c r="O337" s="537">
        <f>O338</f>
        <v>33700000</v>
      </c>
      <c r="P337" s="538">
        <f t="shared" ref="P337" si="336">P338</f>
        <v>38231349</v>
      </c>
      <c r="Q337" s="18"/>
    </row>
    <row r="338" spans="1:18" ht="167.25" customHeight="1" thickTop="1" thickBot="1" x14ac:dyDescent="0.25">
      <c r="A338" s="532" t="s">
        <v>26</v>
      </c>
      <c r="B338" s="532"/>
      <c r="C338" s="532"/>
      <c r="D338" s="533" t="s">
        <v>855</v>
      </c>
      <c r="E338" s="534">
        <f>E339+E354+E362+E345+E349+E343+E358</f>
        <v>4531349</v>
      </c>
      <c r="F338" s="534">
        <f t="shared" ref="F338:P338" si="337">F339+F354+F362+F345+F349+F343+F358</f>
        <v>4531349</v>
      </c>
      <c r="G338" s="534">
        <f t="shared" si="337"/>
        <v>3243030</v>
      </c>
      <c r="H338" s="534">
        <f t="shared" si="337"/>
        <v>147710</v>
      </c>
      <c r="I338" s="534">
        <f t="shared" si="337"/>
        <v>0</v>
      </c>
      <c r="J338" s="534">
        <f t="shared" si="337"/>
        <v>33700000</v>
      </c>
      <c r="K338" s="534">
        <f t="shared" si="337"/>
        <v>33700000</v>
      </c>
      <c r="L338" s="534">
        <f t="shared" si="337"/>
        <v>0</v>
      </c>
      <c r="M338" s="534">
        <f t="shared" si="337"/>
        <v>0</v>
      </c>
      <c r="N338" s="534">
        <f t="shared" si="337"/>
        <v>0</v>
      </c>
      <c r="O338" s="534">
        <f t="shared" si="337"/>
        <v>33700000</v>
      </c>
      <c r="P338" s="534">
        <f t="shared" si="337"/>
        <v>38231349</v>
      </c>
      <c r="Q338" s="568" t="b">
        <f>P338=P340+P344+P347+P351+P357+P364</f>
        <v>1</v>
      </c>
      <c r="R338" s="44"/>
    </row>
    <row r="339" spans="1:18" ht="103.5" customHeight="1" thickTop="1" thickBot="1" x14ac:dyDescent="0.25">
      <c r="A339" s="504" t="s">
        <v>781</v>
      </c>
      <c r="B339" s="504" t="s">
        <v>658</v>
      </c>
      <c r="C339" s="504"/>
      <c r="D339" s="504" t="s">
        <v>659</v>
      </c>
      <c r="E339" s="506">
        <f t="shared" ref="E339:P339" si="338">SUM(E340:E342)</f>
        <v>4531349</v>
      </c>
      <c r="F339" s="506">
        <f t="shared" si="338"/>
        <v>4531349</v>
      </c>
      <c r="G339" s="506">
        <f t="shared" si="338"/>
        <v>3243030</v>
      </c>
      <c r="H339" s="506">
        <f t="shared" si="338"/>
        <v>147710</v>
      </c>
      <c r="I339" s="506">
        <f t="shared" si="338"/>
        <v>0</v>
      </c>
      <c r="J339" s="506">
        <f t="shared" si="338"/>
        <v>0</v>
      </c>
      <c r="K339" s="506">
        <f t="shared" si="338"/>
        <v>0</v>
      </c>
      <c r="L339" s="506">
        <f t="shared" si="338"/>
        <v>0</v>
      </c>
      <c r="M339" s="506">
        <f t="shared" si="338"/>
        <v>0</v>
      </c>
      <c r="N339" s="506">
        <f t="shared" si="338"/>
        <v>0</v>
      </c>
      <c r="O339" s="506">
        <f t="shared" si="338"/>
        <v>0</v>
      </c>
      <c r="P339" s="506">
        <f t="shared" si="338"/>
        <v>4531349</v>
      </c>
      <c r="Q339" s="45"/>
      <c r="R339" s="44"/>
    </row>
    <row r="340" spans="1:18" ht="146.25" customHeight="1" thickTop="1" thickBot="1" x14ac:dyDescent="0.25">
      <c r="A340" s="490" t="s">
        <v>409</v>
      </c>
      <c r="B340" s="490" t="s">
        <v>233</v>
      </c>
      <c r="C340" s="490" t="s">
        <v>231</v>
      </c>
      <c r="D340" s="490" t="s">
        <v>1554</v>
      </c>
      <c r="E340" s="492">
        <f>F340+I340</f>
        <v>4531349</v>
      </c>
      <c r="F340" s="508">
        <v>4531349</v>
      </c>
      <c r="G340" s="508">
        <v>3243030</v>
      </c>
      <c r="H340" s="508">
        <v>147710</v>
      </c>
      <c r="I340" s="508"/>
      <c r="J340" s="506">
        <f t="shared" ref="J340:J365" si="339">L340+O340</f>
        <v>0</v>
      </c>
      <c r="K340" s="508"/>
      <c r="L340" s="508"/>
      <c r="M340" s="508"/>
      <c r="N340" s="508"/>
      <c r="O340" s="509">
        <f>K340</f>
        <v>0</v>
      </c>
      <c r="P340" s="506">
        <f t="shared" ref="P340:P365" si="340">E340+J340</f>
        <v>4531349</v>
      </c>
      <c r="Q340" s="45"/>
      <c r="R340" s="48"/>
    </row>
    <row r="341" spans="1:18" ht="93" hidden="1" thickTop="1" thickBot="1" x14ac:dyDescent="0.25">
      <c r="A341" s="119" t="s">
        <v>608</v>
      </c>
      <c r="B341" s="119" t="s">
        <v>355</v>
      </c>
      <c r="C341" s="119" t="s">
        <v>603</v>
      </c>
      <c r="D341" s="119" t="s">
        <v>604</v>
      </c>
      <c r="E341" s="143">
        <f>F341</f>
        <v>0</v>
      </c>
      <c r="F341" s="120">
        <v>0</v>
      </c>
      <c r="G341" s="120"/>
      <c r="H341" s="120"/>
      <c r="I341" s="120"/>
      <c r="J341" s="118">
        <f t="shared" si="339"/>
        <v>0</v>
      </c>
      <c r="K341" s="120"/>
      <c r="L341" s="121"/>
      <c r="M341" s="121"/>
      <c r="N341" s="121"/>
      <c r="O341" s="123">
        <f t="shared" ref="O341" si="341">K341</f>
        <v>0</v>
      </c>
      <c r="P341" s="118">
        <f t="shared" ref="P341" si="342">+J341+E341</f>
        <v>0</v>
      </c>
      <c r="Q341" s="45"/>
      <c r="R341" s="48"/>
    </row>
    <row r="342" spans="1:18" ht="48" hidden="1" thickTop="1" thickBot="1" x14ac:dyDescent="0.25">
      <c r="A342" s="119" t="s">
        <v>885</v>
      </c>
      <c r="B342" s="119" t="s">
        <v>43</v>
      </c>
      <c r="C342" s="119" t="s">
        <v>42</v>
      </c>
      <c r="D342" s="119" t="s">
        <v>244</v>
      </c>
      <c r="E342" s="118">
        <f>F342</f>
        <v>0</v>
      </c>
      <c r="F342" s="125">
        <v>0</v>
      </c>
      <c r="G342" s="125"/>
      <c r="H342" s="125"/>
      <c r="I342" s="125"/>
      <c r="J342" s="118">
        <f t="shared" ref="J342" si="343">L342+O342</f>
        <v>0</v>
      </c>
      <c r="K342" s="120"/>
      <c r="L342" s="121"/>
      <c r="M342" s="121"/>
      <c r="N342" s="121"/>
      <c r="O342" s="123">
        <f t="shared" ref="O342" si="344">K342</f>
        <v>0</v>
      </c>
      <c r="P342" s="118">
        <f t="shared" ref="P342" si="345">+J342+E342</f>
        <v>0</v>
      </c>
      <c r="Q342" s="45"/>
      <c r="R342" s="48"/>
    </row>
    <row r="343" spans="1:18" ht="63" customHeight="1" thickTop="1" thickBot="1" x14ac:dyDescent="0.25">
      <c r="A343" s="242" t="s">
        <v>1387</v>
      </c>
      <c r="B343" s="242" t="s">
        <v>681</v>
      </c>
      <c r="C343" s="242"/>
      <c r="D343" s="242" t="s">
        <v>682</v>
      </c>
      <c r="E343" s="506">
        <f>E344</f>
        <v>0</v>
      </c>
      <c r="F343" s="506">
        <f t="shared" ref="F343:P343" si="346">F344</f>
        <v>0</v>
      </c>
      <c r="G343" s="506">
        <f t="shared" si="346"/>
        <v>0</v>
      </c>
      <c r="H343" s="506">
        <f t="shared" si="346"/>
        <v>0</v>
      </c>
      <c r="I343" s="506">
        <f t="shared" si="346"/>
        <v>0</v>
      </c>
      <c r="J343" s="506">
        <f t="shared" si="346"/>
        <v>16300000</v>
      </c>
      <c r="K343" s="506">
        <f t="shared" si="346"/>
        <v>16300000</v>
      </c>
      <c r="L343" s="506">
        <f t="shared" si="346"/>
        <v>0</v>
      </c>
      <c r="M343" s="506">
        <f t="shared" si="346"/>
        <v>0</v>
      </c>
      <c r="N343" s="506">
        <f t="shared" si="346"/>
        <v>0</v>
      </c>
      <c r="O343" s="506">
        <f t="shared" si="346"/>
        <v>16300000</v>
      </c>
      <c r="P343" s="506">
        <f t="shared" si="346"/>
        <v>16300000</v>
      </c>
      <c r="Q343" s="45"/>
      <c r="R343" s="48"/>
    </row>
    <row r="344" spans="1:18" ht="165" customHeight="1" thickTop="1" thickBot="1" x14ac:dyDescent="0.25">
      <c r="A344" s="94" t="s">
        <v>1388</v>
      </c>
      <c r="B344" s="94" t="s">
        <v>1389</v>
      </c>
      <c r="C344" s="94" t="s">
        <v>207</v>
      </c>
      <c r="D344" s="94" t="s">
        <v>1580</v>
      </c>
      <c r="E344" s="143"/>
      <c r="F344" s="120"/>
      <c r="G344" s="120"/>
      <c r="H344" s="120"/>
      <c r="I344" s="120"/>
      <c r="J344" s="522">
        <f t="shared" ref="J344" si="347">L344+O344</f>
        <v>16300000</v>
      </c>
      <c r="K344" s="541">
        <v>16300000</v>
      </c>
      <c r="L344" s="121"/>
      <c r="M344" s="121"/>
      <c r="N344" s="121"/>
      <c r="O344" s="523">
        <f t="shared" ref="O344" si="348">K344</f>
        <v>16300000</v>
      </c>
      <c r="P344" s="522">
        <f t="shared" ref="P344" si="349">+J344+E344</f>
        <v>16300000</v>
      </c>
      <c r="Q344" s="45"/>
      <c r="R344" s="48"/>
    </row>
    <row r="345" spans="1:18" s="348" customFormat="1" ht="109.5" customHeight="1" thickTop="1" thickBot="1" x14ac:dyDescent="0.25">
      <c r="A345" s="242" t="s">
        <v>1119</v>
      </c>
      <c r="B345" s="242" t="s">
        <v>684</v>
      </c>
      <c r="C345" s="242"/>
      <c r="D345" s="242" t="s">
        <v>685</v>
      </c>
      <c r="E345" s="506">
        <f>SUM(E348:E348)+E346</f>
        <v>0</v>
      </c>
      <c r="F345" s="506">
        <f t="shared" ref="F345:P345" si="350">SUM(F348:F348)+F346</f>
        <v>0</v>
      </c>
      <c r="G345" s="506">
        <f t="shared" si="350"/>
        <v>0</v>
      </c>
      <c r="H345" s="506">
        <f t="shared" si="350"/>
        <v>0</v>
      </c>
      <c r="I345" s="506">
        <f t="shared" si="350"/>
        <v>0</v>
      </c>
      <c r="J345" s="506">
        <f t="shared" si="350"/>
        <v>500000</v>
      </c>
      <c r="K345" s="506">
        <f t="shared" si="350"/>
        <v>500000</v>
      </c>
      <c r="L345" s="506">
        <f t="shared" si="350"/>
        <v>0</v>
      </c>
      <c r="M345" s="506">
        <f t="shared" si="350"/>
        <v>0</v>
      </c>
      <c r="N345" s="506">
        <f t="shared" si="350"/>
        <v>0</v>
      </c>
      <c r="O345" s="506">
        <f t="shared" si="350"/>
        <v>500000</v>
      </c>
      <c r="P345" s="506">
        <f t="shared" si="350"/>
        <v>500000</v>
      </c>
      <c r="Q345" s="346"/>
      <c r="R345" s="347"/>
    </row>
    <row r="346" spans="1:18" s="348" customFormat="1" ht="109.5" customHeight="1" thickTop="1" thickBot="1" x14ac:dyDescent="0.25">
      <c r="A346" s="539" t="s">
        <v>1597</v>
      </c>
      <c r="B346" s="539" t="s">
        <v>711</v>
      </c>
      <c r="C346" s="539"/>
      <c r="D346" s="528" t="s">
        <v>1561</v>
      </c>
      <c r="E346" s="545">
        <f>SUM(E347:E348)</f>
        <v>0</v>
      </c>
      <c r="F346" s="545">
        <f t="shared" ref="F346" si="351">SUM(F347:F348)</f>
        <v>0</v>
      </c>
      <c r="G346" s="545">
        <f t="shared" ref="G346" si="352">SUM(G347:G348)</f>
        <v>0</v>
      </c>
      <c r="H346" s="545">
        <f t="shared" ref="H346" si="353">SUM(H347:H348)</f>
        <v>0</v>
      </c>
      <c r="I346" s="545">
        <f t="shared" ref="I346" si="354">SUM(I347:I348)</f>
        <v>0</v>
      </c>
      <c r="J346" s="545">
        <f t="shared" ref="J346" si="355">SUM(J347:J348)</f>
        <v>500000</v>
      </c>
      <c r="K346" s="545">
        <f t="shared" ref="K346" si="356">SUM(K347:K348)</f>
        <v>500000</v>
      </c>
      <c r="L346" s="545">
        <f t="shared" ref="L346" si="357">SUM(L347:L348)</f>
        <v>0</v>
      </c>
      <c r="M346" s="545">
        <f t="shared" ref="M346" si="358">SUM(M347:M348)</f>
        <v>0</v>
      </c>
      <c r="N346" s="545">
        <f t="shared" ref="N346" si="359">SUM(N347:N348)</f>
        <v>0</v>
      </c>
      <c r="O346" s="545">
        <f t="shared" ref="O346" si="360">SUM(O347:O348)</f>
        <v>500000</v>
      </c>
      <c r="P346" s="545">
        <f t="shared" ref="P346" si="361">SUM(P347:P348)</f>
        <v>500000</v>
      </c>
      <c r="Q346" s="346"/>
      <c r="R346" s="347"/>
    </row>
    <row r="347" spans="1:18" s="348" customFormat="1" ht="222" customHeight="1" thickTop="1" thickBot="1" x14ac:dyDescent="0.25">
      <c r="A347" s="94" t="s">
        <v>1598</v>
      </c>
      <c r="B347" s="94" t="s">
        <v>1494</v>
      </c>
      <c r="C347" s="94" t="s">
        <v>182</v>
      </c>
      <c r="D347" s="528" t="s">
        <v>1493</v>
      </c>
      <c r="E347" s="128"/>
      <c r="F347" s="128"/>
      <c r="G347" s="128"/>
      <c r="H347" s="128"/>
      <c r="I347" s="128"/>
      <c r="J347" s="522">
        <f t="shared" ref="J347" si="362">L347+O347</f>
        <v>500000</v>
      </c>
      <c r="K347" s="525">
        <v>500000</v>
      </c>
      <c r="L347" s="525"/>
      <c r="M347" s="525"/>
      <c r="N347" s="525"/>
      <c r="O347" s="523">
        <f>K347</f>
        <v>500000</v>
      </c>
      <c r="P347" s="522">
        <f t="shared" ref="P347" si="363">E347+J347</f>
        <v>500000</v>
      </c>
      <c r="Q347" s="346"/>
      <c r="R347" s="347"/>
    </row>
    <row r="348" spans="1:18" s="348" customFormat="1" ht="93" hidden="1" thickTop="1" thickBot="1" x14ac:dyDescent="0.25">
      <c r="A348" s="321" t="s">
        <v>1120</v>
      </c>
      <c r="B348" s="321" t="s">
        <v>1086</v>
      </c>
      <c r="C348" s="321" t="s">
        <v>203</v>
      </c>
      <c r="D348" s="364" t="s">
        <v>1464</v>
      </c>
      <c r="E348" s="343">
        <f t="shared" ref="E348" si="364">F348</f>
        <v>0</v>
      </c>
      <c r="F348" s="344">
        <v>0</v>
      </c>
      <c r="G348" s="344"/>
      <c r="H348" s="344"/>
      <c r="I348" s="344"/>
      <c r="J348" s="343">
        <f>L348+O348</f>
        <v>0</v>
      </c>
      <c r="K348" s="344">
        <f>((0)+1000000)-1000000</f>
        <v>0</v>
      </c>
      <c r="L348" s="344"/>
      <c r="M348" s="344"/>
      <c r="N348" s="344"/>
      <c r="O348" s="345">
        <f>K348</f>
        <v>0</v>
      </c>
      <c r="P348" s="343">
        <f>E348+J348</f>
        <v>0</v>
      </c>
      <c r="Q348" s="346"/>
      <c r="R348" s="347"/>
    </row>
    <row r="349" spans="1:18" ht="87.75" customHeight="1" thickTop="1" thickBot="1" x14ac:dyDescent="0.25">
      <c r="A349" s="242" t="s">
        <v>1390</v>
      </c>
      <c r="B349" s="242" t="s">
        <v>726</v>
      </c>
      <c r="C349" s="242"/>
      <c r="D349" s="242" t="s">
        <v>727</v>
      </c>
      <c r="E349" s="522">
        <f>E350</f>
        <v>0</v>
      </c>
      <c r="F349" s="522">
        <f t="shared" ref="F349:P349" si="365">F350</f>
        <v>0</v>
      </c>
      <c r="G349" s="522">
        <f t="shared" si="365"/>
        <v>0</v>
      </c>
      <c r="H349" s="522">
        <f t="shared" si="365"/>
        <v>0</v>
      </c>
      <c r="I349" s="522">
        <f t="shared" si="365"/>
        <v>0</v>
      </c>
      <c r="J349" s="522">
        <f t="shared" si="365"/>
        <v>1000000</v>
      </c>
      <c r="K349" s="522">
        <f t="shared" si="365"/>
        <v>1000000</v>
      </c>
      <c r="L349" s="522">
        <f t="shared" si="365"/>
        <v>0</v>
      </c>
      <c r="M349" s="522">
        <f t="shared" si="365"/>
        <v>0</v>
      </c>
      <c r="N349" s="522">
        <f t="shared" si="365"/>
        <v>0</v>
      </c>
      <c r="O349" s="522">
        <f t="shared" si="365"/>
        <v>1000000</v>
      </c>
      <c r="P349" s="522">
        <f t="shared" si="365"/>
        <v>1000000</v>
      </c>
      <c r="Q349" s="45"/>
      <c r="R349" s="48"/>
    </row>
    <row r="350" spans="1:18" ht="134.25" customHeight="1" thickTop="1" thickBot="1" x14ac:dyDescent="0.25">
      <c r="A350" s="539" t="s">
        <v>1391</v>
      </c>
      <c r="B350" s="539" t="s">
        <v>729</v>
      </c>
      <c r="C350" s="539"/>
      <c r="D350" s="528" t="s">
        <v>730</v>
      </c>
      <c r="E350" s="545">
        <f>SUM(E351:E352)</f>
        <v>0</v>
      </c>
      <c r="F350" s="545">
        <f t="shared" ref="F350:P350" si="366">SUM(F351:F352)</f>
        <v>0</v>
      </c>
      <c r="G350" s="545">
        <f t="shared" si="366"/>
        <v>0</v>
      </c>
      <c r="H350" s="545">
        <f t="shared" si="366"/>
        <v>0</v>
      </c>
      <c r="I350" s="545">
        <f t="shared" si="366"/>
        <v>0</v>
      </c>
      <c r="J350" s="545">
        <f t="shared" si="366"/>
        <v>1000000</v>
      </c>
      <c r="K350" s="545">
        <f t="shared" si="366"/>
        <v>1000000</v>
      </c>
      <c r="L350" s="545">
        <f t="shared" si="366"/>
        <v>0</v>
      </c>
      <c r="M350" s="545">
        <f t="shared" si="366"/>
        <v>0</v>
      </c>
      <c r="N350" s="545">
        <f t="shared" si="366"/>
        <v>0</v>
      </c>
      <c r="O350" s="545">
        <f t="shared" si="366"/>
        <v>1000000</v>
      </c>
      <c r="P350" s="545">
        <f t="shared" si="366"/>
        <v>1000000</v>
      </c>
      <c r="Q350" s="45"/>
      <c r="R350" s="48"/>
    </row>
    <row r="351" spans="1:18" ht="175.5" customHeight="1" thickTop="1" thickBot="1" x14ac:dyDescent="0.25">
      <c r="A351" s="94" t="s">
        <v>1587</v>
      </c>
      <c r="B351" s="94" t="s">
        <v>1588</v>
      </c>
      <c r="C351" s="94" t="s">
        <v>179</v>
      </c>
      <c r="D351" s="528" t="s">
        <v>1586</v>
      </c>
      <c r="E351" s="128"/>
      <c r="F351" s="128"/>
      <c r="G351" s="128"/>
      <c r="H351" s="128"/>
      <c r="I351" s="128"/>
      <c r="J351" s="522">
        <f t="shared" ref="J351" si="367">L351+O351</f>
        <v>1000000</v>
      </c>
      <c r="K351" s="525">
        <v>1000000</v>
      </c>
      <c r="L351" s="525"/>
      <c r="M351" s="525"/>
      <c r="N351" s="525"/>
      <c r="O351" s="523">
        <f>K351</f>
        <v>1000000</v>
      </c>
      <c r="P351" s="522">
        <f t="shared" ref="P351" si="368">E351+J351</f>
        <v>1000000</v>
      </c>
      <c r="Q351" s="45"/>
      <c r="R351" s="48"/>
    </row>
    <row r="352" spans="1:18" ht="72.75" hidden="1" customHeight="1" thickTop="1" thickBot="1" x14ac:dyDescent="0.25">
      <c r="A352" s="119" t="s">
        <v>1393</v>
      </c>
      <c r="B352" s="119" t="s">
        <v>1394</v>
      </c>
      <c r="C352" s="119" t="s">
        <v>179</v>
      </c>
      <c r="D352" s="282" t="s">
        <v>1392</v>
      </c>
      <c r="E352" s="118"/>
      <c r="F352" s="125"/>
      <c r="G352" s="125"/>
      <c r="H352" s="125"/>
      <c r="I352" s="125"/>
      <c r="J352" s="118">
        <f t="shared" ref="J352" si="369">L352+O352</f>
        <v>0</v>
      </c>
      <c r="K352" s="125"/>
      <c r="L352" s="125"/>
      <c r="M352" s="125"/>
      <c r="N352" s="125"/>
      <c r="O352" s="123">
        <f>K352</f>
        <v>0</v>
      </c>
      <c r="P352" s="118">
        <f t="shared" ref="P352" si="370">E352+J352</f>
        <v>0</v>
      </c>
      <c r="Q352" s="45"/>
      <c r="R352" s="48"/>
    </row>
    <row r="353" spans="1:18" ht="48" hidden="1" thickTop="1" thickBot="1" x14ac:dyDescent="0.25">
      <c r="A353" s="119"/>
      <c r="B353" s="119"/>
      <c r="C353" s="119"/>
      <c r="D353" s="282"/>
      <c r="E353" s="118"/>
      <c r="F353" s="125"/>
      <c r="G353" s="125"/>
      <c r="H353" s="125"/>
      <c r="I353" s="125"/>
      <c r="J353" s="118"/>
      <c r="K353" s="125"/>
      <c r="L353" s="125"/>
      <c r="M353" s="125"/>
      <c r="N353" s="125"/>
      <c r="O353" s="123"/>
      <c r="P353" s="118"/>
      <c r="Q353" s="45"/>
      <c r="R353" s="48"/>
    </row>
    <row r="354" spans="1:18" ht="103.5" customHeight="1" thickTop="1" thickBot="1" x14ac:dyDescent="0.25">
      <c r="A354" s="242" t="s">
        <v>782</v>
      </c>
      <c r="B354" s="242" t="s">
        <v>740</v>
      </c>
      <c r="C354" s="94"/>
      <c r="D354" s="242" t="s">
        <v>741</v>
      </c>
      <c r="E354" s="542">
        <f>E355+E357</f>
        <v>0</v>
      </c>
      <c r="F354" s="542">
        <f t="shared" ref="F354:P354" si="371">F355+F357</f>
        <v>0</v>
      </c>
      <c r="G354" s="542">
        <f t="shared" si="371"/>
        <v>0</v>
      </c>
      <c r="H354" s="542">
        <f t="shared" si="371"/>
        <v>0</v>
      </c>
      <c r="I354" s="542">
        <f t="shared" si="371"/>
        <v>0</v>
      </c>
      <c r="J354" s="542">
        <f t="shared" si="371"/>
        <v>5000000</v>
      </c>
      <c r="K354" s="542">
        <f t="shared" si="371"/>
        <v>5000000</v>
      </c>
      <c r="L354" s="542">
        <f t="shared" si="371"/>
        <v>0</v>
      </c>
      <c r="M354" s="542">
        <f t="shared" si="371"/>
        <v>0</v>
      </c>
      <c r="N354" s="542">
        <f t="shared" si="371"/>
        <v>0</v>
      </c>
      <c r="O354" s="542">
        <f t="shared" si="371"/>
        <v>5000000</v>
      </c>
      <c r="P354" s="542">
        <f t="shared" si="371"/>
        <v>5000000</v>
      </c>
      <c r="Q354" s="45"/>
      <c r="R354" s="48"/>
    </row>
    <row r="355" spans="1:18" ht="82.5" hidden="1" customHeight="1" thickTop="1" thickBot="1" x14ac:dyDescent="0.25">
      <c r="A355" s="131" t="s">
        <v>783</v>
      </c>
      <c r="B355" s="131" t="s">
        <v>784</v>
      </c>
      <c r="C355" s="131"/>
      <c r="D355" s="131" t="s">
        <v>785</v>
      </c>
      <c r="E355" s="148">
        <f>E356</f>
        <v>0</v>
      </c>
      <c r="F355" s="148">
        <f t="shared" ref="F355:P355" si="372">F356</f>
        <v>0</v>
      </c>
      <c r="G355" s="148">
        <f t="shared" si="372"/>
        <v>0</v>
      </c>
      <c r="H355" s="148">
        <f t="shared" si="372"/>
        <v>0</v>
      </c>
      <c r="I355" s="148">
        <f t="shared" si="372"/>
        <v>0</v>
      </c>
      <c r="J355" s="148">
        <f t="shared" si="372"/>
        <v>0</v>
      </c>
      <c r="K355" s="148">
        <f t="shared" si="372"/>
        <v>0</v>
      </c>
      <c r="L355" s="148">
        <f t="shared" si="372"/>
        <v>0</v>
      </c>
      <c r="M355" s="148">
        <f t="shared" si="372"/>
        <v>0</v>
      </c>
      <c r="N355" s="148">
        <f t="shared" si="372"/>
        <v>0</v>
      </c>
      <c r="O355" s="148">
        <f t="shared" si="372"/>
        <v>0</v>
      </c>
      <c r="P355" s="148">
        <f t="shared" si="372"/>
        <v>0</v>
      </c>
      <c r="Q355" s="45"/>
      <c r="R355" s="48"/>
    </row>
    <row r="356" spans="1:18" ht="184.5" hidden="1" thickTop="1" thickBot="1" x14ac:dyDescent="0.25">
      <c r="A356" s="119" t="s">
        <v>425</v>
      </c>
      <c r="B356" s="119" t="s">
        <v>426</v>
      </c>
      <c r="C356" s="119" t="s">
        <v>192</v>
      </c>
      <c r="D356" s="119" t="s">
        <v>1068</v>
      </c>
      <c r="E356" s="118"/>
      <c r="F356" s="125"/>
      <c r="G356" s="125"/>
      <c r="H356" s="125"/>
      <c r="I356" s="125"/>
      <c r="J356" s="118">
        <f t="shared" si="339"/>
        <v>0</v>
      </c>
      <c r="K356" s="125"/>
      <c r="L356" s="125"/>
      <c r="M356" s="125"/>
      <c r="N356" s="125"/>
      <c r="O356" s="123">
        <f t="shared" ref="O356" si="373">K356</f>
        <v>0</v>
      </c>
      <c r="P356" s="118">
        <f t="shared" si="340"/>
        <v>0</v>
      </c>
      <c r="Q356" s="45"/>
      <c r="R356" s="44"/>
    </row>
    <row r="357" spans="1:18" ht="195" customHeight="1" thickTop="1" thickBot="1" x14ac:dyDescent="0.25">
      <c r="A357" s="94" t="s">
        <v>1591</v>
      </c>
      <c r="B357" s="94" t="s">
        <v>1490</v>
      </c>
      <c r="C357" s="94" t="s">
        <v>192</v>
      </c>
      <c r="D357" s="94" t="s">
        <v>1592</v>
      </c>
      <c r="E357" s="118"/>
      <c r="F357" s="125"/>
      <c r="G357" s="125"/>
      <c r="H357" s="125"/>
      <c r="I357" s="125"/>
      <c r="J357" s="522">
        <f t="shared" ref="J357" si="374">L357+O357</f>
        <v>5000000</v>
      </c>
      <c r="K357" s="525">
        <v>5000000</v>
      </c>
      <c r="L357" s="525"/>
      <c r="M357" s="525"/>
      <c r="N357" s="525"/>
      <c r="O357" s="523">
        <f t="shared" ref="O357" si="375">K357</f>
        <v>5000000</v>
      </c>
      <c r="P357" s="522">
        <f t="shared" ref="P357" si="376">E357+J357</f>
        <v>5000000</v>
      </c>
      <c r="Q357" s="45"/>
      <c r="R357" s="44"/>
    </row>
    <row r="358" spans="1:18" ht="141.75" hidden="1" customHeight="1" thickTop="1" thickBot="1" x14ac:dyDescent="0.25">
      <c r="A358" s="242" t="s">
        <v>1602</v>
      </c>
      <c r="B358" s="242" t="s">
        <v>713</v>
      </c>
      <c r="C358" s="94"/>
      <c r="D358" s="242" t="s">
        <v>714</v>
      </c>
      <c r="E358" s="542">
        <f>E359+E361</f>
        <v>0</v>
      </c>
      <c r="F358" s="542">
        <f t="shared" ref="F358" si="377">F359+F361</f>
        <v>0</v>
      </c>
      <c r="G358" s="542">
        <f t="shared" ref="G358" si="378">G359+G361</f>
        <v>0</v>
      </c>
      <c r="H358" s="542">
        <f t="shared" ref="H358" si="379">H359+H361</f>
        <v>0</v>
      </c>
      <c r="I358" s="542">
        <f t="shared" ref="I358" si="380">I359+I361</f>
        <v>0</v>
      </c>
      <c r="J358" s="542">
        <f t="shared" ref="J358" si="381">J359+J361</f>
        <v>0</v>
      </c>
      <c r="K358" s="542">
        <f t="shared" ref="K358" si="382">K359+K361</f>
        <v>0</v>
      </c>
      <c r="L358" s="542">
        <f t="shared" ref="L358" si="383">L359+L361</f>
        <v>0</v>
      </c>
      <c r="M358" s="542">
        <f t="shared" ref="M358" si="384">M359+M361</f>
        <v>0</v>
      </c>
      <c r="N358" s="542">
        <f t="shared" ref="N358" si="385">N359+N361</f>
        <v>0</v>
      </c>
      <c r="O358" s="542">
        <f t="shared" ref="O358" si="386">O359+O361</f>
        <v>0</v>
      </c>
      <c r="P358" s="542">
        <f t="shared" ref="P358" si="387">P359+P361</f>
        <v>0</v>
      </c>
      <c r="Q358" s="45"/>
      <c r="R358" s="44"/>
    </row>
    <row r="359" spans="1:18" ht="195" hidden="1" customHeight="1" thickTop="1" thickBot="1" x14ac:dyDescent="0.25">
      <c r="A359" s="94" t="s">
        <v>1603</v>
      </c>
      <c r="B359" s="94" t="s">
        <v>1384</v>
      </c>
      <c r="C359" s="94" t="s">
        <v>1045</v>
      </c>
      <c r="D359" s="94" t="s">
        <v>1571</v>
      </c>
      <c r="E359" s="118"/>
      <c r="F359" s="125"/>
      <c r="G359" s="125"/>
      <c r="H359" s="125"/>
      <c r="I359" s="125"/>
      <c r="J359" s="522">
        <f t="shared" ref="J359" si="388">L359+O359</f>
        <v>0</v>
      </c>
      <c r="K359" s="525">
        <v>0</v>
      </c>
      <c r="L359" s="525"/>
      <c r="M359" s="525"/>
      <c r="N359" s="525"/>
      <c r="O359" s="523">
        <f t="shared" ref="O359" si="389">K359</f>
        <v>0</v>
      </c>
      <c r="P359" s="522">
        <f t="shared" ref="P359" si="390">E359+J359</f>
        <v>0</v>
      </c>
      <c r="Q359" s="45"/>
      <c r="R359" s="44"/>
    </row>
    <row r="360" spans="1:18" ht="195" hidden="1" customHeight="1" thickTop="1" thickBot="1" x14ac:dyDescent="0.25">
      <c r="A360" s="94"/>
      <c r="B360" s="94"/>
      <c r="C360" s="94"/>
      <c r="D360" s="94"/>
      <c r="E360" s="118"/>
      <c r="F360" s="125"/>
      <c r="G360" s="125"/>
      <c r="H360" s="125"/>
      <c r="I360" s="125"/>
      <c r="J360" s="522"/>
      <c r="K360" s="525"/>
      <c r="L360" s="525"/>
      <c r="M360" s="525"/>
      <c r="N360" s="525"/>
      <c r="O360" s="523"/>
      <c r="P360" s="522"/>
      <c r="Q360" s="45"/>
      <c r="R360" s="44"/>
    </row>
    <row r="361" spans="1:18" ht="195" hidden="1" customHeight="1" thickTop="1" thickBot="1" x14ac:dyDescent="0.25">
      <c r="A361" s="94"/>
      <c r="B361" s="94"/>
      <c r="C361" s="94"/>
      <c r="D361" s="94"/>
      <c r="E361" s="118"/>
      <c r="F361" s="125"/>
      <c r="G361" s="125"/>
      <c r="H361" s="125"/>
      <c r="I361" s="125"/>
      <c r="J361" s="522"/>
      <c r="K361" s="525"/>
      <c r="L361" s="525"/>
      <c r="M361" s="525"/>
      <c r="N361" s="525"/>
      <c r="O361" s="523"/>
      <c r="P361" s="522"/>
      <c r="Q361" s="45"/>
      <c r="R361" s="44"/>
    </row>
    <row r="362" spans="1:18" ht="106.5" customHeight="1" thickTop="1" thickBot="1" x14ac:dyDescent="0.25">
      <c r="A362" s="504" t="s">
        <v>786</v>
      </c>
      <c r="B362" s="504" t="s">
        <v>719</v>
      </c>
      <c r="C362" s="490"/>
      <c r="D362" s="504" t="s">
        <v>763</v>
      </c>
      <c r="E362" s="506">
        <f t="shared" ref="E362:P362" si="391">E363+E366</f>
        <v>0</v>
      </c>
      <c r="F362" s="506">
        <f t="shared" si="391"/>
        <v>0</v>
      </c>
      <c r="G362" s="506">
        <f t="shared" si="391"/>
        <v>0</v>
      </c>
      <c r="H362" s="506">
        <f t="shared" si="391"/>
        <v>0</v>
      </c>
      <c r="I362" s="506">
        <f t="shared" si="391"/>
        <v>0</v>
      </c>
      <c r="J362" s="506">
        <f t="shared" si="391"/>
        <v>10900000</v>
      </c>
      <c r="K362" s="506">
        <f t="shared" si="391"/>
        <v>10900000</v>
      </c>
      <c r="L362" s="506">
        <f t="shared" si="391"/>
        <v>0</v>
      </c>
      <c r="M362" s="506">
        <f t="shared" si="391"/>
        <v>0</v>
      </c>
      <c r="N362" s="506">
        <f t="shared" si="391"/>
        <v>0</v>
      </c>
      <c r="O362" s="506">
        <f t="shared" si="391"/>
        <v>10900000</v>
      </c>
      <c r="P362" s="506">
        <f t="shared" si="391"/>
        <v>10900000</v>
      </c>
      <c r="Q362" s="43"/>
      <c r="R362" s="44"/>
    </row>
    <row r="363" spans="1:18" ht="109.5" customHeight="1" thickTop="1" thickBot="1" x14ac:dyDescent="0.25">
      <c r="A363" s="517" t="s">
        <v>787</v>
      </c>
      <c r="B363" s="517" t="s">
        <v>771</v>
      </c>
      <c r="C363" s="517"/>
      <c r="D363" s="517" t="s">
        <v>1424</v>
      </c>
      <c r="E363" s="516">
        <f>E364</f>
        <v>0</v>
      </c>
      <c r="F363" s="516">
        <f t="shared" ref="F363:P363" si="392">F364</f>
        <v>0</v>
      </c>
      <c r="G363" s="516">
        <f t="shared" si="392"/>
        <v>0</v>
      </c>
      <c r="H363" s="516">
        <f t="shared" si="392"/>
        <v>0</v>
      </c>
      <c r="I363" s="516">
        <f t="shared" si="392"/>
        <v>0</v>
      </c>
      <c r="J363" s="516">
        <f t="shared" si="392"/>
        <v>10900000</v>
      </c>
      <c r="K363" s="516">
        <f t="shared" si="392"/>
        <v>10900000</v>
      </c>
      <c r="L363" s="516">
        <f t="shared" si="392"/>
        <v>0</v>
      </c>
      <c r="M363" s="516">
        <f t="shared" si="392"/>
        <v>0</v>
      </c>
      <c r="N363" s="516">
        <f t="shared" si="392"/>
        <v>0</v>
      </c>
      <c r="O363" s="516">
        <f t="shared" si="392"/>
        <v>10900000</v>
      </c>
      <c r="P363" s="516">
        <f t="shared" si="392"/>
        <v>10900000</v>
      </c>
      <c r="Q363" s="43"/>
      <c r="R363" s="44"/>
    </row>
    <row r="364" spans="1:18" ht="204" customHeight="1" thickTop="1" thickBot="1" x14ac:dyDescent="0.3">
      <c r="A364" s="490" t="s">
        <v>309</v>
      </c>
      <c r="B364" s="490" t="s">
        <v>310</v>
      </c>
      <c r="C364" s="490" t="s">
        <v>167</v>
      </c>
      <c r="D364" s="490" t="s">
        <v>1567</v>
      </c>
      <c r="E364" s="118"/>
      <c r="F364" s="125"/>
      <c r="G364" s="125"/>
      <c r="H364" s="125"/>
      <c r="I364" s="125"/>
      <c r="J364" s="506">
        <f t="shared" si="339"/>
        <v>10900000</v>
      </c>
      <c r="K364" s="508">
        <v>10900000</v>
      </c>
      <c r="L364" s="508"/>
      <c r="M364" s="508"/>
      <c r="N364" s="508"/>
      <c r="O364" s="509">
        <f>K364</f>
        <v>10900000</v>
      </c>
      <c r="P364" s="506">
        <f t="shared" si="340"/>
        <v>10900000</v>
      </c>
      <c r="Q364" s="152"/>
      <c r="R364" s="44"/>
    </row>
    <row r="365" spans="1:18" ht="48" hidden="1" thickTop="1" thickBot="1" x14ac:dyDescent="0.25">
      <c r="A365" s="39" t="s">
        <v>429</v>
      </c>
      <c r="B365" s="39" t="s">
        <v>344</v>
      </c>
      <c r="C365" s="39" t="s">
        <v>167</v>
      </c>
      <c r="D365" s="39" t="s">
        <v>258</v>
      </c>
      <c r="E365" s="40">
        <f>F365</f>
        <v>0</v>
      </c>
      <c r="F365" s="41"/>
      <c r="G365" s="41"/>
      <c r="H365" s="41"/>
      <c r="I365" s="41"/>
      <c r="J365" s="40">
        <f t="shared" si="339"/>
        <v>0</v>
      </c>
      <c r="K365" s="41">
        <v>0</v>
      </c>
      <c r="L365" s="41"/>
      <c r="M365" s="41"/>
      <c r="N365" s="41"/>
      <c r="O365" s="42">
        <f>K365</f>
        <v>0</v>
      </c>
      <c r="P365" s="40">
        <f t="shared" si="340"/>
        <v>0</v>
      </c>
      <c r="Q365" s="18"/>
      <c r="R365" s="44"/>
    </row>
    <row r="366" spans="1:18" ht="47.25" hidden="1" thickTop="1" thickBot="1" x14ac:dyDescent="0.25">
      <c r="A366" s="127" t="s">
        <v>930</v>
      </c>
      <c r="B366" s="127" t="s">
        <v>665</v>
      </c>
      <c r="C366" s="127"/>
      <c r="D366" s="127" t="s">
        <v>663</v>
      </c>
      <c r="E366" s="149">
        <f>E367</f>
        <v>0</v>
      </c>
      <c r="F366" s="149">
        <f>F367</f>
        <v>0</v>
      </c>
      <c r="G366" s="149">
        <f>G367</f>
        <v>0</v>
      </c>
      <c r="H366" s="149">
        <f>H367</f>
        <v>0</v>
      </c>
      <c r="I366" s="149">
        <f>I367</f>
        <v>0</v>
      </c>
      <c r="J366" s="149">
        <f t="shared" ref="J366:O366" si="393">J367</f>
        <v>0</v>
      </c>
      <c r="K366" s="149">
        <f t="shared" si="393"/>
        <v>0</v>
      </c>
      <c r="L366" s="149">
        <f t="shared" si="393"/>
        <v>0</v>
      </c>
      <c r="M366" s="149">
        <f t="shared" si="393"/>
        <v>0</v>
      </c>
      <c r="N366" s="149">
        <f t="shared" si="393"/>
        <v>0</v>
      </c>
      <c r="O366" s="149">
        <f t="shared" si="393"/>
        <v>0</v>
      </c>
      <c r="P366" s="149">
        <f>P367</f>
        <v>0</v>
      </c>
      <c r="Q366" s="18"/>
      <c r="R366" s="44"/>
    </row>
    <row r="367" spans="1:18" ht="48" hidden="1" thickTop="1" thickBot="1" x14ac:dyDescent="0.25">
      <c r="A367" s="131" t="s">
        <v>931</v>
      </c>
      <c r="B367" s="131" t="s">
        <v>668</v>
      </c>
      <c r="C367" s="131"/>
      <c r="D367" s="131" t="s">
        <v>766</v>
      </c>
      <c r="E367" s="148">
        <f>E368+E370</f>
        <v>0</v>
      </c>
      <c r="F367" s="148">
        <f t="shared" ref="F367:P367" si="394">F368+F370</f>
        <v>0</v>
      </c>
      <c r="G367" s="148">
        <f t="shared" si="394"/>
        <v>0</v>
      </c>
      <c r="H367" s="148">
        <f t="shared" si="394"/>
        <v>0</v>
      </c>
      <c r="I367" s="148">
        <f t="shared" si="394"/>
        <v>0</v>
      </c>
      <c r="J367" s="148">
        <f t="shared" si="394"/>
        <v>0</v>
      </c>
      <c r="K367" s="148">
        <f t="shared" si="394"/>
        <v>0</v>
      </c>
      <c r="L367" s="148">
        <f t="shared" si="394"/>
        <v>0</v>
      </c>
      <c r="M367" s="148">
        <f t="shared" si="394"/>
        <v>0</v>
      </c>
      <c r="N367" s="148">
        <f t="shared" si="394"/>
        <v>0</v>
      </c>
      <c r="O367" s="148">
        <f t="shared" si="394"/>
        <v>0</v>
      </c>
      <c r="P367" s="148">
        <f t="shared" si="394"/>
        <v>0</v>
      </c>
      <c r="Q367" s="18"/>
      <c r="R367" s="44"/>
    </row>
    <row r="368" spans="1:18" ht="184.5" hidden="1" thickTop="1" thickBot="1" x14ac:dyDescent="0.7">
      <c r="A368" s="775" t="s">
        <v>932</v>
      </c>
      <c r="B368" s="775" t="s">
        <v>332</v>
      </c>
      <c r="C368" s="775" t="s">
        <v>167</v>
      </c>
      <c r="D368" s="153" t="s">
        <v>432</v>
      </c>
      <c r="E368" s="776">
        <f t="shared" ref="E368" si="395">F368</f>
        <v>0</v>
      </c>
      <c r="F368" s="750"/>
      <c r="G368" s="750"/>
      <c r="H368" s="750"/>
      <c r="I368" s="750"/>
      <c r="J368" s="776">
        <f t="shared" ref="J368" si="396">L368+O368</f>
        <v>0</v>
      </c>
      <c r="K368" s="750"/>
      <c r="L368" s="750"/>
      <c r="M368" s="750"/>
      <c r="N368" s="750"/>
      <c r="O368" s="751">
        <f>K368</f>
        <v>0</v>
      </c>
      <c r="P368" s="774">
        <f>E368+J368</f>
        <v>0</v>
      </c>
      <c r="Q368" s="18"/>
      <c r="R368" s="44"/>
    </row>
    <row r="369" spans="1:18" ht="93" hidden="1" thickTop="1" thickBot="1" x14ac:dyDescent="0.25">
      <c r="A369" s="775"/>
      <c r="B369" s="775"/>
      <c r="C369" s="775"/>
      <c r="D369" s="154" t="s">
        <v>433</v>
      </c>
      <c r="E369" s="776"/>
      <c r="F369" s="750"/>
      <c r="G369" s="750"/>
      <c r="H369" s="750"/>
      <c r="I369" s="750"/>
      <c r="J369" s="776"/>
      <c r="K369" s="750"/>
      <c r="L369" s="750"/>
      <c r="M369" s="750"/>
      <c r="N369" s="750"/>
      <c r="O369" s="751"/>
      <c r="P369" s="774"/>
      <c r="Q369" s="18"/>
      <c r="R369" s="44"/>
    </row>
    <row r="370" spans="1:18" ht="48" hidden="1" thickTop="1" thickBot="1" x14ac:dyDescent="0.25">
      <c r="A370" s="119" t="s">
        <v>1079</v>
      </c>
      <c r="B370" s="119" t="s">
        <v>253</v>
      </c>
      <c r="C370" s="119" t="s">
        <v>167</v>
      </c>
      <c r="D370" s="146" t="s">
        <v>251</v>
      </c>
      <c r="E370" s="118">
        <f>F370</f>
        <v>0</v>
      </c>
      <c r="F370" s="125"/>
      <c r="G370" s="125"/>
      <c r="H370" s="125"/>
      <c r="I370" s="125"/>
      <c r="J370" s="118">
        <f t="shared" ref="J370" si="397">L370+O370</f>
        <v>0</v>
      </c>
      <c r="K370" s="125"/>
      <c r="L370" s="125"/>
      <c r="M370" s="125"/>
      <c r="N370" s="125"/>
      <c r="O370" s="123">
        <f>K370</f>
        <v>0</v>
      </c>
      <c r="P370" s="118">
        <f t="shared" ref="P370" si="398">E370+J370</f>
        <v>0</v>
      </c>
      <c r="Q370" s="18"/>
      <c r="R370" s="44"/>
    </row>
    <row r="371" spans="1:18" ht="141.75" customHeight="1" thickTop="1" thickBot="1" x14ac:dyDescent="0.25">
      <c r="A371" s="535" t="s">
        <v>157</v>
      </c>
      <c r="B371" s="535"/>
      <c r="C371" s="535"/>
      <c r="D371" s="536" t="s">
        <v>856</v>
      </c>
      <c r="E371" s="537">
        <f>E372</f>
        <v>12580883</v>
      </c>
      <c r="F371" s="538">
        <f t="shared" ref="F371:G371" si="399">F372</f>
        <v>12580883</v>
      </c>
      <c r="G371" s="538">
        <f t="shared" si="399"/>
        <v>9665347</v>
      </c>
      <c r="H371" s="538">
        <f>H372</f>
        <v>383080</v>
      </c>
      <c r="I371" s="538">
        <f t="shared" ref="I371" si="400">I372</f>
        <v>0</v>
      </c>
      <c r="J371" s="537">
        <f>J372</f>
        <v>600000</v>
      </c>
      <c r="K371" s="538">
        <f>K372</f>
        <v>600000</v>
      </c>
      <c r="L371" s="538">
        <f>L372</f>
        <v>0</v>
      </c>
      <c r="M371" s="538">
        <f t="shared" ref="M371" si="401">M372</f>
        <v>0</v>
      </c>
      <c r="N371" s="538">
        <f>N372</f>
        <v>0</v>
      </c>
      <c r="O371" s="537">
        <f>O372</f>
        <v>600000</v>
      </c>
      <c r="P371" s="538">
        <f t="shared" ref="P371" si="402">P372</f>
        <v>13180883</v>
      </c>
      <c r="Q371" s="18"/>
    </row>
    <row r="372" spans="1:18" ht="148.5" customHeight="1" thickTop="1" thickBot="1" x14ac:dyDescent="0.25">
      <c r="A372" s="532" t="s">
        <v>158</v>
      </c>
      <c r="B372" s="532"/>
      <c r="C372" s="532"/>
      <c r="D372" s="533" t="s">
        <v>857</v>
      </c>
      <c r="E372" s="534">
        <f>E373+E377</f>
        <v>12580883</v>
      </c>
      <c r="F372" s="534">
        <f>F373+F377</f>
        <v>12580883</v>
      </c>
      <c r="G372" s="534">
        <f>G373+G377</f>
        <v>9665347</v>
      </c>
      <c r="H372" s="534">
        <f>H373+H377</f>
        <v>383080</v>
      </c>
      <c r="I372" s="534">
        <f>I373+I377</f>
        <v>0</v>
      </c>
      <c r="J372" s="534">
        <f>L372+O372</f>
        <v>600000</v>
      </c>
      <c r="K372" s="534">
        <f>K373+K377</f>
        <v>600000</v>
      </c>
      <c r="L372" s="534">
        <f>L373+L377</f>
        <v>0</v>
      </c>
      <c r="M372" s="534">
        <f>M373+M377</f>
        <v>0</v>
      </c>
      <c r="N372" s="534">
        <f>N373+N377</f>
        <v>0</v>
      </c>
      <c r="O372" s="534">
        <f>O373+O377</f>
        <v>600000</v>
      </c>
      <c r="P372" s="534">
        <f>E372+J372</f>
        <v>13180883</v>
      </c>
      <c r="Q372" s="568" t="b">
        <f>P372=P374+P379+P380</f>
        <v>1</v>
      </c>
      <c r="R372" s="44"/>
    </row>
    <row r="373" spans="1:18" ht="90.75" customHeight="1" thickTop="1" thickBot="1" x14ac:dyDescent="0.25">
      <c r="A373" s="242" t="s">
        <v>789</v>
      </c>
      <c r="B373" s="242" t="s">
        <v>658</v>
      </c>
      <c r="C373" s="242"/>
      <c r="D373" s="504" t="s">
        <v>659</v>
      </c>
      <c r="E373" s="522">
        <f>SUM(E374:E376)</f>
        <v>12580883</v>
      </c>
      <c r="F373" s="522">
        <f t="shared" ref="F373:N373" si="403">SUM(F374:F376)</f>
        <v>12580883</v>
      </c>
      <c r="G373" s="522">
        <f t="shared" si="403"/>
        <v>9665347</v>
      </c>
      <c r="H373" s="522">
        <f t="shared" si="403"/>
        <v>383080</v>
      </c>
      <c r="I373" s="522">
        <f t="shared" si="403"/>
        <v>0</v>
      </c>
      <c r="J373" s="522">
        <f t="shared" si="403"/>
        <v>0</v>
      </c>
      <c r="K373" s="522">
        <f t="shared" si="403"/>
        <v>0</v>
      </c>
      <c r="L373" s="522">
        <f t="shared" si="403"/>
        <v>0</v>
      </c>
      <c r="M373" s="522">
        <f t="shared" si="403"/>
        <v>0</v>
      </c>
      <c r="N373" s="522">
        <f t="shared" si="403"/>
        <v>0</v>
      </c>
      <c r="O373" s="522">
        <f>SUM(O374:O376)</f>
        <v>0</v>
      </c>
      <c r="P373" s="522">
        <f>SUM(P374:P376)</f>
        <v>12580883</v>
      </c>
      <c r="Q373" s="45"/>
      <c r="R373" s="44"/>
    </row>
    <row r="374" spans="1:18" ht="149.25" customHeight="1" thickTop="1" thickBot="1" x14ac:dyDescent="0.25">
      <c r="A374" s="94" t="s">
        <v>411</v>
      </c>
      <c r="B374" s="94" t="s">
        <v>233</v>
      </c>
      <c r="C374" s="94" t="s">
        <v>231</v>
      </c>
      <c r="D374" s="490" t="s">
        <v>1554</v>
      </c>
      <c r="E374" s="492">
        <f>F374+I374</f>
        <v>12580883</v>
      </c>
      <c r="F374" s="525">
        <v>12580883</v>
      </c>
      <c r="G374" s="525">
        <v>9665347</v>
      </c>
      <c r="H374" s="525">
        <v>383080</v>
      </c>
      <c r="I374" s="125"/>
      <c r="J374" s="522">
        <f>L374+O374</f>
        <v>0</v>
      </c>
      <c r="K374" s="125"/>
      <c r="L374" s="125"/>
      <c r="M374" s="125"/>
      <c r="N374" s="125"/>
      <c r="O374" s="523">
        <f>K374</f>
        <v>0</v>
      </c>
      <c r="P374" s="522">
        <f>E374+J374</f>
        <v>12580883</v>
      </c>
      <c r="Q374" s="45"/>
      <c r="R374" s="44"/>
    </row>
    <row r="375" spans="1:18" ht="93" hidden="1" thickTop="1" thickBot="1" x14ac:dyDescent="0.25">
      <c r="A375" s="119" t="s">
        <v>609</v>
      </c>
      <c r="B375" s="119" t="s">
        <v>355</v>
      </c>
      <c r="C375" s="119" t="s">
        <v>603</v>
      </c>
      <c r="D375" s="119" t="s">
        <v>604</v>
      </c>
      <c r="E375" s="143">
        <f>F375</f>
        <v>0</v>
      </c>
      <c r="F375" s="120"/>
      <c r="G375" s="120"/>
      <c r="H375" s="120"/>
      <c r="I375" s="120"/>
      <c r="J375" s="118">
        <f t="shared" ref="J375:J376" si="404">L375+O375</f>
        <v>0</v>
      </c>
      <c r="K375" s="120"/>
      <c r="L375" s="121"/>
      <c r="M375" s="121"/>
      <c r="N375" s="121"/>
      <c r="O375" s="123">
        <f t="shared" ref="O375:O376" si="405">K375</f>
        <v>0</v>
      </c>
      <c r="P375" s="118">
        <f t="shared" ref="P375" si="406">+J375+E375</f>
        <v>0</v>
      </c>
      <c r="Q375" s="45"/>
      <c r="R375" s="44"/>
    </row>
    <row r="376" spans="1:18" ht="48" hidden="1" thickTop="1" thickBot="1" x14ac:dyDescent="0.25">
      <c r="A376" s="119" t="s">
        <v>1135</v>
      </c>
      <c r="B376" s="119" t="s">
        <v>43</v>
      </c>
      <c r="C376" s="119" t="s">
        <v>42</v>
      </c>
      <c r="D376" s="119" t="s">
        <v>244</v>
      </c>
      <c r="E376" s="118">
        <f t="shared" ref="E376" si="407">F376</f>
        <v>0</v>
      </c>
      <c r="F376" s="125"/>
      <c r="G376" s="125"/>
      <c r="H376" s="125"/>
      <c r="I376" s="125"/>
      <c r="J376" s="118">
        <f t="shared" si="404"/>
        <v>0</v>
      </c>
      <c r="K376" s="125"/>
      <c r="L376" s="125"/>
      <c r="M376" s="125"/>
      <c r="N376" s="125"/>
      <c r="O376" s="123">
        <f t="shared" si="405"/>
        <v>0</v>
      </c>
      <c r="P376" s="118">
        <f>E376+J376</f>
        <v>0</v>
      </c>
      <c r="Q376" s="45"/>
      <c r="R376" s="44"/>
    </row>
    <row r="377" spans="1:18" ht="87.75" customHeight="1" thickTop="1" thickBot="1" x14ac:dyDescent="0.25">
      <c r="A377" s="242" t="s">
        <v>871</v>
      </c>
      <c r="B377" s="242" t="s">
        <v>719</v>
      </c>
      <c r="C377" s="94"/>
      <c r="D377" s="242" t="s">
        <v>763</v>
      </c>
      <c r="E377" s="522">
        <f>E378</f>
        <v>0</v>
      </c>
      <c r="F377" s="522">
        <f t="shared" ref="F377:P377" si="408">F378</f>
        <v>0</v>
      </c>
      <c r="G377" s="522">
        <f t="shared" si="408"/>
        <v>0</v>
      </c>
      <c r="H377" s="522">
        <f t="shared" si="408"/>
        <v>0</v>
      </c>
      <c r="I377" s="522">
        <f t="shared" si="408"/>
        <v>0</v>
      </c>
      <c r="J377" s="522">
        <f t="shared" si="408"/>
        <v>600000</v>
      </c>
      <c r="K377" s="522">
        <f t="shared" si="408"/>
        <v>600000</v>
      </c>
      <c r="L377" s="522">
        <f t="shared" si="408"/>
        <v>0</v>
      </c>
      <c r="M377" s="522">
        <f t="shared" si="408"/>
        <v>0</v>
      </c>
      <c r="N377" s="522">
        <f t="shared" si="408"/>
        <v>0</v>
      </c>
      <c r="O377" s="522">
        <f t="shared" si="408"/>
        <v>600000</v>
      </c>
      <c r="P377" s="522">
        <f t="shared" si="408"/>
        <v>600000</v>
      </c>
      <c r="Q377" s="45"/>
      <c r="R377" s="44"/>
    </row>
    <row r="378" spans="1:18" ht="81.75" customHeight="1" thickTop="1" thickBot="1" x14ac:dyDescent="0.25">
      <c r="A378" s="529" t="s">
        <v>872</v>
      </c>
      <c r="B378" s="529" t="s">
        <v>771</v>
      </c>
      <c r="C378" s="529"/>
      <c r="D378" s="529" t="s">
        <v>1424</v>
      </c>
      <c r="E378" s="545">
        <f>SUM(E379:E381)</f>
        <v>0</v>
      </c>
      <c r="F378" s="545">
        <f t="shared" ref="F378:P378" si="409">SUM(F379:F381)</f>
        <v>0</v>
      </c>
      <c r="G378" s="545">
        <f t="shared" si="409"/>
        <v>0</v>
      </c>
      <c r="H378" s="545">
        <f t="shared" si="409"/>
        <v>0</v>
      </c>
      <c r="I378" s="545">
        <f t="shared" si="409"/>
        <v>0</v>
      </c>
      <c r="J378" s="545">
        <f t="shared" si="409"/>
        <v>600000</v>
      </c>
      <c r="K378" s="545">
        <f t="shared" si="409"/>
        <v>600000</v>
      </c>
      <c r="L378" s="545">
        <f t="shared" si="409"/>
        <v>0</v>
      </c>
      <c r="M378" s="545">
        <f t="shared" si="409"/>
        <v>0</v>
      </c>
      <c r="N378" s="545">
        <f t="shared" si="409"/>
        <v>0</v>
      </c>
      <c r="O378" s="545">
        <f t="shared" si="409"/>
        <v>600000</v>
      </c>
      <c r="P378" s="545">
        <f t="shared" si="409"/>
        <v>600000</v>
      </c>
      <c r="Q378" s="45"/>
      <c r="R378" s="44"/>
    </row>
    <row r="379" spans="1:18" ht="182.25" customHeight="1" thickTop="1" thickBot="1" x14ac:dyDescent="0.25">
      <c r="A379" s="94" t="s">
        <v>1566</v>
      </c>
      <c r="B379" s="94" t="s">
        <v>310</v>
      </c>
      <c r="C379" s="94" t="s">
        <v>167</v>
      </c>
      <c r="D379" s="94" t="s">
        <v>1567</v>
      </c>
      <c r="E379" s="542"/>
      <c r="F379" s="541"/>
      <c r="G379" s="541"/>
      <c r="H379" s="541"/>
      <c r="I379" s="541"/>
      <c r="J379" s="522">
        <f t="shared" ref="J379:J380" si="410">L379+O379</f>
        <v>500000</v>
      </c>
      <c r="K379" s="541">
        <v>500000</v>
      </c>
      <c r="L379" s="543"/>
      <c r="M379" s="543"/>
      <c r="N379" s="543"/>
      <c r="O379" s="523">
        <f t="shared" ref="O379:O380" si="411">K379</f>
        <v>500000</v>
      </c>
      <c r="P379" s="522">
        <f t="shared" ref="P379:P380" si="412">+J379+E379</f>
        <v>500000</v>
      </c>
      <c r="Q379" s="45"/>
      <c r="R379" s="44"/>
    </row>
    <row r="380" spans="1:18" ht="127.5" customHeight="1" thickTop="1" thickBot="1" x14ac:dyDescent="0.25">
      <c r="A380" s="94" t="s">
        <v>873</v>
      </c>
      <c r="B380" s="94" t="s">
        <v>874</v>
      </c>
      <c r="C380" s="94" t="s">
        <v>300</v>
      </c>
      <c r="D380" s="94" t="s">
        <v>875</v>
      </c>
      <c r="E380" s="542"/>
      <c r="F380" s="541"/>
      <c r="G380" s="541"/>
      <c r="H380" s="541"/>
      <c r="I380" s="541"/>
      <c r="J380" s="522">
        <f t="shared" si="410"/>
        <v>100000</v>
      </c>
      <c r="K380" s="541">
        <f>(0)+100000</f>
        <v>100000</v>
      </c>
      <c r="L380" s="543"/>
      <c r="M380" s="543"/>
      <c r="N380" s="543"/>
      <c r="O380" s="523">
        <f t="shared" si="411"/>
        <v>100000</v>
      </c>
      <c r="P380" s="522">
        <f t="shared" si="412"/>
        <v>100000</v>
      </c>
      <c r="Q380" s="45"/>
      <c r="R380" s="44"/>
    </row>
    <row r="381" spans="1:18" ht="136.5" hidden="1" customHeight="1" thickTop="1" thickBot="1" x14ac:dyDescent="0.25">
      <c r="A381" s="94" t="s">
        <v>1396</v>
      </c>
      <c r="B381" s="94" t="s">
        <v>1398</v>
      </c>
      <c r="C381" s="94" t="s">
        <v>300</v>
      </c>
      <c r="D381" s="94" t="s">
        <v>1397</v>
      </c>
      <c r="E381" s="542"/>
      <c r="F381" s="541"/>
      <c r="G381" s="541"/>
      <c r="H381" s="541"/>
      <c r="I381" s="541"/>
      <c r="J381" s="522">
        <f t="shared" ref="J381" si="413">L381+O381</f>
        <v>0</v>
      </c>
      <c r="K381" s="541"/>
      <c r="L381" s="543"/>
      <c r="M381" s="543"/>
      <c r="N381" s="543"/>
      <c r="O381" s="523">
        <f t="shared" ref="O381" si="414">K381</f>
        <v>0</v>
      </c>
      <c r="P381" s="522">
        <f t="shared" ref="P381" si="415">+J381+E381</f>
        <v>0</v>
      </c>
      <c r="Q381" s="45"/>
      <c r="R381" s="44"/>
    </row>
    <row r="382" spans="1:18" ht="120" customHeight="1" thickTop="1" thickBot="1" x14ac:dyDescent="0.25">
      <c r="A382" s="535" t="s">
        <v>436</v>
      </c>
      <c r="B382" s="535"/>
      <c r="C382" s="535"/>
      <c r="D382" s="536" t="s">
        <v>438</v>
      </c>
      <c r="E382" s="537">
        <f>E383</f>
        <v>212353910.47999999</v>
      </c>
      <c r="F382" s="538">
        <f t="shared" ref="F382:G382" si="416">F383</f>
        <v>212298655.47999999</v>
      </c>
      <c r="G382" s="538">
        <f t="shared" si="416"/>
        <v>6665180</v>
      </c>
      <c r="H382" s="538">
        <f>H383</f>
        <v>222771</v>
      </c>
      <c r="I382" s="538">
        <f t="shared" ref="I382" si="417">I383</f>
        <v>55255</v>
      </c>
      <c r="J382" s="537">
        <f>J383</f>
        <v>3000000</v>
      </c>
      <c r="K382" s="538">
        <f>K383</f>
        <v>3000000</v>
      </c>
      <c r="L382" s="538">
        <f>L383</f>
        <v>0</v>
      </c>
      <c r="M382" s="538">
        <f t="shared" ref="M382" si="418">M383</f>
        <v>0</v>
      </c>
      <c r="N382" s="538">
        <f>N383</f>
        <v>0</v>
      </c>
      <c r="O382" s="537">
        <f>O383</f>
        <v>3000000</v>
      </c>
      <c r="P382" s="538">
        <f t="shared" ref="P382" si="419">P383</f>
        <v>215353910.47999999</v>
      </c>
      <c r="Q382" s="18"/>
    </row>
    <row r="383" spans="1:18" ht="120" customHeight="1" thickTop="1" thickBot="1" x14ac:dyDescent="0.25">
      <c r="A383" s="532" t="s">
        <v>437</v>
      </c>
      <c r="B383" s="532"/>
      <c r="C383" s="532"/>
      <c r="D383" s="533" t="s">
        <v>439</v>
      </c>
      <c r="E383" s="534">
        <f t="shared" ref="E383:O383" si="420">E384+E387+E398+E401</f>
        <v>212353910.47999999</v>
      </c>
      <c r="F383" s="534">
        <f t="shared" si="420"/>
        <v>212298655.47999999</v>
      </c>
      <c r="G383" s="534">
        <f t="shared" si="420"/>
        <v>6665180</v>
      </c>
      <c r="H383" s="534">
        <f t="shared" si="420"/>
        <v>222771</v>
      </c>
      <c r="I383" s="534">
        <f t="shared" si="420"/>
        <v>55255</v>
      </c>
      <c r="J383" s="534">
        <f t="shared" si="420"/>
        <v>3000000</v>
      </c>
      <c r="K383" s="534">
        <f t="shared" si="420"/>
        <v>3000000</v>
      </c>
      <c r="L383" s="534">
        <f t="shared" si="420"/>
        <v>0</v>
      </c>
      <c r="M383" s="534">
        <f t="shared" si="420"/>
        <v>0</v>
      </c>
      <c r="N383" s="534">
        <f t="shared" si="420"/>
        <v>0</v>
      </c>
      <c r="O383" s="534">
        <f t="shared" si="420"/>
        <v>3000000</v>
      </c>
      <c r="P383" s="534">
        <f>E383+J383</f>
        <v>215353910.47999999</v>
      </c>
      <c r="Q383" s="568" t="b">
        <f>P383=P385+P389+P392+P394+P400</f>
        <v>1</v>
      </c>
      <c r="R383" s="44"/>
    </row>
    <row r="384" spans="1:18" ht="125.25" customHeight="1" thickTop="1" thickBot="1" x14ac:dyDescent="0.25">
      <c r="A384" s="504" t="s">
        <v>790</v>
      </c>
      <c r="B384" s="504" t="s">
        <v>658</v>
      </c>
      <c r="C384" s="504"/>
      <c r="D384" s="504" t="s">
        <v>659</v>
      </c>
      <c r="E384" s="506">
        <f>SUM(E385:E386)</f>
        <v>12035617</v>
      </c>
      <c r="F384" s="506">
        <f t="shared" ref="F384" si="421">SUM(F385:F386)</f>
        <v>11980362</v>
      </c>
      <c r="G384" s="506">
        <f t="shared" ref="G384" si="422">SUM(G385:G386)</f>
        <v>6665180</v>
      </c>
      <c r="H384" s="506">
        <f t="shared" ref="H384" si="423">SUM(H385:H386)</f>
        <v>222771</v>
      </c>
      <c r="I384" s="506">
        <f t="shared" ref="I384" si="424">SUM(I385:I386)</f>
        <v>55255</v>
      </c>
      <c r="J384" s="506">
        <f t="shared" ref="J384" si="425">SUM(J385:J386)</f>
        <v>0</v>
      </c>
      <c r="K384" s="506">
        <f t="shared" ref="K384" si="426">SUM(K385:K386)</f>
        <v>0</v>
      </c>
      <c r="L384" s="506">
        <f t="shared" ref="L384" si="427">SUM(L385:L386)</f>
        <v>0</v>
      </c>
      <c r="M384" s="506">
        <f t="shared" ref="M384" si="428">SUM(M385:M386)</f>
        <v>0</v>
      </c>
      <c r="N384" s="506">
        <f t="shared" ref="N384" si="429">SUM(N385:N386)</f>
        <v>0</v>
      </c>
      <c r="O384" s="506">
        <f t="shared" ref="O384" si="430">SUM(O385:O386)</f>
        <v>0</v>
      </c>
      <c r="P384" s="506">
        <f t="shared" ref="P384" si="431">SUM(P385:P386)</f>
        <v>12035617</v>
      </c>
      <c r="Q384" s="45"/>
      <c r="R384" s="44"/>
    </row>
    <row r="385" spans="1:18" ht="165" customHeight="1" thickTop="1" thickBot="1" x14ac:dyDescent="0.25">
      <c r="A385" s="490" t="s">
        <v>440</v>
      </c>
      <c r="B385" s="490" t="s">
        <v>233</v>
      </c>
      <c r="C385" s="490" t="s">
        <v>231</v>
      </c>
      <c r="D385" s="490" t="s">
        <v>1554</v>
      </c>
      <c r="E385" s="492">
        <f>F385+I385</f>
        <v>12035617</v>
      </c>
      <c r="F385" s="508">
        <f>12035617-55255</f>
        <v>11980362</v>
      </c>
      <c r="G385" s="508">
        <v>6665180</v>
      </c>
      <c r="H385" s="508">
        <v>222771</v>
      </c>
      <c r="I385" s="508">
        <v>55255</v>
      </c>
      <c r="J385" s="506">
        <f>L385+O385</f>
        <v>0</v>
      </c>
      <c r="K385" s="508"/>
      <c r="L385" s="508"/>
      <c r="M385" s="508"/>
      <c r="N385" s="508"/>
      <c r="O385" s="509">
        <f>K385</f>
        <v>0</v>
      </c>
      <c r="P385" s="506">
        <f>E385+J385</f>
        <v>12035617</v>
      </c>
      <c r="Q385" s="45"/>
      <c r="R385" s="44"/>
    </row>
    <row r="386" spans="1:18" ht="93" hidden="1" thickTop="1" thickBot="1" x14ac:dyDescent="0.25">
      <c r="A386" s="119" t="s">
        <v>610</v>
      </c>
      <c r="B386" s="119" t="s">
        <v>355</v>
      </c>
      <c r="C386" s="119" t="s">
        <v>603</v>
      </c>
      <c r="D386" s="119" t="s">
        <v>604</v>
      </c>
      <c r="E386" s="118">
        <f>F386</f>
        <v>0</v>
      </c>
      <c r="F386" s="125">
        <v>0</v>
      </c>
      <c r="G386" s="125"/>
      <c r="H386" s="125"/>
      <c r="I386" s="125"/>
      <c r="J386" s="118">
        <f t="shared" ref="J386" si="432">L386+O386</f>
        <v>0</v>
      </c>
      <c r="K386" s="125"/>
      <c r="L386" s="125"/>
      <c r="M386" s="125"/>
      <c r="N386" s="125"/>
      <c r="O386" s="123">
        <f t="shared" ref="O386" si="433">K386</f>
        <v>0</v>
      </c>
      <c r="P386" s="118">
        <f t="shared" ref="P386" si="434">+J386+E386</f>
        <v>0</v>
      </c>
      <c r="Q386" s="45"/>
      <c r="R386" s="44"/>
    </row>
    <row r="387" spans="1:18" ht="113.25" customHeight="1" thickTop="1" thickBot="1" x14ac:dyDescent="0.25">
      <c r="A387" s="242" t="s">
        <v>791</v>
      </c>
      <c r="B387" s="242" t="s">
        <v>719</v>
      </c>
      <c r="C387" s="94"/>
      <c r="D387" s="242" t="s">
        <v>763</v>
      </c>
      <c r="E387" s="522">
        <f>E390+E396+E388</f>
        <v>200118293.47999999</v>
      </c>
      <c r="F387" s="522">
        <f t="shared" ref="F387:P387" si="435">F390+F396+F388</f>
        <v>200118293.47999999</v>
      </c>
      <c r="G387" s="522">
        <f t="shared" si="435"/>
        <v>0</v>
      </c>
      <c r="H387" s="522">
        <f t="shared" si="435"/>
        <v>0</v>
      </c>
      <c r="I387" s="522">
        <f t="shared" si="435"/>
        <v>0</v>
      </c>
      <c r="J387" s="522">
        <f t="shared" si="435"/>
        <v>3000000</v>
      </c>
      <c r="K387" s="522">
        <f t="shared" si="435"/>
        <v>3000000</v>
      </c>
      <c r="L387" s="522">
        <f t="shared" si="435"/>
        <v>0</v>
      </c>
      <c r="M387" s="522">
        <f t="shared" si="435"/>
        <v>0</v>
      </c>
      <c r="N387" s="522">
        <f t="shared" si="435"/>
        <v>0</v>
      </c>
      <c r="O387" s="522">
        <f t="shared" si="435"/>
        <v>3000000</v>
      </c>
      <c r="P387" s="522">
        <f t="shared" si="435"/>
        <v>203118293.47999999</v>
      </c>
      <c r="Q387" s="45"/>
      <c r="R387" s="48"/>
    </row>
    <row r="388" spans="1:18" ht="156.75" customHeight="1" thickTop="1" thickBot="1" x14ac:dyDescent="0.25">
      <c r="A388" s="517" t="s">
        <v>1606</v>
      </c>
      <c r="B388" s="517" t="s">
        <v>771</v>
      </c>
      <c r="C388" s="517"/>
      <c r="D388" s="517" t="s">
        <v>1424</v>
      </c>
      <c r="E388" s="516">
        <f>E389</f>
        <v>0</v>
      </c>
      <c r="F388" s="516">
        <f t="shared" ref="F388:P388" si="436">F389</f>
        <v>0</v>
      </c>
      <c r="G388" s="516">
        <f t="shared" si="436"/>
        <v>0</v>
      </c>
      <c r="H388" s="516">
        <f t="shared" si="436"/>
        <v>0</v>
      </c>
      <c r="I388" s="516">
        <f t="shared" si="436"/>
        <v>0</v>
      </c>
      <c r="J388" s="516">
        <f t="shared" si="436"/>
        <v>3000000</v>
      </c>
      <c r="K388" s="516">
        <f t="shared" si="436"/>
        <v>3000000</v>
      </c>
      <c r="L388" s="516">
        <f t="shared" si="436"/>
        <v>0</v>
      </c>
      <c r="M388" s="516">
        <f t="shared" si="436"/>
        <v>0</v>
      </c>
      <c r="N388" s="516">
        <f t="shared" si="436"/>
        <v>0</v>
      </c>
      <c r="O388" s="516">
        <f t="shared" si="436"/>
        <v>3000000</v>
      </c>
      <c r="P388" s="516">
        <f t="shared" si="436"/>
        <v>3000000</v>
      </c>
      <c r="Q388" s="45"/>
      <c r="R388" s="48"/>
    </row>
    <row r="389" spans="1:18" ht="231.75" customHeight="1" thickTop="1" thickBot="1" x14ac:dyDescent="0.25">
      <c r="A389" s="94" t="s">
        <v>1607</v>
      </c>
      <c r="B389" s="94" t="s">
        <v>310</v>
      </c>
      <c r="C389" s="94" t="s">
        <v>167</v>
      </c>
      <c r="D389" s="94" t="s">
        <v>1567</v>
      </c>
      <c r="E389" s="492"/>
      <c r="F389" s="525"/>
      <c r="G389" s="125"/>
      <c r="H389" s="125"/>
      <c r="I389" s="125"/>
      <c r="J389" s="522">
        <f>L389+O389</f>
        <v>3000000</v>
      </c>
      <c r="K389" s="508">
        <v>3000000</v>
      </c>
      <c r="L389" s="125"/>
      <c r="M389" s="125"/>
      <c r="N389" s="125"/>
      <c r="O389" s="523">
        <f>K389</f>
        <v>3000000</v>
      </c>
      <c r="P389" s="522">
        <f>E389+J389</f>
        <v>3000000</v>
      </c>
      <c r="Q389" s="45"/>
      <c r="R389" s="48"/>
    </row>
    <row r="390" spans="1:18" ht="135" customHeight="1" thickTop="1" thickBot="1" x14ac:dyDescent="0.25">
      <c r="A390" s="529" t="s">
        <v>792</v>
      </c>
      <c r="B390" s="529" t="s">
        <v>774</v>
      </c>
      <c r="C390" s="529"/>
      <c r="D390" s="529" t="s">
        <v>775</v>
      </c>
      <c r="E390" s="545">
        <f>E393+E395+E391</f>
        <v>200118293.47999999</v>
      </c>
      <c r="F390" s="545">
        <f t="shared" ref="F390:P390" si="437">F393+F395+F391</f>
        <v>200118293.47999999</v>
      </c>
      <c r="G390" s="545">
        <f t="shared" si="437"/>
        <v>0</v>
      </c>
      <c r="H390" s="545">
        <f t="shared" si="437"/>
        <v>0</v>
      </c>
      <c r="I390" s="545">
        <f t="shared" si="437"/>
        <v>0</v>
      </c>
      <c r="J390" s="545">
        <f t="shared" si="437"/>
        <v>0</v>
      </c>
      <c r="K390" s="545">
        <f t="shared" si="437"/>
        <v>0</v>
      </c>
      <c r="L390" s="545">
        <f t="shared" si="437"/>
        <v>0</v>
      </c>
      <c r="M390" s="545">
        <f t="shared" si="437"/>
        <v>0</v>
      </c>
      <c r="N390" s="545">
        <f t="shared" si="437"/>
        <v>0</v>
      </c>
      <c r="O390" s="545">
        <f t="shared" si="437"/>
        <v>0</v>
      </c>
      <c r="P390" s="545">
        <f t="shared" si="437"/>
        <v>200118293.47999999</v>
      </c>
      <c r="Q390" s="45"/>
      <c r="R390" s="48"/>
    </row>
    <row r="391" spans="1:18" ht="130.5" customHeight="1" thickTop="1" thickBot="1" x14ac:dyDescent="0.25">
      <c r="A391" s="539" t="s">
        <v>948</v>
      </c>
      <c r="B391" s="539" t="s">
        <v>949</v>
      </c>
      <c r="C391" s="131"/>
      <c r="D391" s="539" t="s">
        <v>947</v>
      </c>
      <c r="E391" s="540">
        <f>E392</f>
        <v>2600000</v>
      </c>
      <c r="F391" s="540">
        <f t="shared" ref="F391:O391" si="438">F392</f>
        <v>2600000</v>
      </c>
      <c r="G391" s="540">
        <f t="shared" si="438"/>
        <v>0</v>
      </c>
      <c r="H391" s="540">
        <f t="shared" si="438"/>
        <v>0</v>
      </c>
      <c r="I391" s="540">
        <f t="shared" si="438"/>
        <v>0</v>
      </c>
      <c r="J391" s="540">
        <f t="shared" si="438"/>
        <v>0</v>
      </c>
      <c r="K391" s="540">
        <f t="shared" si="438"/>
        <v>0</v>
      </c>
      <c r="L391" s="540">
        <f t="shared" si="438"/>
        <v>0</v>
      </c>
      <c r="M391" s="540">
        <f t="shared" si="438"/>
        <v>0</v>
      </c>
      <c r="N391" s="540">
        <f t="shared" si="438"/>
        <v>0</v>
      </c>
      <c r="O391" s="540">
        <f t="shared" si="438"/>
        <v>0</v>
      </c>
      <c r="P391" s="540">
        <f t="shared" ref="F391:P393" si="439">P392</f>
        <v>2600000</v>
      </c>
      <c r="Q391" s="45"/>
      <c r="R391" s="48"/>
    </row>
    <row r="392" spans="1:18" ht="89.25" customHeight="1" thickTop="1" thickBot="1" x14ac:dyDescent="0.25">
      <c r="A392" s="94" t="s">
        <v>456</v>
      </c>
      <c r="B392" s="94" t="s">
        <v>404</v>
      </c>
      <c r="C392" s="94" t="s">
        <v>405</v>
      </c>
      <c r="D392" s="94" t="s">
        <v>406</v>
      </c>
      <c r="E392" s="492">
        <f>F392+I392</f>
        <v>2600000</v>
      </c>
      <c r="F392" s="525">
        <v>2600000</v>
      </c>
      <c r="G392" s="125"/>
      <c r="H392" s="125"/>
      <c r="I392" s="125"/>
      <c r="J392" s="522">
        <f>L392+O392</f>
        <v>0</v>
      </c>
      <c r="K392" s="125"/>
      <c r="L392" s="125"/>
      <c r="M392" s="125"/>
      <c r="N392" s="125"/>
      <c r="O392" s="523">
        <f>K392</f>
        <v>0</v>
      </c>
      <c r="P392" s="522">
        <f>E392+J392</f>
        <v>2600000</v>
      </c>
      <c r="Q392" s="45"/>
      <c r="R392" s="48"/>
    </row>
    <row r="393" spans="1:18" ht="93" thickTop="1" thickBot="1" x14ac:dyDescent="0.25">
      <c r="A393" s="539" t="s">
        <v>793</v>
      </c>
      <c r="B393" s="539" t="s">
        <v>794</v>
      </c>
      <c r="C393" s="539"/>
      <c r="D393" s="539" t="s">
        <v>795</v>
      </c>
      <c r="E393" s="540">
        <f>E394</f>
        <v>197518293.47999999</v>
      </c>
      <c r="F393" s="540">
        <f t="shared" si="439"/>
        <v>197518293.47999999</v>
      </c>
      <c r="G393" s="540">
        <f t="shared" si="439"/>
        <v>0</v>
      </c>
      <c r="H393" s="540">
        <f t="shared" si="439"/>
        <v>0</v>
      </c>
      <c r="I393" s="540">
        <f t="shared" si="439"/>
        <v>0</v>
      </c>
      <c r="J393" s="540">
        <f t="shared" si="439"/>
        <v>0</v>
      </c>
      <c r="K393" s="540">
        <f t="shared" si="439"/>
        <v>0</v>
      </c>
      <c r="L393" s="540">
        <f t="shared" si="439"/>
        <v>0</v>
      </c>
      <c r="M393" s="540">
        <f t="shared" si="439"/>
        <v>0</v>
      </c>
      <c r="N393" s="540">
        <f t="shared" si="439"/>
        <v>0</v>
      </c>
      <c r="O393" s="540">
        <f t="shared" si="439"/>
        <v>0</v>
      </c>
      <c r="P393" s="540">
        <f t="shared" si="439"/>
        <v>197518293.47999999</v>
      </c>
      <c r="Q393" s="45"/>
      <c r="R393" s="48"/>
    </row>
    <row r="394" spans="1:18" ht="107.25" customHeight="1" thickTop="1" thickBot="1" x14ac:dyDescent="0.25">
      <c r="A394" s="94" t="s">
        <v>457</v>
      </c>
      <c r="B394" s="94" t="s">
        <v>287</v>
      </c>
      <c r="C394" s="94" t="s">
        <v>1191</v>
      </c>
      <c r="D394" s="94" t="s">
        <v>288</v>
      </c>
      <c r="E394" s="492">
        <f>F394+I394</f>
        <v>197518293.47999999</v>
      </c>
      <c r="F394" s="525">
        <v>197518293.47999999</v>
      </c>
      <c r="G394" s="125"/>
      <c r="H394" s="125"/>
      <c r="I394" s="125"/>
      <c r="J394" s="522">
        <f>L394+O394</f>
        <v>0</v>
      </c>
      <c r="K394" s="125"/>
      <c r="L394" s="125"/>
      <c r="M394" s="125"/>
      <c r="N394" s="125"/>
      <c r="O394" s="523">
        <f>K394</f>
        <v>0</v>
      </c>
      <c r="P394" s="522">
        <f>E394+J394</f>
        <v>197518293.47999999</v>
      </c>
      <c r="Q394" s="45"/>
      <c r="R394" s="48"/>
    </row>
    <row r="395" spans="1:18" ht="48" hidden="1" thickTop="1" thickBot="1" x14ac:dyDescent="0.25">
      <c r="A395" s="119" t="s">
        <v>1018</v>
      </c>
      <c r="B395" s="119" t="s">
        <v>1019</v>
      </c>
      <c r="C395" s="119" t="s">
        <v>291</v>
      </c>
      <c r="D395" s="119" t="s">
        <v>1017</v>
      </c>
      <c r="E395" s="118">
        <f>F395</f>
        <v>0</v>
      </c>
      <c r="F395" s="125"/>
      <c r="G395" s="125"/>
      <c r="H395" s="125"/>
      <c r="I395" s="125"/>
      <c r="J395" s="118">
        <f>L395+O395</f>
        <v>0</v>
      </c>
      <c r="K395" s="125"/>
      <c r="L395" s="125"/>
      <c r="M395" s="125"/>
      <c r="N395" s="125"/>
      <c r="O395" s="123">
        <f>K395</f>
        <v>0</v>
      </c>
      <c r="P395" s="118">
        <f>E395+J395</f>
        <v>0</v>
      </c>
      <c r="Q395" s="45"/>
      <c r="R395" s="48"/>
    </row>
    <row r="396" spans="1:18" ht="63" hidden="1" customHeight="1" thickTop="1" thickBot="1" x14ac:dyDescent="0.25">
      <c r="A396" s="127" t="s">
        <v>1063</v>
      </c>
      <c r="B396" s="127" t="s">
        <v>665</v>
      </c>
      <c r="C396" s="127"/>
      <c r="D396" s="127" t="s">
        <v>663</v>
      </c>
      <c r="E396" s="128">
        <f>E397</f>
        <v>0</v>
      </c>
      <c r="F396" s="128">
        <f t="shared" ref="F396:P396" si="440">F397</f>
        <v>0</v>
      </c>
      <c r="G396" s="128">
        <f t="shared" si="440"/>
        <v>0</v>
      </c>
      <c r="H396" s="128">
        <f t="shared" si="440"/>
        <v>0</v>
      </c>
      <c r="I396" s="128">
        <f t="shared" si="440"/>
        <v>0</v>
      </c>
      <c r="J396" s="128">
        <f t="shared" si="440"/>
        <v>0</v>
      </c>
      <c r="K396" s="128">
        <f t="shared" si="440"/>
        <v>0</v>
      </c>
      <c r="L396" s="128">
        <f t="shared" si="440"/>
        <v>0</v>
      </c>
      <c r="M396" s="128">
        <f t="shared" si="440"/>
        <v>0</v>
      </c>
      <c r="N396" s="128">
        <f t="shared" si="440"/>
        <v>0</v>
      </c>
      <c r="O396" s="128">
        <f t="shared" si="440"/>
        <v>0</v>
      </c>
      <c r="P396" s="128">
        <f t="shared" si="440"/>
        <v>0</v>
      </c>
      <c r="Q396" s="45"/>
      <c r="R396" s="48"/>
    </row>
    <row r="397" spans="1:18" ht="66.75" hidden="1" customHeight="1" thickTop="1" thickBot="1" x14ac:dyDescent="0.25">
      <c r="A397" s="119" t="s">
        <v>1064</v>
      </c>
      <c r="B397" s="119" t="s">
        <v>194</v>
      </c>
      <c r="C397" s="119" t="s">
        <v>167</v>
      </c>
      <c r="D397" s="119" t="s">
        <v>1065</v>
      </c>
      <c r="E397" s="118"/>
      <c r="F397" s="125">
        <v>0</v>
      </c>
      <c r="G397" s="125"/>
      <c r="H397" s="125"/>
      <c r="I397" s="125"/>
      <c r="J397" s="118">
        <f>L397+O397</f>
        <v>0</v>
      </c>
      <c r="K397" s="125"/>
      <c r="L397" s="125"/>
      <c r="M397" s="125"/>
      <c r="N397" s="125"/>
      <c r="O397" s="123">
        <f>K397</f>
        <v>0</v>
      </c>
      <c r="P397" s="118">
        <f>E397+J397</f>
        <v>0</v>
      </c>
      <c r="Q397" s="45"/>
      <c r="R397" s="48"/>
    </row>
    <row r="398" spans="1:18" ht="106.5" customHeight="1" thickTop="1" thickBot="1" x14ac:dyDescent="0.25">
      <c r="A398" s="242" t="s">
        <v>1104</v>
      </c>
      <c r="B398" s="242" t="s">
        <v>670</v>
      </c>
      <c r="C398" s="242"/>
      <c r="D398" s="242" t="s">
        <v>671</v>
      </c>
      <c r="E398" s="522">
        <f>E399</f>
        <v>200000</v>
      </c>
      <c r="F398" s="522">
        <f t="shared" ref="F398:P398" si="441">F399</f>
        <v>200000</v>
      </c>
      <c r="G398" s="522">
        <f t="shared" si="441"/>
        <v>0</v>
      </c>
      <c r="H398" s="522">
        <f t="shared" si="441"/>
        <v>0</v>
      </c>
      <c r="I398" s="522">
        <f t="shared" si="441"/>
        <v>0</v>
      </c>
      <c r="J398" s="522">
        <f t="shared" si="441"/>
        <v>0</v>
      </c>
      <c r="K398" s="522">
        <f t="shared" si="441"/>
        <v>0</v>
      </c>
      <c r="L398" s="522">
        <f t="shared" si="441"/>
        <v>0</v>
      </c>
      <c r="M398" s="522">
        <f t="shared" si="441"/>
        <v>0</v>
      </c>
      <c r="N398" s="522">
        <f t="shared" si="441"/>
        <v>0</v>
      </c>
      <c r="O398" s="522">
        <f t="shared" si="441"/>
        <v>0</v>
      </c>
      <c r="P398" s="522">
        <f t="shared" si="441"/>
        <v>200000</v>
      </c>
      <c r="Q398" s="45"/>
      <c r="R398" s="48"/>
    </row>
    <row r="399" spans="1:18" ht="94.5" customHeight="1" thickTop="1" thickBot="1" x14ac:dyDescent="0.25">
      <c r="A399" s="529" t="s">
        <v>1105</v>
      </c>
      <c r="B399" s="529" t="s">
        <v>1072</v>
      </c>
      <c r="C399" s="529"/>
      <c r="D399" s="529" t="s">
        <v>1070</v>
      </c>
      <c r="E399" s="545">
        <f>E400</f>
        <v>200000</v>
      </c>
      <c r="F399" s="545">
        <f>F400</f>
        <v>200000</v>
      </c>
      <c r="G399" s="545">
        <f t="shared" ref="G399:O399" si="442">G400</f>
        <v>0</v>
      </c>
      <c r="H399" s="545">
        <f t="shared" si="442"/>
        <v>0</v>
      </c>
      <c r="I399" s="545">
        <f t="shared" si="442"/>
        <v>0</v>
      </c>
      <c r="J399" s="545">
        <f t="shared" si="442"/>
        <v>0</v>
      </c>
      <c r="K399" s="545">
        <f t="shared" si="442"/>
        <v>0</v>
      </c>
      <c r="L399" s="545">
        <f t="shared" si="442"/>
        <v>0</v>
      </c>
      <c r="M399" s="545">
        <f t="shared" si="442"/>
        <v>0</v>
      </c>
      <c r="N399" s="545">
        <f t="shared" si="442"/>
        <v>0</v>
      </c>
      <c r="O399" s="545">
        <f t="shared" si="442"/>
        <v>0</v>
      </c>
      <c r="P399" s="545">
        <f>P400</f>
        <v>200000</v>
      </c>
      <c r="Q399" s="45"/>
      <c r="R399" s="48"/>
    </row>
    <row r="400" spans="1:18" ht="117" customHeight="1" thickTop="1" thickBot="1" x14ac:dyDescent="0.25">
      <c r="A400" s="94" t="s">
        <v>1106</v>
      </c>
      <c r="B400" s="94" t="s">
        <v>1107</v>
      </c>
      <c r="C400" s="94" t="s">
        <v>1074</v>
      </c>
      <c r="D400" s="94" t="s">
        <v>1108</v>
      </c>
      <c r="E400" s="542">
        <f>F400+I400</f>
        <v>200000</v>
      </c>
      <c r="F400" s="525">
        <v>200000</v>
      </c>
      <c r="G400" s="525"/>
      <c r="H400" s="525"/>
      <c r="I400" s="525"/>
      <c r="J400" s="522">
        <f>L400+O400</f>
        <v>0</v>
      </c>
      <c r="K400" s="525"/>
      <c r="L400" s="525"/>
      <c r="M400" s="525"/>
      <c r="N400" s="525"/>
      <c r="O400" s="523">
        <f>K400</f>
        <v>0</v>
      </c>
      <c r="P400" s="522">
        <f>E400+J400</f>
        <v>200000</v>
      </c>
      <c r="Q400" s="45"/>
      <c r="R400" s="48"/>
    </row>
    <row r="401" spans="1:18" ht="47.25" hidden="1" thickTop="1" thickBot="1" x14ac:dyDescent="0.25">
      <c r="A401" s="116" t="s">
        <v>1169</v>
      </c>
      <c r="B401" s="116" t="s">
        <v>675</v>
      </c>
      <c r="C401" s="116"/>
      <c r="D401" s="116" t="s">
        <v>676</v>
      </c>
      <c r="E401" s="118">
        <f t="shared" ref="E401:P401" si="443">E402</f>
        <v>0</v>
      </c>
      <c r="F401" s="118">
        <f t="shared" si="443"/>
        <v>0</v>
      </c>
      <c r="G401" s="118">
        <f t="shared" si="443"/>
        <v>0</v>
      </c>
      <c r="H401" s="118">
        <f t="shared" si="443"/>
        <v>0</v>
      </c>
      <c r="I401" s="118">
        <f t="shared" si="443"/>
        <v>0</v>
      </c>
      <c r="J401" s="118">
        <f t="shared" si="443"/>
        <v>0</v>
      </c>
      <c r="K401" s="118">
        <f t="shared" si="443"/>
        <v>0</v>
      </c>
      <c r="L401" s="118">
        <f t="shared" si="443"/>
        <v>0</v>
      </c>
      <c r="M401" s="118">
        <f t="shared" si="443"/>
        <v>0</v>
      </c>
      <c r="N401" s="118">
        <f t="shared" si="443"/>
        <v>0</v>
      </c>
      <c r="O401" s="118">
        <f t="shared" si="443"/>
        <v>0</v>
      </c>
      <c r="P401" s="118">
        <f t="shared" si="443"/>
        <v>0</v>
      </c>
      <c r="Q401" s="45"/>
      <c r="R401" s="48"/>
    </row>
    <row r="402" spans="1:18" ht="91.5" hidden="1" thickTop="1" thickBot="1" x14ac:dyDescent="0.25">
      <c r="A402" s="127" t="s">
        <v>1170</v>
      </c>
      <c r="B402" s="127" t="s">
        <v>502</v>
      </c>
      <c r="C402" s="127" t="s">
        <v>43</v>
      </c>
      <c r="D402" s="127" t="s">
        <v>503</v>
      </c>
      <c r="E402" s="128">
        <f t="shared" ref="E402" si="444">F402</f>
        <v>0</v>
      </c>
      <c r="F402" s="128">
        <v>0</v>
      </c>
      <c r="G402" s="128"/>
      <c r="H402" s="128"/>
      <c r="I402" s="128"/>
      <c r="J402" s="128">
        <f>L402+O402</f>
        <v>0</v>
      </c>
      <c r="K402" s="125"/>
      <c r="L402" s="128"/>
      <c r="M402" s="128"/>
      <c r="N402" s="128"/>
      <c r="O402" s="128">
        <f>(K402+0)</f>
        <v>0</v>
      </c>
      <c r="P402" s="128">
        <f>E402+J402</f>
        <v>0</v>
      </c>
      <c r="Q402" s="45"/>
      <c r="R402" s="48"/>
    </row>
    <row r="403" spans="1:18" ht="148.5" customHeight="1" thickTop="1" thickBot="1" x14ac:dyDescent="0.25">
      <c r="A403" s="535" t="s">
        <v>163</v>
      </c>
      <c r="B403" s="535"/>
      <c r="C403" s="535"/>
      <c r="D403" s="536" t="s">
        <v>347</v>
      </c>
      <c r="E403" s="537">
        <f>E404</f>
        <v>20515000</v>
      </c>
      <c r="F403" s="538">
        <f t="shared" ref="F403:G403" si="445">F404</f>
        <v>20215000</v>
      </c>
      <c r="G403" s="538">
        <f t="shared" si="445"/>
        <v>0</v>
      </c>
      <c r="H403" s="538">
        <f>H404</f>
        <v>0</v>
      </c>
      <c r="I403" s="538">
        <f t="shared" ref="I403" si="446">I404</f>
        <v>300000</v>
      </c>
      <c r="J403" s="537">
        <f>J404</f>
        <v>0</v>
      </c>
      <c r="K403" s="538">
        <f>K404</f>
        <v>0</v>
      </c>
      <c r="L403" s="538">
        <f>L404</f>
        <v>0</v>
      </c>
      <c r="M403" s="538">
        <f t="shared" ref="M403" si="447">M404</f>
        <v>0</v>
      </c>
      <c r="N403" s="538">
        <f>N404</f>
        <v>0</v>
      </c>
      <c r="O403" s="537">
        <f>O404</f>
        <v>0</v>
      </c>
      <c r="P403" s="538">
        <f t="shared" ref="P403" si="448">P404</f>
        <v>20515000</v>
      </c>
      <c r="Q403" s="18"/>
    </row>
    <row r="404" spans="1:18" ht="154.5" customHeight="1" thickTop="1" thickBot="1" x14ac:dyDescent="0.25">
      <c r="A404" s="532" t="s">
        <v>164</v>
      </c>
      <c r="B404" s="532"/>
      <c r="C404" s="532"/>
      <c r="D404" s="533" t="s">
        <v>348</v>
      </c>
      <c r="E404" s="534">
        <f>E408+E420+E417+E405</f>
        <v>20515000</v>
      </c>
      <c r="F404" s="534">
        <f>F408+F420+F417+F405</f>
        <v>20215000</v>
      </c>
      <c r="G404" s="534">
        <f>G408+G420+G417+G405</f>
        <v>0</v>
      </c>
      <c r="H404" s="534">
        <f>H408+H420+H417+H405</f>
        <v>0</v>
      </c>
      <c r="I404" s="534">
        <f>I408+I420+I417+I405</f>
        <v>300000</v>
      </c>
      <c r="J404" s="534">
        <f>L404+O404</f>
        <v>0</v>
      </c>
      <c r="K404" s="534">
        <f>K408+K420+K417+K405</f>
        <v>0</v>
      </c>
      <c r="L404" s="534">
        <f>L408+L420+L417+L405</f>
        <v>0</v>
      </c>
      <c r="M404" s="534">
        <f>M408+M420+M417+M405</f>
        <v>0</v>
      </c>
      <c r="N404" s="534">
        <f>N408+N420+N417+N405</f>
        <v>0</v>
      </c>
      <c r="O404" s="534">
        <f>O408+O420+O417+O405</f>
        <v>0</v>
      </c>
      <c r="P404" s="534">
        <f>E404+J404</f>
        <v>20515000</v>
      </c>
      <c r="Q404" s="568" t="b">
        <f>P404=P406+P407+P410+P412+P413+P419+P416</f>
        <v>1</v>
      </c>
      <c r="R404" s="44"/>
    </row>
    <row r="405" spans="1:18" ht="108" customHeight="1" thickTop="1" thickBot="1" x14ac:dyDescent="0.25">
      <c r="A405" s="242" t="s">
        <v>1164</v>
      </c>
      <c r="B405" s="242" t="s">
        <v>684</v>
      </c>
      <c r="C405" s="242"/>
      <c r="D405" s="242" t="s">
        <v>685</v>
      </c>
      <c r="E405" s="522">
        <f t="shared" ref="E405:P405" si="449">SUM(E406:E407)</f>
        <v>3000000</v>
      </c>
      <c r="F405" s="522">
        <f t="shared" si="449"/>
        <v>2700000</v>
      </c>
      <c r="G405" s="522">
        <f t="shared" si="449"/>
        <v>0</v>
      </c>
      <c r="H405" s="522">
        <f t="shared" si="449"/>
        <v>0</v>
      </c>
      <c r="I405" s="522">
        <f t="shared" si="449"/>
        <v>300000</v>
      </c>
      <c r="J405" s="522">
        <f t="shared" si="449"/>
        <v>0</v>
      </c>
      <c r="K405" s="522">
        <f t="shared" si="449"/>
        <v>0</v>
      </c>
      <c r="L405" s="522">
        <f t="shared" si="449"/>
        <v>0</v>
      </c>
      <c r="M405" s="522">
        <f t="shared" si="449"/>
        <v>0</v>
      </c>
      <c r="N405" s="522">
        <f t="shared" si="449"/>
        <v>0</v>
      </c>
      <c r="O405" s="522">
        <f t="shared" si="449"/>
        <v>0</v>
      </c>
      <c r="P405" s="522">
        <f t="shared" si="449"/>
        <v>3000000</v>
      </c>
      <c r="Q405" s="45"/>
      <c r="R405" s="44"/>
    </row>
    <row r="406" spans="1:18" ht="93" hidden="1" thickTop="1" thickBot="1" x14ac:dyDescent="0.25">
      <c r="A406" s="360" t="s">
        <v>1165</v>
      </c>
      <c r="B406" s="360" t="s">
        <v>1086</v>
      </c>
      <c r="C406" s="360" t="s">
        <v>203</v>
      </c>
      <c r="D406" s="411" t="s">
        <v>1087</v>
      </c>
      <c r="E406" s="118">
        <f t="shared" ref="E406" si="450">F406</f>
        <v>0</v>
      </c>
      <c r="F406" s="125">
        <f>(175000)-175000</f>
        <v>0</v>
      </c>
      <c r="G406" s="125"/>
      <c r="H406" s="125"/>
      <c r="I406" s="125"/>
      <c r="J406" s="118">
        <f>L406+O406</f>
        <v>0</v>
      </c>
      <c r="K406" s="125">
        <f>(100000)-100000</f>
        <v>0</v>
      </c>
      <c r="L406" s="125"/>
      <c r="M406" s="125"/>
      <c r="N406" s="125"/>
      <c r="O406" s="123">
        <f>K406</f>
        <v>0</v>
      </c>
      <c r="P406" s="118">
        <f>E406+J406</f>
        <v>0</v>
      </c>
      <c r="Q406" s="45"/>
      <c r="R406" s="44"/>
    </row>
    <row r="407" spans="1:18" ht="93.75" customHeight="1" thickTop="1" thickBot="1" x14ac:dyDescent="0.25">
      <c r="A407" s="94" t="s">
        <v>1347</v>
      </c>
      <c r="B407" s="94" t="s">
        <v>325</v>
      </c>
      <c r="C407" s="94" t="s">
        <v>188</v>
      </c>
      <c r="D407" s="528" t="s">
        <v>326</v>
      </c>
      <c r="E407" s="492">
        <f>F407+I407</f>
        <v>3000000</v>
      </c>
      <c r="F407" s="525">
        <v>2700000</v>
      </c>
      <c r="G407" s="125"/>
      <c r="H407" s="125"/>
      <c r="I407" s="525">
        <v>300000</v>
      </c>
      <c r="J407" s="522">
        <f t="shared" ref="J407" si="451">L407+O407</f>
        <v>0</v>
      </c>
      <c r="K407" s="125"/>
      <c r="L407" s="125"/>
      <c r="M407" s="125"/>
      <c r="N407" s="125"/>
      <c r="O407" s="523">
        <f t="shared" ref="O407" si="452">K407</f>
        <v>0</v>
      </c>
      <c r="P407" s="522">
        <f t="shared" ref="P407" si="453">E407+J407</f>
        <v>3000000</v>
      </c>
      <c r="Q407" s="45"/>
      <c r="R407" s="44"/>
    </row>
    <row r="408" spans="1:18" ht="90" customHeight="1" thickTop="1" thickBot="1" x14ac:dyDescent="0.25">
      <c r="A408" s="242" t="s">
        <v>796</v>
      </c>
      <c r="B408" s="242" t="s">
        <v>719</v>
      </c>
      <c r="C408" s="119"/>
      <c r="D408" s="242" t="s">
        <v>763</v>
      </c>
      <c r="E408" s="531">
        <f t="shared" ref="E408:P408" si="454">E411+E409</f>
        <v>17515000</v>
      </c>
      <c r="F408" s="531">
        <f t="shared" si="454"/>
        <v>17515000</v>
      </c>
      <c r="G408" s="531">
        <f t="shared" si="454"/>
        <v>0</v>
      </c>
      <c r="H408" s="531">
        <f t="shared" si="454"/>
        <v>0</v>
      </c>
      <c r="I408" s="531">
        <f t="shared" si="454"/>
        <v>0</v>
      </c>
      <c r="J408" s="531">
        <f t="shared" si="454"/>
        <v>0</v>
      </c>
      <c r="K408" s="531">
        <f t="shared" si="454"/>
        <v>0</v>
      </c>
      <c r="L408" s="531">
        <f t="shared" si="454"/>
        <v>0</v>
      </c>
      <c r="M408" s="531">
        <f t="shared" si="454"/>
        <v>0</v>
      </c>
      <c r="N408" s="531">
        <f t="shared" si="454"/>
        <v>0</v>
      </c>
      <c r="O408" s="531">
        <f t="shared" si="454"/>
        <v>0</v>
      </c>
      <c r="P408" s="531">
        <f t="shared" si="454"/>
        <v>17515000</v>
      </c>
      <c r="Q408" s="45"/>
      <c r="R408" s="44"/>
    </row>
    <row r="409" spans="1:18" ht="99" customHeight="1" thickTop="1" thickBot="1" x14ac:dyDescent="0.25">
      <c r="A409" s="529" t="s">
        <v>945</v>
      </c>
      <c r="B409" s="529" t="s">
        <v>771</v>
      </c>
      <c r="C409" s="127"/>
      <c r="D409" s="529" t="s">
        <v>1424</v>
      </c>
      <c r="E409" s="530">
        <f>E410</f>
        <v>4950000</v>
      </c>
      <c r="F409" s="530">
        <f>F410</f>
        <v>4950000</v>
      </c>
      <c r="G409" s="530">
        <f t="shared" ref="G409:O409" si="455">G410</f>
        <v>0</v>
      </c>
      <c r="H409" s="530">
        <f t="shared" si="455"/>
        <v>0</v>
      </c>
      <c r="I409" s="530">
        <f t="shared" si="455"/>
        <v>0</v>
      </c>
      <c r="J409" s="530">
        <f t="shared" si="455"/>
        <v>0</v>
      </c>
      <c r="K409" s="530">
        <f t="shared" si="455"/>
        <v>0</v>
      </c>
      <c r="L409" s="530">
        <f t="shared" si="455"/>
        <v>0</v>
      </c>
      <c r="M409" s="530">
        <f t="shared" si="455"/>
        <v>0</v>
      </c>
      <c r="N409" s="530">
        <f t="shared" si="455"/>
        <v>0</v>
      </c>
      <c r="O409" s="530">
        <f t="shared" si="455"/>
        <v>0</v>
      </c>
      <c r="P409" s="530">
        <f>P410</f>
        <v>4950000</v>
      </c>
      <c r="Q409" s="45"/>
      <c r="R409" s="44"/>
    </row>
    <row r="410" spans="1:18" ht="90.75" customHeight="1" thickTop="1" thickBot="1" x14ac:dyDescent="0.25">
      <c r="A410" s="94" t="s">
        <v>946</v>
      </c>
      <c r="B410" s="94" t="s">
        <v>344</v>
      </c>
      <c r="C410" s="94" t="s">
        <v>167</v>
      </c>
      <c r="D410" s="94" t="s">
        <v>258</v>
      </c>
      <c r="E410" s="492">
        <f>F410+I410</f>
        <v>4950000</v>
      </c>
      <c r="F410" s="525">
        <v>4950000</v>
      </c>
      <c r="G410" s="125"/>
      <c r="H410" s="125"/>
      <c r="I410" s="125"/>
      <c r="J410" s="522">
        <f t="shared" ref="J410" si="456">L410+O410</f>
        <v>0</v>
      </c>
      <c r="K410" s="525">
        <f>((0)+5000000-1000000)-4000000</f>
        <v>0</v>
      </c>
      <c r="L410" s="125"/>
      <c r="M410" s="125"/>
      <c r="N410" s="125"/>
      <c r="O410" s="523">
        <f>K410</f>
        <v>0</v>
      </c>
      <c r="P410" s="522">
        <f t="shared" ref="P410" si="457">E410+J410</f>
        <v>4950000</v>
      </c>
      <c r="Q410" s="45"/>
      <c r="R410" s="44"/>
    </row>
    <row r="411" spans="1:18" ht="93" customHeight="1" thickTop="1" thickBot="1" x14ac:dyDescent="0.25">
      <c r="A411" s="529" t="s">
        <v>797</v>
      </c>
      <c r="B411" s="529" t="s">
        <v>665</v>
      </c>
      <c r="C411" s="127"/>
      <c r="D411" s="529" t="s">
        <v>663</v>
      </c>
      <c r="E411" s="530">
        <f>SUM(E412:E416)-E415</f>
        <v>12565000</v>
      </c>
      <c r="F411" s="530">
        <f t="shared" ref="F411:P411" si="458">SUM(F412:F416)-F415</f>
        <v>12565000</v>
      </c>
      <c r="G411" s="530">
        <f t="shared" si="458"/>
        <v>0</v>
      </c>
      <c r="H411" s="530">
        <f t="shared" si="458"/>
        <v>0</v>
      </c>
      <c r="I411" s="530">
        <f t="shared" si="458"/>
        <v>0</v>
      </c>
      <c r="J411" s="530">
        <f>SUM(J412:J416)-J415</f>
        <v>0</v>
      </c>
      <c r="K411" s="530">
        <f t="shared" si="458"/>
        <v>0</v>
      </c>
      <c r="L411" s="530">
        <f t="shared" si="458"/>
        <v>0</v>
      </c>
      <c r="M411" s="530">
        <f t="shared" si="458"/>
        <v>0</v>
      </c>
      <c r="N411" s="530">
        <f t="shared" si="458"/>
        <v>0</v>
      </c>
      <c r="O411" s="530">
        <f t="shared" si="458"/>
        <v>0</v>
      </c>
      <c r="P411" s="530">
        <f t="shared" si="458"/>
        <v>12565000</v>
      </c>
      <c r="Q411" s="45"/>
      <c r="R411" s="44"/>
    </row>
    <row r="412" spans="1:18" ht="87.75" customHeight="1" thickTop="1" thickBot="1" x14ac:dyDescent="0.25">
      <c r="A412" s="94" t="s">
        <v>256</v>
      </c>
      <c r="B412" s="94" t="s">
        <v>257</v>
      </c>
      <c r="C412" s="94" t="s">
        <v>255</v>
      </c>
      <c r="D412" s="94" t="s">
        <v>254</v>
      </c>
      <c r="E412" s="492">
        <f>F412+I412</f>
        <v>12565000</v>
      </c>
      <c r="F412" s="525">
        <v>12565000</v>
      </c>
      <c r="G412" s="125"/>
      <c r="H412" s="125"/>
      <c r="I412" s="125"/>
      <c r="J412" s="522">
        <f t="shared" ref="J412:J416" si="459">L412+O412</f>
        <v>0</v>
      </c>
      <c r="K412" s="125"/>
      <c r="L412" s="125"/>
      <c r="M412" s="125"/>
      <c r="N412" s="125"/>
      <c r="O412" s="523">
        <f>K412</f>
        <v>0</v>
      </c>
      <c r="P412" s="522">
        <f t="shared" ref="P412:P416" si="460">E412+J412</f>
        <v>12565000</v>
      </c>
      <c r="Q412" s="18"/>
      <c r="R412" s="44"/>
    </row>
    <row r="413" spans="1:18" ht="87.75" hidden="1" customHeight="1" thickTop="1" thickBot="1" x14ac:dyDescent="0.25">
      <c r="A413" s="119" t="s">
        <v>248</v>
      </c>
      <c r="B413" s="119" t="s">
        <v>250</v>
      </c>
      <c r="C413" s="119" t="s">
        <v>210</v>
      </c>
      <c r="D413" s="119" t="s">
        <v>249</v>
      </c>
      <c r="E413" s="118"/>
      <c r="F413" s="125"/>
      <c r="G413" s="125"/>
      <c r="H413" s="125"/>
      <c r="I413" s="125"/>
      <c r="J413" s="118">
        <f t="shared" si="459"/>
        <v>0</v>
      </c>
      <c r="K413" s="125"/>
      <c r="L413" s="125"/>
      <c r="M413" s="125"/>
      <c r="N413" s="125"/>
      <c r="O413" s="123">
        <f>K413</f>
        <v>0</v>
      </c>
      <c r="P413" s="118">
        <f t="shared" si="460"/>
        <v>0</v>
      </c>
      <c r="Q413" s="18"/>
      <c r="R413" s="44"/>
    </row>
    <row r="414" spans="1:18" ht="48" hidden="1" thickTop="1" thickBot="1" x14ac:dyDescent="0.25">
      <c r="A414" s="119" t="s">
        <v>1159</v>
      </c>
      <c r="B414" s="119" t="s">
        <v>209</v>
      </c>
      <c r="C414" s="119" t="s">
        <v>210</v>
      </c>
      <c r="D414" s="119" t="s">
        <v>41</v>
      </c>
      <c r="E414" s="118">
        <f t="shared" ref="E414" si="461">F414</f>
        <v>0</v>
      </c>
      <c r="F414" s="125">
        <f>(200000)-200000</f>
        <v>0</v>
      </c>
      <c r="G414" s="125"/>
      <c r="H414" s="125"/>
      <c r="I414" s="125"/>
      <c r="J414" s="118">
        <f t="shared" ref="J414" si="462">L414+O414</f>
        <v>0</v>
      </c>
      <c r="K414" s="125">
        <f>(100000)-100000</f>
        <v>0</v>
      </c>
      <c r="L414" s="125"/>
      <c r="M414" s="125"/>
      <c r="N414" s="125"/>
      <c r="O414" s="123">
        <f>K414</f>
        <v>0</v>
      </c>
      <c r="P414" s="118">
        <f t="shared" ref="P414" si="463">E414+J414</f>
        <v>0</v>
      </c>
      <c r="Q414" s="18"/>
      <c r="R414" s="44"/>
    </row>
    <row r="415" spans="1:18" ht="74.25" hidden="1" customHeight="1" thickTop="1" thickBot="1" x14ac:dyDescent="0.25">
      <c r="A415" s="131" t="s">
        <v>798</v>
      </c>
      <c r="B415" s="131" t="s">
        <v>668</v>
      </c>
      <c r="C415" s="131"/>
      <c r="D415" s="131" t="s">
        <v>666</v>
      </c>
      <c r="E415" s="132">
        <f>E416</f>
        <v>0</v>
      </c>
      <c r="F415" s="132">
        <f t="shared" ref="F415:P415" si="464">F416</f>
        <v>0</v>
      </c>
      <c r="G415" s="132">
        <f t="shared" si="464"/>
        <v>0</v>
      </c>
      <c r="H415" s="132">
        <f t="shared" si="464"/>
        <v>0</v>
      </c>
      <c r="I415" s="132">
        <f t="shared" si="464"/>
        <v>0</v>
      </c>
      <c r="J415" s="132">
        <f t="shared" si="464"/>
        <v>0</v>
      </c>
      <c r="K415" s="132">
        <f t="shared" si="464"/>
        <v>0</v>
      </c>
      <c r="L415" s="132">
        <f t="shared" si="464"/>
        <v>0</v>
      </c>
      <c r="M415" s="132">
        <f t="shared" si="464"/>
        <v>0</v>
      </c>
      <c r="N415" s="132">
        <f t="shared" si="464"/>
        <v>0</v>
      </c>
      <c r="O415" s="132">
        <f t="shared" si="464"/>
        <v>0</v>
      </c>
      <c r="P415" s="132">
        <f t="shared" si="464"/>
        <v>0</v>
      </c>
      <c r="Q415" s="18"/>
      <c r="R415" s="44"/>
    </row>
    <row r="416" spans="1:18" ht="87" hidden="1" customHeight="1" thickTop="1" thickBot="1" x14ac:dyDescent="0.25">
      <c r="A416" s="119" t="s">
        <v>252</v>
      </c>
      <c r="B416" s="119" t="s">
        <v>253</v>
      </c>
      <c r="C416" s="119" t="s">
        <v>167</v>
      </c>
      <c r="D416" s="119" t="s">
        <v>251</v>
      </c>
      <c r="E416" s="118"/>
      <c r="F416" s="125"/>
      <c r="G416" s="125"/>
      <c r="H416" s="125"/>
      <c r="I416" s="125"/>
      <c r="J416" s="118">
        <f t="shared" si="459"/>
        <v>0</v>
      </c>
      <c r="K416" s="125"/>
      <c r="L416" s="125"/>
      <c r="M416" s="125"/>
      <c r="N416" s="125"/>
      <c r="O416" s="123">
        <f>K416</f>
        <v>0</v>
      </c>
      <c r="P416" s="118">
        <f t="shared" si="460"/>
        <v>0</v>
      </c>
      <c r="Q416" s="18"/>
      <c r="R416" s="44"/>
    </row>
    <row r="417" spans="1:18" ht="47.25" hidden="1" thickTop="1" thickBot="1" x14ac:dyDescent="0.25">
      <c r="A417" s="412" t="s">
        <v>1161</v>
      </c>
      <c r="B417" s="412" t="s">
        <v>670</v>
      </c>
      <c r="C417" s="412"/>
      <c r="D417" s="412" t="s">
        <v>671</v>
      </c>
      <c r="E417" s="118">
        <f t="shared" ref="E417:P418" si="465">E418</f>
        <v>0</v>
      </c>
      <c r="F417" s="118">
        <f t="shared" si="465"/>
        <v>0</v>
      </c>
      <c r="G417" s="118">
        <f t="shared" si="465"/>
        <v>0</v>
      </c>
      <c r="H417" s="118">
        <f t="shared" si="465"/>
        <v>0</v>
      </c>
      <c r="I417" s="118">
        <f t="shared" si="465"/>
        <v>0</v>
      </c>
      <c r="J417" s="118">
        <f t="shared" si="465"/>
        <v>0</v>
      </c>
      <c r="K417" s="118">
        <f t="shared" si="465"/>
        <v>0</v>
      </c>
      <c r="L417" s="118">
        <f t="shared" si="465"/>
        <v>0</v>
      </c>
      <c r="M417" s="118">
        <f t="shared" si="465"/>
        <v>0</v>
      </c>
      <c r="N417" s="118">
        <f t="shared" si="465"/>
        <v>0</v>
      </c>
      <c r="O417" s="118">
        <f t="shared" si="465"/>
        <v>0</v>
      </c>
      <c r="P417" s="118">
        <f t="shared" si="465"/>
        <v>0</v>
      </c>
      <c r="Q417" s="18"/>
      <c r="R417" s="44"/>
    </row>
    <row r="418" spans="1:18" ht="47.25" hidden="1" thickTop="1" thickBot="1" x14ac:dyDescent="0.25">
      <c r="A418" s="359" t="s">
        <v>1162</v>
      </c>
      <c r="B418" s="359" t="s">
        <v>1072</v>
      </c>
      <c r="C418" s="359"/>
      <c r="D418" s="359" t="s">
        <v>1070</v>
      </c>
      <c r="E418" s="128">
        <f t="shared" si="465"/>
        <v>0</v>
      </c>
      <c r="F418" s="128">
        <f t="shared" si="465"/>
        <v>0</v>
      </c>
      <c r="G418" s="128">
        <f t="shared" si="465"/>
        <v>0</v>
      </c>
      <c r="H418" s="128">
        <f t="shared" si="465"/>
        <v>0</v>
      </c>
      <c r="I418" s="128">
        <f t="shared" si="465"/>
        <v>0</v>
      </c>
      <c r="J418" s="128">
        <f t="shared" si="465"/>
        <v>0</v>
      </c>
      <c r="K418" s="128">
        <f t="shared" si="465"/>
        <v>0</v>
      </c>
      <c r="L418" s="128">
        <f t="shared" si="465"/>
        <v>0</v>
      </c>
      <c r="M418" s="128">
        <f t="shared" si="465"/>
        <v>0</v>
      </c>
      <c r="N418" s="128">
        <f t="shared" si="465"/>
        <v>0</v>
      </c>
      <c r="O418" s="128">
        <f t="shared" si="465"/>
        <v>0</v>
      </c>
      <c r="P418" s="128">
        <f t="shared" si="465"/>
        <v>0</v>
      </c>
      <c r="Q418" s="18"/>
      <c r="R418" s="44"/>
    </row>
    <row r="419" spans="1:18" ht="48" hidden="1" thickTop="1" thickBot="1" x14ac:dyDescent="0.25">
      <c r="A419" s="360" t="s">
        <v>1163</v>
      </c>
      <c r="B419" s="360" t="s">
        <v>1076</v>
      </c>
      <c r="C419" s="360" t="s">
        <v>1074</v>
      </c>
      <c r="D419" s="360" t="s">
        <v>1073</v>
      </c>
      <c r="E419" s="118">
        <f>F419</f>
        <v>0</v>
      </c>
      <c r="F419" s="125">
        <f>(200000)-200000</f>
        <v>0</v>
      </c>
      <c r="G419" s="125"/>
      <c r="H419" s="125"/>
      <c r="I419" s="125"/>
      <c r="J419" s="118">
        <f>L419+O419</f>
        <v>0</v>
      </c>
      <c r="K419" s="125">
        <f>(100000)-100000</f>
        <v>0</v>
      </c>
      <c r="L419" s="125"/>
      <c r="M419" s="125"/>
      <c r="N419" s="125"/>
      <c r="O419" s="123">
        <f>K419</f>
        <v>0</v>
      </c>
      <c r="P419" s="118">
        <f>E419+J419</f>
        <v>0</v>
      </c>
      <c r="Q419" s="18"/>
      <c r="R419" s="44"/>
    </row>
    <row r="420" spans="1:18" ht="47.25" hidden="1" thickTop="1" thickBot="1" x14ac:dyDescent="0.25">
      <c r="A420" s="116" t="s">
        <v>868</v>
      </c>
      <c r="B420" s="116" t="s">
        <v>675</v>
      </c>
      <c r="C420" s="116"/>
      <c r="D420" s="116" t="s">
        <v>676</v>
      </c>
      <c r="E420" s="118">
        <f>E421</f>
        <v>0</v>
      </c>
      <c r="F420" s="118">
        <f t="shared" ref="F420:P421" si="466">F421</f>
        <v>0</v>
      </c>
      <c r="G420" s="118">
        <f t="shared" si="466"/>
        <v>0</v>
      </c>
      <c r="H420" s="118">
        <f t="shared" si="466"/>
        <v>0</v>
      </c>
      <c r="I420" s="118">
        <f t="shared" si="466"/>
        <v>0</v>
      </c>
      <c r="J420" s="118">
        <f t="shared" si="466"/>
        <v>0</v>
      </c>
      <c r="K420" s="118">
        <f t="shared" si="466"/>
        <v>0</v>
      </c>
      <c r="L420" s="118">
        <f t="shared" si="466"/>
        <v>0</v>
      </c>
      <c r="M420" s="118">
        <f t="shared" si="466"/>
        <v>0</v>
      </c>
      <c r="N420" s="118">
        <f t="shared" si="466"/>
        <v>0</v>
      </c>
      <c r="O420" s="118">
        <f t="shared" si="466"/>
        <v>0</v>
      </c>
      <c r="P420" s="118">
        <f t="shared" si="466"/>
        <v>0</v>
      </c>
      <c r="Q420" s="18"/>
      <c r="R420" s="44"/>
    </row>
    <row r="421" spans="1:18" ht="91.5" hidden="1" thickTop="1" thickBot="1" x14ac:dyDescent="0.25">
      <c r="A421" s="127" t="s">
        <v>869</v>
      </c>
      <c r="B421" s="127" t="s">
        <v>678</v>
      </c>
      <c r="C421" s="127"/>
      <c r="D421" s="127" t="s">
        <v>679</v>
      </c>
      <c r="E421" s="128">
        <f>E422</f>
        <v>0</v>
      </c>
      <c r="F421" s="128">
        <f t="shared" si="466"/>
        <v>0</v>
      </c>
      <c r="G421" s="128">
        <f t="shared" si="466"/>
        <v>0</v>
      </c>
      <c r="H421" s="128">
        <f t="shared" si="466"/>
        <v>0</v>
      </c>
      <c r="I421" s="128">
        <f t="shared" si="466"/>
        <v>0</v>
      </c>
      <c r="J421" s="128">
        <f t="shared" si="466"/>
        <v>0</v>
      </c>
      <c r="K421" s="128">
        <f t="shared" si="466"/>
        <v>0</v>
      </c>
      <c r="L421" s="128">
        <f t="shared" si="466"/>
        <v>0</v>
      </c>
      <c r="M421" s="128">
        <f t="shared" si="466"/>
        <v>0</v>
      </c>
      <c r="N421" s="128">
        <f t="shared" si="466"/>
        <v>0</v>
      </c>
      <c r="O421" s="128">
        <f t="shared" si="466"/>
        <v>0</v>
      </c>
      <c r="P421" s="128">
        <f t="shared" si="466"/>
        <v>0</v>
      </c>
      <c r="Q421" s="18"/>
      <c r="R421" s="44"/>
    </row>
    <row r="422" spans="1:18" ht="48" hidden="1" thickTop="1" thickBot="1" x14ac:dyDescent="0.25">
      <c r="A422" s="119" t="s">
        <v>870</v>
      </c>
      <c r="B422" s="119" t="s">
        <v>356</v>
      </c>
      <c r="C422" s="119" t="s">
        <v>43</v>
      </c>
      <c r="D422" s="119" t="s">
        <v>357</v>
      </c>
      <c r="E422" s="118">
        <f t="shared" ref="E422" si="467">F422</f>
        <v>0</v>
      </c>
      <c r="F422" s="125"/>
      <c r="G422" s="125"/>
      <c r="H422" s="125"/>
      <c r="I422" s="125"/>
      <c r="J422" s="118">
        <f>L422+O422</f>
        <v>0</v>
      </c>
      <c r="K422" s="125"/>
      <c r="L422" s="125"/>
      <c r="M422" s="125"/>
      <c r="N422" s="125"/>
      <c r="O422" s="123">
        <f>K422</f>
        <v>0</v>
      </c>
      <c r="P422" s="118">
        <f>E422+J422</f>
        <v>0</v>
      </c>
      <c r="Q422" s="18"/>
      <c r="R422" s="44"/>
    </row>
    <row r="423" spans="1:18" ht="167.25" customHeight="1" thickTop="1" thickBot="1" x14ac:dyDescent="0.25">
      <c r="A423" s="535" t="s">
        <v>161</v>
      </c>
      <c r="B423" s="535"/>
      <c r="C423" s="535"/>
      <c r="D423" s="536" t="s">
        <v>850</v>
      </c>
      <c r="E423" s="537">
        <f>E424</f>
        <v>9921402</v>
      </c>
      <c r="F423" s="538">
        <f t="shared" ref="F423:G423" si="468">F424</f>
        <v>9421402</v>
      </c>
      <c r="G423" s="538">
        <f t="shared" si="468"/>
        <v>7293001</v>
      </c>
      <c r="H423" s="538">
        <f>H424</f>
        <v>194725</v>
      </c>
      <c r="I423" s="538">
        <f t="shared" ref="I423" si="469">I424</f>
        <v>500000</v>
      </c>
      <c r="J423" s="537">
        <f>J424</f>
        <v>2500000</v>
      </c>
      <c r="K423" s="538">
        <f>K424</f>
        <v>0</v>
      </c>
      <c r="L423" s="538">
        <f>L424</f>
        <v>2500000</v>
      </c>
      <c r="M423" s="538">
        <f t="shared" ref="M423" si="470">M424</f>
        <v>0</v>
      </c>
      <c r="N423" s="538">
        <f>N424</f>
        <v>0</v>
      </c>
      <c r="O423" s="537">
        <f>O424</f>
        <v>0</v>
      </c>
      <c r="P423" s="538">
        <f t="shared" ref="P423" si="471">P424</f>
        <v>12421402</v>
      </c>
      <c r="Q423" s="18"/>
    </row>
    <row r="424" spans="1:18" ht="176.25" customHeight="1" thickTop="1" thickBot="1" x14ac:dyDescent="0.25">
      <c r="A424" s="532" t="s">
        <v>162</v>
      </c>
      <c r="B424" s="532"/>
      <c r="C424" s="532"/>
      <c r="D424" s="533" t="s">
        <v>849</v>
      </c>
      <c r="E424" s="534">
        <f>E425+E428+E431</f>
        <v>9921402</v>
      </c>
      <c r="F424" s="534">
        <f t="shared" ref="F424:P424" si="472">F425+F428+F431</f>
        <v>9421402</v>
      </c>
      <c r="G424" s="534">
        <f>G425+G428+G431</f>
        <v>7293001</v>
      </c>
      <c r="H424" s="534">
        <f t="shared" si="472"/>
        <v>194725</v>
      </c>
      <c r="I424" s="534">
        <f t="shared" si="472"/>
        <v>500000</v>
      </c>
      <c r="J424" s="534">
        <f>J425+J428+J431</f>
        <v>2500000</v>
      </c>
      <c r="K424" s="534">
        <f t="shared" si="472"/>
        <v>0</v>
      </c>
      <c r="L424" s="534">
        <f>L425+L428+L431</f>
        <v>2500000</v>
      </c>
      <c r="M424" s="534">
        <f t="shared" si="472"/>
        <v>0</v>
      </c>
      <c r="N424" s="534">
        <f t="shared" si="472"/>
        <v>0</v>
      </c>
      <c r="O424" s="534">
        <f t="shared" si="472"/>
        <v>0</v>
      </c>
      <c r="P424" s="534">
        <f t="shared" si="472"/>
        <v>12421402</v>
      </c>
      <c r="Q424" s="568" t="b">
        <f>P424=P426+P430+P432</f>
        <v>1</v>
      </c>
      <c r="R424" s="44"/>
    </row>
    <row r="425" spans="1:18" ht="113.25" customHeight="1" thickTop="1" thickBot="1" x14ac:dyDescent="0.25">
      <c r="A425" s="242" t="s">
        <v>799</v>
      </c>
      <c r="B425" s="242" t="s">
        <v>658</v>
      </c>
      <c r="C425" s="242"/>
      <c r="D425" s="242" t="s">
        <v>659</v>
      </c>
      <c r="E425" s="522">
        <f>SUM(E426:E427)</f>
        <v>9421402</v>
      </c>
      <c r="F425" s="522">
        <f t="shared" ref="F425" si="473">SUM(F426:F427)</f>
        <v>9421402</v>
      </c>
      <c r="G425" s="522">
        <f t="shared" ref="G425" si="474">SUM(G426:G427)</f>
        <v>7293001</v>
      </c>
      <c r="H425" s="522">
        <f t="shared" ref="H425" si="475">SUM(H426:H427)</f>
        <v>194725</v>
      </c>
      <c r="I425" s="522">
        <f t="shared" ref="I425" si="476">SUM(I426:I427)</f>
        <v>0</v>
      </c>
      <c r="J425" s="522">
        <f t="shared" ref="J425" si="477">SUM(J426:J427)</f>
        <v>0</v>
      </c>
      <c r="K425" s="522">
        <f t="shared" ref="K425" si="478">SUM(K426:K427)</f>
        <v>0</v>
      </c>
      <c r="L425" s="522">
        <f t="shared" ref="L425" si="479">SUM(L426:L427)</f>
        <v>0</v>
      </c>
      <c r="M425" s="522">
        <f t="shared" ref="M425" si="480">SUM(M426:M427)</f>
        <v>0</v>
      </c>
      <c r="N425" s="522">
        <f t="shared" ref="N425" si="481">SUM(N426:N427)</f>
        <v>0</v>
      </c>
      <c r="O425" s="522">
        <f>SUM(O426:O427)</f>
        <v>0</v>
      </c>
      <c r="P425" s="522">
        <f t="shared" ref="P425" si="482">SUM(P426:P427)</f>
        <v>9421402</v>
      </c>
      <c r="Q425" s="45"/>
      <c r="R425" s="44"/>
    </row>
    <row r="426" spans="1:18" ht="155.25" customHeight="1" thickTop="1" thickBot="1" x14ac:dyDescent="0.25">
      <c r="A426" s="94" t="s">
        <v>414</v>
      </c>
      <c r="B426" s="94" t="s">
        <v>233</v>
      </c>
      <c r="C426" s="94" t="s">
        <v>231</v>
      </c>
      <c r="D426" s="94" t="s">
        <v>1554</v>
      </c>
      <c r="E426" s="542">
        <f>F426+I426</f>
        <v>9421402</v>
      </c>
      <c r="F426" s="525">
        <v>9421402</v>
      </c>
      <c r="G426" s="525">
        <v>7293001</v>
      </c>
      <c r="H426" s="525">
        <v>194725</v>
      </c>
      <c r="I426" s="525"/>
      <c r="J426" s="522">
        <f t="shared" ref="J426:J430" si="483">L426+O426</f>
        <v>0</v>
      </c>
      <c r="K426" s="525"/>
      <c r="L426" s="525"/>
      <c r="M426" s="525"/>
      <c r="N426" s="525"/>
      <c r="O426" s="523">
        <f>K426</f>
        <v>0</v>
      </c>
      <c r="P426" s="522">
        <f t="shared" ref="P426:P430" si="484">E426+J426</f>
        <v>9421402</v>
      </c>
      <c r="Q426" s="45"/>
      <c r="R426" s="44"/>
    </row>
    <row r="427" spans="1:18" ht="93" hidden="1" thickTop="1" thickBot="1" x14ac:dyDescent="0.25">
      <c r="A427" s="39" t="s">
        <v>611</v>
      </c>
      <c r="B427" s="39" t="s">
        <v>355</v>
      </c>
      <c r="C427" s="39" t="s">
        <v>603</v>
      </c>
      <c r="D427" s="39" t="s">
        <v>604</v>
      </c>
      <c r="E427" s="143">
        <f>F427</f>
        <v>0</v>
      </c>
      <c r="F427" s="120">
        <v>0</v>
      </c>
      <c r="G427" s="120"/>
      <c r="H427" s="120"/>
      <c r="I427" s="120"/>
      <c r="J427" s="118">
        <f t="shared" si="483"/>
        <v>0</v>
      </c>
      <c r="K427" s="120"/>
      <c r="L427" s="121"/>
      <c r="M427" s="121"/>
      <c r="N427" s="121"/>
      <c r="O427" s="123">
        <f t="shared" ref="O427" si="485">K427</f>
        <v>0</v>
      </c>
      <c r="P427" s="118">
        <f t="shared" ref="P427" si="486">+J427+E427</f>
        <v>0</v>
      </c>
      <c r="Q427" s="45"/>
      <c r="R427" s="44"/>
    </row>
    <row r="428" spans="1:18" ht="94.5" customHeight="1" thickTop="1" thickBot="1" x14ac:dyDescent="0.25">
      <c r="A428" s="242" t="s">
        <v>800</v>
      </c>
      <c r="B428" s="242" t="s">
        <v>670</v>
      </c>
      <c r="C428" s="242"/>
      <c r="D428" s="242" t="s">
        <v>671</v>
      </c>
      <c r="E428" s="542">
        <f>E429</f>
        <v>0</v>
      </c>
      <c r="F428" s="542">
        <f t="shared" ref="F428:P429" si="487">F429</f>
        <v>0</v>
      </c>
      <c r="G428" s="542">
        <f t="shared" si="487"/>
        <v>0</v>
      </c>
      <c r="H428" s="542">
        <f t="shared" si="487"/>
        <v>0</v>
      </c>
      <c r="I428" s="542">
        <f t="shared" si="487"/>
        <v>0</v>
      </c>
      <c r="J428" s="542">
        <f t="shared" si="487"/>
        <v>2500000</v>
      </c>
      <c r="K428" s="542">
        <f t="shared" si="487"/>
        <v>0</v>
      </c>
      <c r="L428" s="542">
        <f t="shared" si="487"/>
        <v>2500000</v>
      </c>
      <c r="M428" s="542">
        <f t="shared" si="487"/>
        <v>0</v>
      </c>
      <c r="N428" s="542">
        <f t="shared" si="487"/>
        <v>0</v>
      </c>
      <c r="O428" s="542">
        <f t="shared" si="487"/>
        <v>0</v>
      </c>
      <c r="P428" s="542">
        <f t="shared" si="487"/>
        <v>2500000</v>
      </c>
      <c r="Q428" s="45"/>
      <c r="R428" s="44"/>
    </row>
    <row r="429" spans="1:18" ht="103.5" customHeight="1" thickTop="1" thickBot="1" x14ac:dyDescent="0.25">
      <c r="A429" s="529" t="s">
        <v>801</v>
      </c>
      <c r="B429" s="529" t="s">
        <v>802</v>
      </c>
      <c r="C429" s="529"/>
      <c r="D429" s="529" t="s">
        <v>1611</v>
      </c>
      <c r="E429" s="569">
        <f>E430</f>
        <v>0</v>
      </c>
      <c r="F429" s="569">
        <f t="shared" si="487"/>
        <v>0</v>
      </c>
      <c r="G429" s="569">
        <f t="shared" si="487"/>
        <v>0</v>
      </c>
      <c r="H429" s="569">
        <f t="shared" si="487"/>
        <v>0</v>
      </c>
      <c r="I429" s="569">
        <f t="shared" si="487"/>
        <v>0</v>
      </c>
      <c r="J429" s="569">
        <f t="shared" si="487"/>
        <v>2500000</v>
      </c>
      <c r="K429" s="569">
        <f t="shared" ref="K429:P429" si="488">K430</f>
        <v>0</v>
      </c>
      <c r="L429" s="569">
        <f t="shared" si="488"/>
        <v>2500000</v>
      </c>
      <c r="M429" s="569">
        <f t="shared" si="488"/>
        <v>0</v>
      </c>
      <c r="N429" s="569">
        <f t="shared" si="488"/>
        <v>0</v>
      </c>
      <c r="O429" s="569">
        <f t="shared" si="488"/>
        <v>0</v>
      </c>
      <c r="P429" s="569">
        <f t="shared" si="488"/>
        <v>2500000</v>
      </c>
      <c r="Q429" s="45"/>
      <c r="R429" s="44"/>
    </row>
    <row r="430" spans="1:18" ht="114" customHeight="1" thickTop="1" thickBot="1" x14ac:dyDescent="0.25">
      <c r="A430" s="94" t="s">
        <v>1034</v>
      </c>
      <c r="B430" s="94" t="s">
        <v>1035</v>
      </c>
      <c r="C430" s="94" t="s">
        <v>51</v>
      </c>
      <c r="D430" s="94" t="s">
        <v>1036</v>
      </c>
      <c r="E430" s="522"/>
      <c r="F430" s="525"/>
      <c r="G430" s="525"/>
      <c r="H430" s="525"/>
      <c r="I430" s="525"/>
      <c r="J430" s="522">
        <f t="shared" si="483"/>
        <v>2500000</v>
      </c>
      <c r="K430" s="522"/>
      <c r="L430" s="525">
        <v>2500000</v>
      </c>
      <c r="M430" s="525"/>
      <c r="N430" s="525"/>
      <c r="O430" s="523"/>
      <c r="P430" s="522">
        <f t="shared" si="484"/>
        <v>2500000</v>
      </c>
      <c r="Q430" s="568" t="b">
        <f>J430='d9'!F38</f>
        <v>1</v>
      </c>
    </row>
    <row r="431" spans="1:18" ht="87.75" customHeight="1" thickTop="1" thickBot="1" x14ac:dyDescent="0.25">
      <c r="A431" s="242" t="s">
        <v>1128</v>
      </c>
      <c r="B431" s="242" t="s">
        <v>675</v>
      </c>
      <c r="C431" s="242"/>
      <c r="D431" s="242" t="s">
        <v>676</v>
      </c>
      <c r="E431" s="522">
        <f t="shared" ref="E431:L431" si="489">E432</f>
        <v>500000</v>
      </c>
      <c r="F431" s="522">
        <f t="shared" si="489"/>
        <v>0</v>
      </c>
      <c r="G431" s="522">
        <f t="shared" si="489"/>
        <v>0</v>
      </c>
      <c r="H431" s="522">
        <f t="shared" si="489"/>
        <v>0</v>
      </c>
      <c r="I431" s="522">
        <f t="shared" si="489"/>
        <v>500000</v>
      </c>
      <c r="J431" s="522">
        <f t="shared" si="489"/>
        <v>0</v>
      </c>
      <c r="K431" s="522">
        <f t="shared" si="489"/>
        <v>0</v>
      </c>
      <c r="L431" s="522">
        <f t="shared" si="489"/>
        <v>0</v>
      </c>
      <c r="M431" s="522">
        <f t="shared" ref="M431:P431" si="490">M432</f>
        <v>0</v>
      </c>
      <c r="N431" s="522">
        <f t="shared" si="490"/>
        <v>0</v>
      </c>
      <c r="O431" s="522">
        <f t="shared" si="490"/>
        <v>0</v>
      </c>
      <c r="P431" s="522">
        <f t="shared" si="490"/>
        <v>500000</v>
      </c>
      <c r="Q431" s="45"/>
    </row>
    <row r="432" spans="1:18" ht="179.25" customHeight="1" thickTop="1" thickBot="1" x14ac:dyDescent="0.25">
      <c r="A432" s="94" t="s">
        <v>1127</v>
      </c>
      <c r="B432" s="94" t="s">
        <v>502</v>
      </c>
      <c r="C432" s="94" t="s">
        <v>43</v>
      </c>
      <c r="D432" s="94" t="s">
        <v>503</v>
      </c>
      <c r="E432" s="522">
        <f>F432+I432</f>
        <v>500000</v>
      </c>
      <c r="F432" s="525">
        <v>0</v>
      </c>
      <c r="G432" s="525"/>
      <c r="H432" s="525"/>
      <c r="I432" s="525">
        <v>500000</v>
      </c>
      <c r="J432" s="522">
        <f>L432+O432</f>
        <v>0</v>
      </c>
      <c r="K432" s="525"/>
      <c r="L432" s="525"/>
      <c r="M432" s="525"/>
      <c r="N432" s="525"/>
      <c r="O432" s="523">
        <f>(K432+0)</f>
        <v>0</v>
      </c>
      <c r="P432" s="522">
        <f>E432+J432</f>
        <v>500000</v>
      </c>
      <c r="Q432" s="45"/>
    </row>
    <row r="433" spans="1:19" ht="151.5" customHeight="1" thickTop="1" thickBot="1" x14ac:dyDescent="0.25">
      <c r="A433" s="535" t="s">
        <v>159</v>
      </c>
      <c r="B433" s="535"/>
      <c r="C433" s="535"/>
      <c r="D433" s="536" t="s">
        <v>859</v>
      </c>
      <c r="E433" s="537">
        <f>E434</f>
        <v>14255325</v>
      </c>
      <c r="F433" s="538">
        <f t="shared" ref="F433:G433" si="491">F434</f>
        <v>14255325</v>
      </c>
      <c r="G433" s="538">
        <f t="shared" si="491"/>
        <v>10738734</v>
      </c>
      <c r="H433" s="538">
        <f>H434</f>
        <v>290000</v>
      </c>
      <c r="I433" s="538">
        <f t="shared" ref="I433" si="492">I434</f>
        <v>0</v>
      </c>
      <c r="J433" s="537">
        <f>J434</f>
        <v>0</v>
      </c>
      <c r="K433" s="538">
        <f>K434</f>
        <v>0</v>
      </c>
      <c r="L433" s="538">
        <f>L434</f>
        <v>0</v>
      </c>
      <c r="M433" s="538">
        <f t="shared" ref="M433" si="493">M434</f>
        <v>0</v>
      </c>
      <c r="N433" s="538">
        <f>N434</f>
        <v>0</v>
      </c>
      <c r="O433" s="537">
        <f>O434</f>
        <v>0</v>
      </c>
      <c r="P433" s="538">
        <f t="shared" ref="P433" si="494">P434</f>
        <v>14255325</v>
      </c>
      <c r="Q433" s="18"/>
    </row>
    <row r="434" spans="1:19" ht="157.5" customHeight="1" thickTop="1" thickBot="1" x14ac:dyDescent="0.25">
      <c r="A434" s="532" t="s">
        <v>160</v>
      </c>
      <c r="B434" s="532"/>
      <c r="C434" s="532"/>
      <c r="D434" s="533" t="s">
        <v>858</v>
      </c>
      <c r="E434" s="534">
        <f>E435+E437</f>
        <v>14255325</v>
      </c>
      <c r="F434" s="534">
        <f t="shared" ref="F434:I434" si="495">F435+F437</f>
        <v>14255325</v>
      </c>
      <c r="G434" s="534">
        <f t="shared" si="495"/>
        <v>10738734</v>
      </c>
      <c r="H434" s="534">
        <f t="shared" si="495"/>
        <v>290000</v>
      </c>
      <c r="I434" s="534">
        <f t="shared" si="495"/>
        <v>0</v>
      </c>
      <c r="J434" s="534">
        <f>L434+O434</f>
        <v>0</v>
      </c>
      <c r="K434" s="534">
        <f t="shared" ref="K434:O434" si="496">K435+K437</f>
        <v>0</v>
      </c>
      <c r="L434" s="534">
        <f t="shared" si="496"/>
        <v>0</v>
      </c>
      <c r="M434" s="534">
        <f t="shared" si="496"/>
        <v>0</v>
      </c>
      <c r="N434" s="534">
        <f t="shared" si="496"/>
        <v>0</v>
      </c>
      <c r="O434" s="534">
        <f t="shared" si="496"/>
        <v>0</v>
      </c>
      <c r="P434" s="534">
        <f>E434+J434</f>
        <v>14255325</v>
      </c>
      <c r="Q434" s="568" t="b">
        <f>P434=P436+P439</f>
        <v>1</v>
      </c>
      <c r="R434" s="43"/>
    </row>
    <row r="435" spans="1:19" ht="141" customHeight="1" thickTop="1" thickBot="1" x14ac:dyDescent="0.25">
      <c r="A435" s="504" t="s">
        <v>803</v>
      </c>
      <c r="B435" s="504" t="s">
        <v>658</v>
      </c>
      <c r="C435" s="504"/>
      <c r="D435" s="504" t="s">
        <v>659</v>
      </c>
      <c r="E435" s="506">
        <f>SUM(E436)</f>
        <v>13855325</v>
      </c>
      <c r="F435" s="506">
        <f t="shared" ref="F435:P435" si="497">SUM(F436)</f>
        <v>13855325</v>
      </c>
      <c r="G435" s="506">
        <f t="shared" si="497"/>
        <v>10738734</v>
      </c>
      <c r="H435" s="506">
        <f t="shared" si="497"/>
        <v>290000</v>
      </c>
      <c r="I435" s="506">
        <f t="shared" si="497"/>
        <v>0</v>
      </c>
      <c r="J435" s="506">
        <f t="shared" si="497"/>
        <v>0</v>
      </c>
      <c r="K435" s="506">
        <f t="shared" si="497"/>
        <v>0</v>
      </c>
      <c r="L435" s="506">
        <f t="shared" si="497"/>
        <v>0</v>
      </c>
      <c r="M435" s="506">
        <f t="shared" si="497"/>
        <v>0</v>
      </c>
      <c r="N435" s="506">
        <f t="shared" si="497"/>
        <v>0</v>
      </c>
      <c r="O435" s="506">
        <f t="shared" si="497"/>
        <v>0</v>
      </c>
      <c r="P435" s="506">
        <f t="shared" si="497"/>
        <v>13855325</v>
      </c>
      <c r="Q435" s="45"/>
      <c r="R435" s="43"/>
    </row>
    <row r="436" spans="1:19" ht="152.25" customHeight="1" thickTop="1" thickBot="1" x14ac:dyDescent="0.25">
      <c r="A436" s="490" t="s">
        <v>410</v>
      </c>
      <c r="B436" s="490" t="s">
        <v>233</v>
      </c>
      <c r="C436" s="490" t="s">
        <v>231</v>
      </c>
      <c r="D436" s="94" t="s">
        <v>1554</v>
      </c>
      <c r="E436" s="522">
        <f>F436+I436</f>
        <v>13855325</v>
      </c>
      <c r="F436" s="508">
        <v>13855325</v>
      </c>
      <c r="G436" s="508">
        <v>10738734</v>
      </c>
      <c r="H436" s="508">
        <v>290000</v>
      </c>
      <c r="I436" s="508"/>
      <c r="J436" s="506">
        <f>L436+O436</f>
        <v>0</v>
      </c>
      <c r="K436" s="508"/>
      <c r="L436" s="508"/>
      <c r="M436" s="508"/>
      <c r="N436" s="508"/>
      <c r="O436" s="509">
        <f>K436</f>
        <v>0</v>
      </c>
      <c r="P436" s="506">
        <f>E436+J436</f>
        <v>13855325</v>
      </c>
      <c r="Q436" s="18"/>
      <c r="R436" s="43"/>
    </row>
    <row r="437" spans="1:19" ht="109.5" customHeight="1" thickTop="1" thickBot="1" x14ac:dyDescent="0.25">
      <c r="A437" s="242" t="s">
        <v>804</v>
      </c>
      <c r="B437" s="242" t="s">
        <v>719</v>
      </c>
      <c r="C437" s="94"/>
      <c r="D437" s="242" t="s">
        <v>763</v>
      </c>
      <c r="E437" s="522">
        <f t="shared" ref="E437:P437" si="498">E438+E440</f>
        <v>400000</v>
      </c>
      <c r="F437" s="522">
        <f t="shared" si="498"/>
        <v>400000</v>
      </c>
      <c r="G437" s="522">
        <f t="shared" si="498"/>
        <v>0</v>
      </c>
      <c r="H437" s="522">
        <f t="shared" si="498"/>
        <v>0</v>
      </c>
      <c r="I437" s="522">
        <f t="shared" si="498"/>
        <v>0</v>
      </c>
      <c r="J437" s="522">
        <f t="shared" si="498"/>
        <v>0</v>
      </c>
      <c r="K437" s="522">
        <f t="shared" si="498"/>
        <v>0</v>
      </c>
      <c r="L437" s="522">
        <f t="shared" si="498"/>
        <v>0</v>
      </c>
      <c r="M437" s="522">
        <f t="shared" si="498"/>
        <v>0</v>
      </c>
      <c r="N437" s="522">
        <f t="shared" si="498"/>
        <v>0</v>
      </c>
      <c r="O437" s="522">
        <f t="shared" si="498"/>
        <v>0</v>
      </c>
      <c r="P437" s="522">
        <f t="shared" si="498"/>
        <v>400000</v>
      </c>
      <c r="Q437" s="18"/>
      <c r="R437" s="45"/>
    </row>
    <row r="438" spans="1:19" ht="103.5" customHeight="1" thickTop="1" thickBot="1" x14ac:dyDescent="0.25">
      <c r="A438" s="529" t="s">
        <v>805</v>
      </c>
      <c r="B438" s="529" t="s">
        <v>806</v>
      </c>
      <c r="C438" s="529"/>
      <c r="D438" s="529" t="s">
        <v>807</v>
      </c>
      <c r="E438" s="545">
        <f>SUM(E439)</f>
        <v>400000</v>
      </c>
      <c r="F438" s="545">
        <f t="shared" ref="F438:P438" si="499">SUM(F439)</f>
        <v>400000</v>
      </c>
      <c r="G438" s="545">
        <f t="shared" si="499"/>
        <v>0</v>
      </c>
      <c r="H438" s="545">
        <f t="shared" si="499"/>
        <v>0</v>
      </c>
      <c r="I438" s="545">
        <f t="shared" si="499"/>
        <v>0</v>
      </c>
      <c r="J438" s="545">
        <f t="shared" si="499"/>
        <v>0</v>
      </c>
      <c r="K438" s="545">
        <f t="shared" si="499"/>
        <v>0</v>
      </c>
      <c r="L438" s="545">
        <f t="shared" si="499"/>
        <v>0</v>
      </c>
      <c r="M438" s="545">
        <f t="shared" si="499"/>
        <v>0</v>
      </c>
      <c r="N438" s="545">
        <f t="shared" si="499"/>
        <v>0</v>
      </c>
      <c r="O438" s="545">
        <f t="shared" si="499"/>
        <v>0</v>
      </c>
      <c r="P438" s="545">
        <f t="shared" si="499"/>
        <v>400000</v>
      </c>
      <c r="Q438" s="18"/>
      <c r="R438" s="45"/>
    </row>
    <row r="439" spans="1:19" ht="123" customHeight="1" thickTop="1" thickBot="1" x14ac:dyDescent="0.25">
      <c r="A439" s="94" t="s">
        <v>302</v>
      </c>
      <c r="B439" s="94" t="s">
        <v>303</v>
      </c>
      <c r="C439" s="94" t="s">
        <v>304</v>
      </c>
      <c r="D439" s="94" t="s">
        <v>451</v>
      </c>
      <c r="E439" s="522">
        <f>F439+I439</f>
        <v>400000</v>
      </c>
      <c r="F439" s="525">
        <v>400000</v>
      </c>
      <c r="G439" s="525"/>
      <c r="H439" s="525"/>
      <c r="I439" s="525"/>
      <c r="J439" s="522">
        <f>L439+O439</f>
        <v>0</v>
      </c>
      <c r="K439" s="525"/>
      <c r="L439" s="525"/>
      <c r="M439" s="525"/>
      <c r="N439" s="525"/>
      <c r="O439" s="523">
        <f>(K439)</f>
        <v>0</v>
      </c>
      <c r="P439" s="522">
        <f>E439+J439</f>
        <v>400000</v>
      </c>
      <c r="Q439" s="18"/>
      <c r="R439" s="43"/>
    </row>
    <row r="440" spans="1:19" ht="47.25" hidden="1" thickTop="1" thickBot="1" x14ac:dyDescent="0.25">
      <c r="A440" s="127" t="s">
        <v>808</v>
      </c>
      <c r="B440" s="127" t="s">
        <v>665</v>
      </c>
      <c r="C440" s="119"/>
      <c r="D440" s="127" t="s">
        <v>809</v>
      </c>
      <c r="E440" s="128">
        <f>SUM(E441)</f>
        <v>0</v>
      </c>
      <c r="F440" s="128">
        <f t="shared" ref="F440:P440" si="500">SUM(F441)</f>
        <v>0</v>
      </c>
      <c r="G440" s="128">
        <f t="shared" si="500"/>
        <v>0</v>
      </c>
      <c r="H440" s="128">
        <f t="shared" si="500"/>
        <v>0</v>
      </c>
      <c r="I440" s="128">
        <f t="shared" si="500"/>
        <v>0</v>
      </c>
      <c r="J440" s="128">
        <f t="shared" si="500"/>
        <v>0</v>
      </c>
      <c r="K440" s="128">
        <f t="shared" si="500"/>
        <v>0</v>
      </c>
      <c r="L440" s="128">
        <f t="shared" si="500"/>
        <v>0</v>
      </c>
      <c r="M440" s="128">
        <f t="shared" si="500"/>
        <v>0</v>
      </c>
      <c r="N440" s="128">
        <f t="shared" si="500"/>
        <v>0</v>
      </c>
      <c r="O440" s="128">
        <f t="shared" si="500"/>
        <v>0</v>
      </c>
      <c r="P440" s="128">
        <f t="shared" si="500"/>
        <v>0</v>
      </c>
      <c r="Q440" s="18"/>
    </row>
    <row r="441" spans="1:19" ht="48" hidden="1" thickTop="1" thickBot="1" x14ac:dyDescent="0.25">
      <c r="A441" s="119" t="s">
        <v>361</v>
      </c>
      <c r="B441" s="119" t="s">
        <v>362</v>
      </c>
      <c r="C441" s="119" t="s">
        <v>167</v>
      </c>
      <c r="D441" s="119" t="s">
        <v>363</v>
      </c>
      <c r="E441" s="118"/>
      <c r="F441" s="125"/>
      <c r="G441" s="125"/>
      <c r="H441" s="125"/>
      <c r="I441" s="125"/>
      <c r="J441" s="118">
        <f>L441+O441</f>
        <v>0</v>
      </c>
      <c r="K441" s="125"/>
      <c r="L441" s="125"/>
      <c r="M441" s="125"/>
      <c r="N441" s="125"/>
      <c r="O441" s="123">
        <f>K441</f>
        <v>0</v>
      </c>
      <c r="P441" s="118">
        <f>E441+J441</f>
        <v>0</v>
      </c>
      <c r="Q441" s="18"/>
      <c r="R441" s="43"/>
    </row>
    <row r="442" spans="1:19" ht="168.75" customHeight="1" thickTop="1" thickBot="1" x14ac:dyDescent="0.25">
      <c r="A442" s="535" t="s">
        <v>165</v>
      </c>
      <c r="B442" s="535"/>
      <c r="C442" s="535"/>
      <c r="D442" s="536" t="s">
        <v>27</v>
      </c>
      <c r="E442" s="537">
        <f>E443</f>
        <v>242479922.63999999</v>
      </c>
      <c r="F442" s="538">
        <f t="shared" ref="F442:G442" si="501">F443</f>
        <v>242479922.63999999</v>
      </c>
      <c r="G442" s="538">
        <f t="shared" si="501"/>
        <v>12216998</v>
      </c>
      <c r="H442" s="538">
        <f>H443</f>
        <v>295931</v>
      </c>
      <c r="I442" s="538">
        <f t="shared" ref="I442" si="502">I443</f>
        <v>0</v>
      </c>
      <c r="J442" s="537">
        <f>J443</f>
        <v>0</v>
      </c>
      <c r="K442" s="538">
        <f>K443</f>
        <v>0</v>
      </c>
      <c r="L442" s="538">
        <f>L443</f>
        <v>0</v>
      </c>
      <c r="M442" s="538">
        <f t="shared" ref="M442" si="503">M443</f>
        <v>0</v>
      </c>
      <c r="N442" s="538">
        <f>N443</f>
        <v>0</v>
      </c>
      <c r="O442" s="537">
        <f>O443</f>
        <v>0</v>
      </c>
      <c r="P442" s="538">
        <f t="shared" ref="P442" si="504">P443</f>
        <v>242479922.63999999</v>
      </c>
      <c r="Q442" s="18"/>
    </row>
    <row r="443" spans="1:19" ht="160.5" customHeight="1" thickTop="1" thickBot="1" x14ac:dyDescent="0.25">
      <c r="A443" s="532" t="s">
        <v>166</v>
      </c>
      <c r="B443" s="532"/>
      <c r="C443" s="532"/>
      <c r="D443" s="533" t="s">
        <v>40</v>
      </c>
      <c r="E443" s="534">
        <f>E444+E450+E457+E447</f>
        <v>242479922.63999999</v>
      </c>
      <c r="F443" s="534">
        <f t="shared" ref="F443:P443" si="505">F444+F450+F457+F447</f>
        <v>242479922.63999999</v>
      </c>
      <c r="G443" s="534">
        <f t="shared" si="505"/>
        <v>12216998</v>
      </c>
      <c r="H443" s="534">
        <f t="shared" si="505"/>
        <v>295931</v>
      </c>
      <c r="I443" s="534">
        <f t="shared" si="505"/>
        <v>0</v>
      </c>
      <c r="J443" s="534">
        <f t="shared" si="505"/>
        <v>0</v>
      </c>
      <c r="K443" s="534">
        <f t="shared" si="505"/>
        <v>0</v>
      </c>
      <c r="L443" s="534">
        <f t="shared" si="505"/>
        <v>0</v>
      </c>
      <c r="M443" s="534">
        <f t="shared" si="505"/>
        <v>0</v>
      </c>
      <c r="N443" s="534">
        <f t="shared" si="505"/>
        <v>0</v>
      </c>
      <c r="O443" s="534">
        <f t="shared" si="505"/>
        <v>0</v>
      </c>
      <c r="P443" s="534">
        <f t="shared" si="505"/>
        <v>242479922.63999999</v>
      </c>
      <c r="Q443" s="568" t="b">
        <f>P443=P445+P451+P453+P459</f>
        <v>1</v>
      </c>
      <c r="R443" s="43"/>
    </row>
    <row r="444" spans="1:19" ht="103.5" customHeight="1" thickTop="1" thickBot="1" x14ac:dyDescent="0.25">
      <c r="A444" s="504" t="s">
        <v>810</v>
      </c>
      <c r="B444" s="504" t="s">
        <v>658</v>
      </c>
      <c r="C444" s="504"/>
      <c r="D444" s="504" t="s">
        <v>659</v>
      </c>
      <c r="E444" s="506">
        <f>SUM(E445:E446)</f>
        <v>15519199</v>
      </c>
      <c r="F444" s="506">
        <f t="shared" ref="F444:P444" si="506">SUM(F445:F446)</f>
        <v>15519199</v>
      </c>
      <c r="G444" s="506">
        <f t="shared" si="506"/>
        <v>12216998</v>
      </c>
      <c r="H444" s="506">
        <f t="shared" si="506"/>
        <v>295931</v>
      </c>
      <c r="I444" s="506">
        <f t="shared" si="506"/>
        <v>0</v>
      </c>
      <c r="J444" s="506">
        <f t="shared" si="506"/>
        <v>0</v>
      </c>
      <c r="K444" s="506">
        <f t="shared" si="506"/>
        <v>0</v>
      </c>
      <c r="L444" s="506">
        <f t="shared" si="506"/>
        <v>0</v>
      </c>
      <c r="M444" s="506">
        <f t="shared" si="506"/>
        <v>0</v>
      </c>
      <c r="N444" s="506">
        <f t="shared" si="506"/>
        <v>0</v>
      </c>
      <c r="O444" s="506">
        <f t="shared" si="506"/>
        <v>0</v>
      </c>
      <c r="P444" s="506">
        <f t="shared" si="506"/>
        <v>15519199</v>
      </c>
      <c r="Q444" s="45"/>
      <c r="R444" s="48"/>
    </row>
    <row r="445" spans="1:19" ht="152.25" customHeight="1" thickTop="1" thickBot="1" x14ac:dyDescent="0.25">
      <c r="A445" s="490" t="s">
        <v>412</v>
      </c>
      <c r="B445" s="490" t="s">
        <v>233</v>
      </c>
      <c r="C445" s="490" t="s">
        <v>231</v>
      </c>
      <c r="D445" s="490" t="s">
        <v>1554</v>
      </c>
      <c r="E445" s="506">
        <f>F445+I445</f>
        <v>15519199</v>
      </c>
      <c r="F445" s="508">
        <v>15519199</v>
      </c>
      <c r="G445" s="508">
        <v>12216998</v>
      </c>
      <c r="H445" s="508">
        <v>295931</v>
      </c>
      <c r="I445" s="508"/>
      <c r="J445" s="506">
        <f>L445+O445</f>
        <v>0</v>
      </c>
      <c r="K445" s="508"/>
      <c r="L445" s="508"/>
      <c r="M445" s="508"/>
      <c r="N445" s="508"/>
      <c r="O445" s="509">
        <f>K445</f>
        <v>0</v>
      </c>
      <c r="P445" s="506">
        <f>E445+J445</f>
        <v>15519199</v>
      </c>
      <c r="Q445" s="45"/>
      <c r="R445" s="48"/>
      <c r="S445" s="45"/>
    </row>
    <row r="446" spans="1:19" ht="93" hidden="1" thickTop="1" thickBot="1" x14ac:dyDescent="0.25">
      <c r="A446" s="119" t="s">
        <v>612</v>
      </c>
      <c r="B446" s="119" t="s">
        <v>355</v>
      </c>
      <c r="C446" s="119" t="s">
        <v>603</v>
      </c>
      <c r="D446" s="119" t="s">
        <v>604</v>
      </c>
      <c r="E446" s="143">
        <f>F446</f>
        <v>0</v>
      </c>
      <c r="F446" s="120"/>
      <c r="G446" s="120"/>
      <c r="H446" s="120"/>
      <c r="I446" s="120"/>
      <c r="J446" s="118">
        <f t="shared" ref="J446" si="507">L446+O446</f>
        <v>0</v>
      </c>
      <c r="K446" s="120"/>
      <c r="L446" s="121"/>
      <c r="M446" s="121"/>
      <c r="N446" s="121"/>
      <c r="O446" s="123">
        <f t="shared" ref="O446" si="508">K446</f>
        <v>0</v>
      </c>
      <c r="P446" s="118">
        <f t="shared" ref="P446" si="509">+J446+E446</f>
        <v>0</v>
      </c>
      <c r="Q446" s="45"/>
      <c r="R446" s="48"/>
    </row>
    <row r="447" spans="1:19" ht="47.25" hidden="1" thickTop="1" thickBot="1" x14ac:dyDescent="0.25">
      <c r="A447" s="127" t="s">
        <v>1090</v>
      </c>
      <c r="B447" s="127" t="s">
        <v>665</v>
      </c>
      <c r="C447" s="127"/>
      <c r="D447" s="127" t="s">
        <v>663</v>
      </c>
      <c r="E447" s="155">
        <f>E448</f>
        <v>0</v>
      </c>
      <c r="F447" s="155">
        <f t="shared" ref="F447:P448" si="510">F448</f>
        <v>0</v>
      </c>
      <c r="G447" s="155">
        <f t="shared" si="510"/>
        <v>0</v>
      </c>
      <c r="H447" s="155">
        <f t="shared" si="510"/>
        <v>0</v>
      </c>
      <c r="I447" s="155">
        <f t="shared" si="510"/>
        <v>0</v>
      </c>
      <c r="J447" s="155">
        <f t="shared" si="510"/>
        <v>0</v>
      </c>
      <c r="K447" s="155">
        <f t="shared" si="510"/>
        <v>0</v>
      </c>
      <c r="L447" s="155">
        <f t="shared" si="510"/>
        <v>0</v>
      </c>
      <c r="M447" s="155">
        <f t="shared" si="510"/>
        <v>0</v>
      </c>
      <c r="N447" s="155">
        <f t="shared" si="510"/>
        <v>0</v>
      </c>
      <c r="O447" s="155">
        <f t="shared" si="510"/>
        <v>0</v>
      </c>
      <c r="P447" s="155">
        <f t="shared" si="510"/>
        <v>0</v>
      </c>
      <c r="Q447" s="45"/>
      <c r="R447" s="48"/>
    </row>
    <row r="448" spans="1:19" ht="48" hidden="1" thickTop="1" thickBot="1" x14ac:dyDescent="0.25">
      <c r="A448" s="131" t="s">
        <v>1091</v>
      </c>
      <c r="B448" s="131" t="s">
        <v>668</v>
      </c>
      <c r="C448" s="131"/>
      <c r="D448" s="131" t="s">
        <v>666</v>
      </c>
      <c r="E448" s="132">
        <f>E449</f>
        <v>0</v>
      </c>
      <c r="F448" s="132">
        <f t="shared" si="510"/>
        <v>0</v>
      </c>
      <c r="G448" s="132">
        <f t="shared" si="510"/>
        <v>0</v>
      </c>
      <c r="H448" s="132">
        <f t="shared" si="510"/>
        <v>0</v>
      </c>
      <c r="I448" s="132">
        <f t="shared" si="510"/>
        <v>0</v>
      </c>
      <c r="J448" s="132">
        <f t="shared" si="510"/>
        <v>0</v>
      </c>
      <c r="K448" s="132">
        <f t="shared" si="510"/>
        <v>0</v>
      </c>
      <c r="L448" s="132">
        <f t="shared" si="510"/>
        <v>0</v>
      </c>
      <c r="M448" s="132">
        <f t="shared" si="510"/>
        <v>0</v>
      </c>
      <c r="N448" s="132">
        <f t="shared" si="510"/>
        <v>0</v>
      </c>
      <c r="O448" s="132">
        <f t="shared" si="510"/>
        <v>0</v>
      </c>
      <c r="P448" s="132">
        <f t="shared" si="510"/>
        <v>0</v>
      </c>
      <c r="Q448" s="45"/>
      <c r="R448" s="48"/>
    </row>
    <row r="449" spans="1:18" ht="48" hidden="1" thickTop="1" thickBot="1" x14ac:dyDescent="0.25">
      <c r="A449" s="119" t="s">
        <v>1092</v>
      </c>
      <c r="B449" s="119" t="s">
        <v>253</v>
      </c>
      <c r="C449" s="119" t="s">
        <v>167</v>
      </c>
      <c r="D449" s="119" t="s">
        <v>251</v>
      </c>
      <c r="E449" s="118">
        <f t="shared" ref="E449" si="511">F449</f>
        <v>0</v>
      </c>
      <c r="F449" s="125"/>
      <c r="G449" s="125"/>
      <c r="H449" s="125"/>
      <c r="I449" s="125"/>
      <c r="J449" s="118">
        <f t="shared" ref="J449" si="512">L449+O449</f>
        <v>0</v>
      </c>
      <c r="K449" s="125"/>
      <c r="L449" s="125"/>
      <c r="M449" s="125"/>
      <c r="N449" s="125"/>
      <c r="O449" s="123">
        <f>K449</f>
        <v>0</v>
      </c>
      <c r="P449" s="118">
        <f t="shared" ref="P449" si="513">E449+J449</f>
        <v>0</v>
      </c>
      <c r="Q449" s="45"/>
      <c r="R449" s="48"/>
    </row>
    <row r="450" spans="1:18" ht="90.75" customHeight="1" thickTop="1" thickBot="1" x14ac:dyDescent="0.25">
      <c r="A450" s="504" t="s">
        <v>811</v>
      </c>
      <c r="B450" s="504" t="s">
        <v>670</v>
      </c>
      <c r="C450" s="504"/>
      <c r="D450" s="504" t="s">
        <v>671</v>
      </c>
      <c r="E450" s="492">
        <f t="shared" ref="E450:P450" si="514">E451+E452+E454</f>
        <v>21674223.640000001</v>
      </c>
      <c r="F450" s="492">
        <f t="shared" si="514"/>
        <v>21674223.640000001</v>
      </c>
      <c r="G450" s="492">
        <f t="shared" si="514"/>
        <v>0</v>
      </c>
      <c r="H450" s="492">
        <f t="shared" si="514"/>
        <v>0</v>
      </c>
      <c r="I450" s="492">
        <f t="shared" si="514"/>
        <v>0</v>
      </c>
      <c r="J450" s="492">
        <f t="shared" si="514"/>
        <v>0</v>
      </c>
      <c r="K450" s="492">
        <f t="shared" si="514"/>
        <v>0</v>
      </c>
      <c r="L450" s="492">
        <f t="shared" si="514"/>
        <v>0</v>
      </c>
      <c r="M450" s="492">
        <f t="shared" si="514"/>
        <v>0</v>
      </c>
      <c r="N450" s="492">
        <f t="shared" si="514"/>
        <v>0</v>
      </c>
      <c r="O450" s="492">
        <f t="shared" si="514"/>
        <v>0</v>
      </c>
      <c r="P450" s="492">
        <f t="shared" si="514"/>
        <v>21674223.640000001</v>
      </c>
      <c r="Q450" s="45"/>
      <c r="R450" s="48"/>
    </row>
    <row r="451" spans="1:18" ht="100.5" customHeight="1" thickTop="1" thickBot="1" x14ac:dyDescent="0.25">
      <c r="A451" s="571">
        <v>3718600</v>
      </c>
      <c r="B451" s="571">
        <v>8600</v>
      </c>
      <c r="C451" s="517" t="s">
        <v>355</v>
      </c>
      <c r="D451" s="571" t="s">
        <v>444</v>
      </c>
      <c r="E451" s="506">
        <f>F451+I451</f>
        <v>782309.64</v>
      </c>
      <c r="F451" s="516">
        <v>782309.64</v>
      </c>
      <c r="G451" s="516"/>
      <c r="H451" s="516"/>
      <c r="I451" s="516"/>
      <c r="J451" s="516">
        <f>L451+O451</f>
        <v>0</v>
      </c>
      <c r="K451" s="516"/>
      <c r="L451" s="516"/>
      <c r="M451" s="516"/>
      <c r="N451" s="516"/>
      <c r="O451" s="572">
        <f>K451</f>
        <v>0</v>
      </c>
      <c r="P451" s="516">
        <f>E451+J451</f>
        <v>782309.64</v>
      </c>
      <c r="Q451" s="18"/>
    </row>
    <row r="452" spans="1:18" ht="116.25" customHeight="1" thickTop="1" thickBot="1" x14ac:dyDescent="0.25">
      <c r="A452" s="571">
        <v>3718700</v>
      </c>
      <c r="B452" s="571">
        <v>8700</v>
      </c>
      <c r="C452" s="517"/>
      <c r="D452" s="571" t="s">
        <v>812</v>
      </c>
      <c r="E452" s="516">
        <f t="shared" ref="E452:P452" si="515">E453</f>
        <v>20891914</v>
      </c>
      <c r="F452" s="516">
        <f t="shared" si="515"/>
        <v>20891914</v>
      </c>
      <c r="G452" s="516">
        <f t="shared" si="515"/>
        <v>0</v>
      </c>
      <c r="H452" s="516">
        <f t="shared" si="515"/>
        <v>0</v>
      </c>
      <c r="I452" s="516">
        <f t="shared" si="515"/>
        <v>0</v>
      </c>
      <c r="J452" s="516">
        <f t="shared" si="515"/>
        <v>0</v>
      </c>
      <c r="K452" s="516">
        <f t="shared" si="515"/>
        <v>0</v>
      </c>
      <c r="L452" s="516">
        <f t="shared" si="515"/>
        <v>0</v>
      </c>
      <c r="M452" s="516">
        <f t="shared" si="515"/>
        <v>0</v>
      </c>
      <c r="N452" s="516">
        <f t="shared" si="515"/>
        <v>0</v>
      </c>
      <c r="O452" s="516">
        <f t="shared" si="515"/>
        <v>0</v>
      </c>
      <c r="P452" s="516">
        <f t="shared" si="515"/>
        <v>20891914</v>
      </c>
      <c r="Q452" s="18"/>
    </row>
    <row r="453" spans="1:18" ht="122.25" customHeight="1" thickTop="1" thickBot="1" x14ac:dyDescent="0.25">
      <c r="A453" s="496">
        <v>3718710</v>
      </c>
      <c r="B453" s="496">
        <v>8710</v>
      </c>
      <c r="C453" s="490" t="s">
        <v>42</v>
      </c>
      <c r="D453" s="507" t="s">
        <v>617</v>
      </c>
      <c r="E453" s="506">
        <f>F453+I453</f>
        <v>20891914</v>
      </c>
      <c r="F453" s="508">
        <v>20891914</v>
      </c>
      <c r="G453" s="508"/>
      <c r="H453" s="508"/>
      <c r="I453" s="508"/>
      <c r="J453" s="506">
        <f>L453+O453</f>
        <v>0</v>
      </c>
      <c r="K453" s="508"/>
      <c r="L453" s="508"/>
      <c r="M453" s="508"/>
      <c r="N453" s="508"/>
      <c r="O453" s="509">
        <f>K453</f>
        <v>0</v>
      </c>
      <c r="P453" s="506">
        <f>E453+J453</f>
        <v>20891914</v>
      </c>
      <c r="Q453" s="18"/>
    </row>
    <row r="454" spans="1:18" ht="47.25" hidden="1" thickTop="1" thickBot="1" x14ac:dyDescent="0.25">
      <c r="A454" s="156">
        <v>3718800</v>
      </c>
      <c r="B454" s="156">
        <v>8800</v>
      </c>
      <c r="C454" s="127"/>
      <c r="D454" s="156" t="s">
        <v>820</v>
      </c>
      <c r="E454" s="128">
        <f>E455</f>
        <v>0</v>
      </c>
      <c r="F454" s="128">
        <f>F455</f>
        <v>0</v>
      </c>
      <c r="G454" s="128">
        <f t="shared" ref="G454:P455" si="516">G455</f>
        <v>0</v>
      </c>
      <c r="H454" s="128">
        <f t="shared" si="516"/>
        <v>0</v>
      </c>
      <c r="I454" s="128">
        <f t="shared" si="516"/>
        <v>0</v>
      </c>
      <c r="J454" s="128">
        <f t="shared" si="516"/>
        <v>0</v>
      </c>
      <c r="K454" s="128">
        <f t="shared" si="516"/>
        <v>0</v>
      </c>
      <c r="L454" s="128">
        <f t="shared" si="516"/>
        <v>0</v>
      </c>
      <c r="M454" s="128">
        <f t="shared" si="516"/>
        <v>0</v>
      </c>
      <c r="N454" s="128">
        <f t="shared" si="516"/>
        <v>0</v>
      </c>
      <c r="O454" s="128">
        <f t="shared" si="516"/>
        <v>0</v>
      </c>
      <c r="P454" s="128">
        <f t="shared" si="516"/>
        <v>0</v>
      </c>
      <c r="Q454" s="18"/>
    </row>
    <row r="455" spans="1:18" ht="93" hidden="1" thickTop="1" thickBot="1" x14ac:dyDescent="0.25">
      <c r="A455" s="157">
        <v>3718880</v>
      </c>
      <c r="B455" s="157">
        <v>8880</v>
      </c>
      <c r="C455" s="131"/>
      <c r="D455" s="144" t="s">
        <v>1048</v>
      </c>
      <c r="E455" s="132">
        <f>E456</f>
        <v>0</v>
      </c>
      <c r="F455" s="132">
        <f t="shared" ref="F455" si="517">F456</f>
        <v>0</v>
      </c>
      <c r="G455" s="132">
        <f t="shared" si="516"/>
        <v>0</v>
      </c>
      <c r="H455" s="132">
        <f t="shared" si="516"/>
        <v>0</v>
      </c>
      <c r="I455" s="132">
        <f t="shared" si="516"/>
        <v>0</v>
      </c>
      <c r="J455" s="132">
        <f t="shared" si="516"/>
        <v>0</v>
      </c>
      <c r="K455" s="132">
        <f t="shared" si="516"/>
        <v>0</v>
      </c>
      <c r="L455" s="132">
        <f t="shared" si="516"/>
        <v>0</v>
      </c>
      <c r="M455" s="132">
        <f t="shared" si="516"/>
        <v>0</v>
      </c>
      <c r="N455" s="132">
        <f t="shared" si="516"/>
        <v>0</v>
      </c>
      <c r="O455" s="132">
        <f t="shared" si="516"/>
        <v>0</v>
      </c>
      <c r="P455" s="132">
        <f t="shared" si="516"/>
        <v>0</v>
      </c>
      <c r="Q455" s="18"/>
    </row>
    <row r="456" spans="1:18" ht="93" hidden="1" thickTop="1" thickBot="1" x14ac:dyDescent="0.25">
      <c r="A456" s="119">
        <v>3718881</v>
      </c>
      <c r="B456" s="119">
        <v>8881</v>
      </c>
      <c r="C456" s="119" t="s">
        <v>167</v>
      </c>
      <c r="D456" s="119" t="s">
        <v>1049</v>
      </c>
      <c r="E456" s="143">
        <f>F456</f>
        <v>0</v>
      </c>
      <c r="F456" s="120">
        <f>(2500000)-2500000</f>
        <v>0</v>
      </c>
      <c r="G456" s="120"/>
      <c r="H456" s="120"/>
      <c r="I456" s="120"/>
      <c r="J456" s="118">
        <f t="shared" ref="J456" si="518">L456+O456</f>
        <v>0</v>
      </c>
      <c r="K456" s="120"/>
      <c r="L456" s="121"/>
      <c r="M456" s="121"/>
      <c r="N456" s="121"/>
      <c r="O456" s="123">
        <f t="shared" ref="O456" si="519">K456</f>
        <v>0</v>
      </c>
      <c r="P456" s="118">
        <f t="shared" ref="P456" si="520">+J456+E456</f>
        <v>0</v>
      </c>
      <c r="Q456" s="18"/>
    </row>
    <row r="457" spans="1:18" ht="144" customHeight="1" thickTop="1" thickBot="1" x14ac:dyDescent="0.25">
      <c r="A457" s="504" t="s">
        <v>813</v>
      </c>
      <c r="B457" s="504" t="s">
        <v>675</v>
      </c>
      <c r="C457" s="504"/>
      <c r="D457" s="504" t="s">
        <v>676</v>
      </c>
      <c r="E457" s="506">
        <f>E458</f>
        <v>205286500</v>
      </c>
      <c r="F457" s="506">
        <f t="shared" ref="F457:P458" si="521">F458</f>
        <v>205286500</v>
      </c>
      <c r="G457" s="506">
        <f t="shared" si="521"/>
        <v>0</v>
      </c>
      <c r="H457" s="506">
        <f t="shared" si="521"/>
        <v>0</v>
      </c>
      <c r="I457" s="506">
        <f t="shared" si="521"/>
        <v>0</v>
      </c>
      <c r="J457" s="506">
        <f t="shared" si="521"/>
        <v>0</v>
      </c>
      <c r="K457" s="506">
        <f t="shared" si="521"/>
        <v>0</v>
      </c>
      <c r="L457" s="506">
        <f t="shared" si="521"/>
        <v>0</v>
      </c>
      <c r="M457" s="506">
        <f t="shared" si="521"/>
        <v>0</v>
      </c>
      <c r="N457" s="506">
        <f t="shared" si="521"/>
        <v>0</v>
      </c>
      <c r="O457" s="506">
        <f t="shared" si="521"/>
        <v>0</v>
      </c>
      <c r="P457" s="506">
        <f t="shared" si="521"/>
        <v>205286500</v>
      </c>
      <c r="Q457" s="18"/>
    </row>
    <row r="458" spans="1:18" ht="90.75" customHeight="1" thickTop="1" thickBot="1" x14ac:dyDescent="0.25">
      <c r="A458" s="571">
        <v>3719100</v>
      </c>
      <c r="B458" s="517" t="s">
        <v>815</v>
      </c>
      <c r="C458" s="517"/>
      <c r="D458" s="517" t="s">
        <v>814</v>
      </c>
      <c r="E458" s="516">
        <f>E459</f>
        <v>205286500</v>
      </c>
      <c r="F458" s="516">
        <f t="shared" si="521"/>
        <v>205286500</v>
      </c>
      <c r="G458" s="516">
        <f t="shared" si="521"/>
        <v>0</v>
      </c>
      <c r="H458" s="516">
        <f t="shared" si="521"/>
        <v>0</v>
      </c>
      <c r="I458" s="516">
        <f t="shared" si="521"/>
        <v>0</v>
      </c>
      <c r="J458" s="516">
        <f t="shared" si="521"/>
        <v>0</v>
      </c>
      <c r="K458" s="516">
        <f t="shared" si="521"/>
        <v>0</v>
      </c>
      <c r="L458" s="516">
        <f t="shared" si="521"/>
        <v>0</v>
      </c>
      <c r="M458" s="516">
        <f t="shared" si="521"/>
        <v>0</v>
      </c>
      <c r="N458" s="516">
        <f t="shared" si="521"/>
        <v>0</v>
      </c>
      <c r="O458" s="516">
        <f t="shared" si="521"/>
        <v>0</v>
      </c>
      <c r="P458" s="516">
        <f t="shared" si="521"/>
        <v>205286500</v>
      </c>
      <c r="Q458" s="18"/>
    </row>
    <row r="459" spans="1:18" ht="98.25" customHeight="1" thickTop="1" thickBot="1" x14ac:dyDescent="0.25">
      <c r="A459" s="496">
        <v>3719110</v>
      </c>
      <c r="B459" s="496">
        <v>9110</v>
      </c>
      <c r="C459" s="490" t="s">
        <v>43</v>
      </c>
      <c r="D459" s="507" t="s">
        <v>443</v>
      </c>
      <c r="E459" s="506">
        <f>F459+I459</f>
        <v>205286500</v>
      </c>
      <c r="F459" s="508">
        <v>205286500</v>
      </c>
      <c r="G459" s="508"/>
      <c r="H459" s="508"/>
      <c r="I459" s="508"/>
      <c r="J459" s="506">
        <f>L459+O459</f>
        <v>0</v>
      </c>
      <c r="K459" s="508"/>
      <c r="L459" s="508"/>
      <c r="M459" s="508"/>
      <c r="N459" s="508"/>
      <c r="O459" s="509">
        <f>K459</f>
        <v>0</v>
      </c>
      <c r="P459" s="506">
        <f>E459+J459</f>
        <v>205286500</v>
      </c>
      <c r="Q459" s="18"/>
    </row>
    <row r="460" spans="1:18" ht="111" customHeight="1" thickTop="1" thickBot="1" x14ac:dyDescent="0.25">
      <c r="A460" s="338" t="s">
        <v>374</v>
      </c>
      <c r="B460" s="338" t="s">
        <v>374</v>
      </c>
      <c r="C460" s="338" t="s">
        <v>374</v>
      </c>
      <c r="D460" s="338" t="s">
        <v>384</v>
      </c>
      <c r="E460" s="339">
        <f t="shared" ref="E460:P460" si="522">E16+E50+E233+E116+E150+E212++E338+E372+E443+E404+E424+E434+E383+E303+E270</f>
        <v>4258321250.4200001</v>
      </c>
      <c r="F460" s="339">
        <f t="shared" si="522"/>
        <v>4113181275.04</v>
      </c>
      <c r="G460" s="339">
        <f t="shared" si="522"/>
        <v>1547364305</v>
      </c>
      <c r="H460" s="339">
        <f t="shared" si="522"/>
        <v>236290762.80000001</v>
      </c>
      <c r="I460" s="339">
        <f t="shared" si="522"/>
        <v>145139975.38</v>
      </c>
      <c r="J460" s="339">
        <f t="shared" si="522"/>
        <v>433404552.19999999</v>
      </c>
      <c r="K460" s="339">
        <f t="shared" si="522"/>
        <v>138604134.19999999</v>
      </c>
      <c r="L460" s="339">
        <f t="shared" si="522"/>
        <v>288357838</v>
      </c>
      <c r="M460" s="339">
        <f t="shared" si="522"/>
        <v>94613348</v>
      </c>
      <c r="N460" s="339">
        <f t="shared" si="522"/>
        <v>22564681</v>
      </c>
      <c r="O460" s="339">
        <f t="shared" si="522"/>
        <v>145046714.19999999</v>
      </c>
      <c r="P460" s="339">
        <f t="shared" si="522"/>
        <v>4691725802.6199999</v>
      </c>
      <c r="Q460" s="674" t="b">
        <f>P460=J460+E460</f>
        <v>1</v>
      </c>
    </row>
    <row r="461" spans="1:18" ht="100.5" customHeight="1" thickTop="1" x14ac:dyDescent="0.2">
      <c r="A461" s="754" t="s">
        <v>1626</v>
      </c>
      <c r="B461" s="755"/>
      <c r="C461" s="755"/>
      <c r="D461" s="755"/>
      <c r="E461" s="755"/>
      <c r="F461" s="755"/>
      <c r="G461" s="755"/>
      <c r="H461" s="755"/>
      <c r="I461" s="755"/>
      <c r="J461" s="755"/>
      <c r="K461" s="755"/>
      <c r="L461" s="755"/>
      <c r="M461" s="755"/>
      <c r="N461" s="755"/>
      <c r="O461" s="755"/>
      <c r="P461" s="755"/>
      <c r="Q461" s="54"/>
    </row>
    <row r="462" spans="1:18" ht="60.75" hidden="1" x14ac:dyDescent="0.2">
      <c r="A462" s="14"/>
      <c r="B462" s="15"/>
      <c r="C462" s="15"/>
      <c r="D462" s="15"/>
      <c r="E462" s="310">
        <f>4258321250.42</f>
        <v>4258321250.4200001</v>
      </c>
      <c r="F462" s="673">
        <f>E462-I462</f>
        <v>4113181275.04</v>
      </c>
      <c r="G462" s="310">
        <f>62360046+153879882+992420019+130531876+134899923+67121127+2029652+7121780-3000000</f>
        <v>1547364305</v>
      </c>
      <c r="H462" s="310">
        <f>4605854+8720850+206052876.8+6514567+7906600+2074410+60665+1000+353940</f>
        <v>236290762.80000001</v>
      </c>
      <c r="I462" s="310">
        <f>59714005.72+5000000+11296777.66+4515254+38979000+853750+455000+14007403+55255+500000+355530+300000+9000000+108000</f>
        <v>145139975.38</v>
      </c>
      <c r="J462" s="310">
        <f>436401090.58+'d2'!E43+'d4'!O29</f>
        <v>433404552.19999999</v>
      </c>
      <c r="K462" s="673">
        <f>445401090.58+'d2'!F43-'d4'!P29-7105000-2500000-285195418-9000000</f>
        <v>138604134.19999999</v>
      </c>
      <c r="L462" s="310">
        <f>(7105000-200000)+2500000+246446950+(2753240+56400+5107483+6500000-15000)+2621245+(16072750-590230)</f>
        <v>288357838</v>
      </c>
      <c r="M462" s="310">
        <f>5909411+76220850+11552040+931047</f>
        <v>94613348</v>
      </c>
      <c r="N462" s="310">
        <f>1624000+19910850+489580+540251</f>
        <v>22564681</v>
      </c>
      <c r="O462" s="310">
        <f>436401090.58+'d2'!F43-'d4'!O29-7105000-2500000-285195418+200000+15000+5637350+590230</f>
        <v>145046714.19999999</v>
      </c>
      <c r="P462" s="310">
        <f>4694722341-2996538.38</f>
        <v>4691725802.6199999</v>
      </c>
      <c r="Q462" s="77" t="b">
        <f>E462+J462=P462</f>
        <v>1</v>
      </c>
      <c r="R462" s="54"/>
    </row>
    <row r="463" spans="1:18" ht="45.75" x14ac:dyDescent="0.65">
      <c r="A463" s="14"/>
      <c r="B463" s="15"/>
      <c r="C463" s="15"/>
      <c r="D463" s="756" t="s">
        <v>1447</v>
      </c>
      <c r="E463" s="756"/>
      <c r="F463" s="243"/>
      <c r="G463" s="2"/>
      <c r="H463" s="3"/>
      <c r="I463" s="2"/>
      <c r="J463" s="3"/>
      <c r="K463" s="2" t="s">
        <v>1448</v>
      </c>
      <c r="L463" s="2"/>
      <c r="M463" s="2"/>
      <c r="N463" s="2"/>
      <c r="O463" s="2"/>
      <c r="P463" s="2"/>
      <c r="Q463" s="54"/>
    </row>
    <row r="464" spans="1:18" ht="45.75" hidden="1" x14ac:dyDescent="0.65">
      <c r="A464" s="158"/>
      <c r="B464" s="159"/>
      <c r="C464" s="159"/>
      <c r="D464" s="3" t="s">
        <v>1254</v>
      </c>
      <c r="E464" s="243"/>
      <c r="F464" s="243"/>
      <c r="G464" s="2"/>
      <c r="H464" s="3"/>
      <c r="I464" s="2"/>
      <c r="J464" s="3"/>
      <c r="K464" s="3" t="s">
        <v>1255</v>
      </c>
      <c r="L464" s="186"/>
      <c r="M464" s="186"/>
      <c r="N464" s="186"/>
      <c r="O464" s="186"/>
      <c r="P464" s="186"/>
      <c r="Q464" s="54"/>
    </row>
    <row r="465" spans="1:18" ht="91.5" hidden="1" x14ac:dyDescent="0.65">
      <c r="A465" s="158"/>
      <c r="B465" s="159"/>
      <c r="C465" s="159"/>
      <c r="D465" s="349" t="s">
        <v>1509</v>
      </c>
      <c r="E465" s="243"/>
      <c r="F465" s="243"/>
      <c r="G465" s="2"/>
      <c r="H465" s="3"/>
      <c r="I465" s="2"/>
      <c r="J465" s="3"/>
      <c r="K465" s="254" t="s">
        <v>1508</v>
      </c>
      <c r="L465" s="186"/>
      <c r="M465" s="186"/>
      <c r="N465" s="186"/>
      <c r="O465" s="186"/>
      <c r="P465" s="186"/>
      <c r="Q465" s="54"/>
    </row>
    <row r="466" spans="1:18" ht="26.45" customHeight="1" x14ac:dyDescent="0.65">
      <c r="A466" s="14"/>
      <c r="B466" s="15"/>
      <c r="C466" s="15"/>
      <c r="D466" s="747"/>
      <c r="E466" s="747"/>
      <c r="F466" s="747"/>
      <c r="G466" s="747"/>
      <c r="H466" s="747"/>
      <c r="I466" s="747"/>
      <c r="J466" s="747"/>
      <c r="K466" s="747"/>
      <c r="L466" s="747"/>
      <c r="M466" s="747"/>
      <c r="N466" s="747"/>
      <c r="O466" s="747"/>
      <c r="P466" s="747"/>
      <c r="Q466" s="81"/>
    </row>
    <row r="467" spans="1:18" ht="50.25" customHeight="1" thickBot="1" x14ac:dyDescent="0.7">
      <c r="A467" s="14"/>
      <c r="B467" s="15"/>
      <c r="C467" s="15"/>
      <c r="D467" s="752" t="s">
        <v>506</v>
      </c>
      <c r="E467" s="753"/>
      <c r="F467" s="753"/>
      <c r="G467" s="254"/>
      <c r="H467" s="254"/>
      <c r="I467" s="2"/>
      <c r="J467" s="2"/>
      <c r="K467" s="3" t="s">
        <v>1175</v>
      </c>
      <c r="L467" s="2"/>
      <c r="M467" s="2"/>
      <c r="N467" s="2"/>
      <c r="O467" s="2"/>
      <c r="P467" s="2"/>
      <c r="Q467" s="81"/>
    </row>
    <row r="468" spans="1:18" ht="47.25" thickTop="1" thickBot="1" x14ac:dyDescent="0.7">
      <c r="A468" s="17"/>
      <c r="B468" s="17"/>
      <c r="C468" s="17"/>
      <c r="D468" s="746"/>
      <c r="E468" s="746"/>
      <c r="F468" s="746"/>
      <c r="G468" s="746"/>
      <c r="H468" s="746"/>
      <c r="I468" s="746"/>
      <c r="J468" s="746"/>
      <c r="K468" s="746"/>
      <c r="L468" s="746"/>
      <c r="M468" s="746"/>
      <c r="N468" s="746"/>
      <c r="O468" s="746"/>
      <c r="P468" s="746"/>
      <c r="Q468" s="82"/>
    </row>
    <row r="469" spans="1:18" ht="95.25" customHeight="1" thickTop="1" x14ac:dyDescent="0.55000000000000004">
      <c r="E469" s="312"/>
      <c r="G469" s="56"/>
      <c r="H469" s="56"/>
      <c r="I469" s="89"/>
      <c r="J469" s="90"/>
      <c r="K469" s="90"/>
      <c r="L469" s="89"/>
      <c r="M469" s="89"/>
      <c r="N469" s="89"/>
      <c r="O469" s="89"/>
      <c r="P469" s="90"/>
      <c r="Q469" s="80"/>
    </row>
    <row r="470" spans="1:18" x14ac:dyDescent="0.2">
      <c r="E470" s="57"/>
      <c r="F470" s="58"/>
      <c r="G470" s="56"/>
      <c r="H470" s="56"/>
      <c r="I470" s="89"/>
      <c r="J470" s="91"/>
      <c r="K470" s="91"/>
      <c r="L470" s="89"/>
      <c r="M470" s="89"/>
      <c r="N470" s="89"/>
      <c r="O470" s="89"/>
      <c r="P470" s="90"/>
    </row>
    <row r="471" spans="1:18" x14ac:dyDescent="0.2">
      <c r="E471" s="57"/>
      <c r="F471" s="58"/>
      <c r="G471" s="56"/>
      <c r="H471" s="56"/>
      <c r="I471" s="89"/>
      <c r="J471" s="91"/>
      <c r="K471" s="91"/>
      <c r="L471" s="89"/>
      <c r="M471" s="89"/>
      <c r="N471" s="89"/>
      <c r="O471" s="89"/>
      <c r="P471" s="90"/>
    </row>
    <row r="472" spans="1:18" ht="60.75" x14ac:dyDescent="0.2">
      <c r="E472" s="312" t="b">
        <f>E462=E460</f>
        <v>1</v>
      </c>
      <c r="F472" s="312" t="b">
        <f>F462=F460</f>
        <v>1</v>
      </c>
      <c r="G472" s="312" t="b">
        <f>G462=G460</f>
        <v>1</v>
      </c>
      <c r="H472" s="312" t="b">
        <f t="shared" ref="H472:O472" si="523">H462=H460</f>
        <v>1</v>
      </c>
      <c r="I472" s="312" t="b">
        <f>I462=I460</f>
        <v>1</v>
      </c>
      <c r="J472" s="312" t="b">
        <f>J462=J460</f>
        <v>1</v>
      </c>
      <c r="K472" s="312" t="b">
        <f>K462=K460</f>
        <v>1</v>
      </c>
      <c r="L472" s="312" t="b">
        <f t="shared" si="523"/>
        <v>1</v>
      </c>
      <c r="M472" s="312" t="b">
        <f t="shared" si="523"/>
        <v>1</v>
      </c>
      <c r="N472" s="312" t="b">
        <f>N462=N460</f>
        <v>1</v>
      </c>
      <c r="O472" s="312" t="b">
        <f t="shared" si="523"/>
        <v>1</v>
      </c>
      <c r="P472" s="312" t="b">
        <f>P462=P460</f>
        <v>1</v>
      </c>
    </row>
    <row r="473" spans="1:18" ht="61.5" x14ac:dyDescent="0.2">
      <c r="E473" s="312"/>
      <c r="F473" s="313">
        <f>F453/E460</f>
        <v>4.9061385394395555E-3</v>
      </c>
      <c r="G473" s="84"/>
      <c r="H473" s="85"/>
      <c r="I473" s="86"/>
      <c r="J473" s="312" t="b">
        <f>J462=L462+O462</f>
        <v>1</v>
      </c>
      <c r="K473" s="92"/>
      <c r="L473" s="77"/>
      <c r="M473" s="86"/>
      <c r="N473" s="86"/>
      <c r="O473" s="77"/>
      <c r="P473" s="312" t="b">
        <f>E460+J460=P460</f>
        <v>1</v>
      </c>
    </row>
    <row r="474" spans="1:18" ht="60.75" x14ac:dyDescent="0.2">
      <c r="E474" s="87"/>
      <c r="F474" s="88"/>
      <c r="G474" s="314">
        <f>G462-G460</f>
        <v>0</v>
      </c>
      <c r="H474" s="314">
        <f>H462-H460</f>
        <v>0</v>
      </c>
      <c r="I474" s="87"/>
      <c r="J474" s="57"/>
      <c r="K474" s="57"/>
      <c r="M474" s="312">
        <f>M460-M462</f>
        <v>0</v>
      </c>
    </row>
    <row r="475" spans="1:18" ht="61.5" x14ac:dyDescent="0.2">
      <c r="A475" s="19"/>
      <c r="B475" s="19"/>
      <c r="C475" s="19"/>
      <c r="D475" s="20"/>
      <c r="E475" s="35">
        <f>E460-E462</f>
        <v>0</v>
      </c>
      <c r="F475" s="313">
        <f>400000/E460</f>
        <v>9.3933730331065992E-5</v>
      </c>
      <c r="G475" s="84"/>
      <c r="H475" s="59"/>
      <c r="I475" s="20"/>
      <c r="J475" s="35">
        <f>J460-J462</f>
        <v>0</v>
      </c>
      <c r="K475" s="35">
        <f>K460-K462</f>
        <v>0</v>
      </c>
      <c r="L475" s="35">
        <f>L460-L462</f>
        <v>0</v>
      </c>
      <c r="M475" s="35"/>
      <c r="N475" s="35"/>
      <c r="O475" s="35">
        <f>O460-O462</f>
        <v>0</v>
      </c>
      <c r="P475" s="35">
        <f>P460-P462</f>
        <v>0</v>
      </c>
    </row>
    <row r="476" spans="1:18" ht="61.5" x14ac:dyDescent="0.2">
      <c r="D476" s="20"/>
      <c r="E476" s="35"/>
      <c r="F476" s="61"/>
      <c r="G476" s="53"/>
      <c r="H476" s="59"/>
      <c r="I476" s="20"/>
      <c r="J476" s="35"/>
      <c r="K476" s="35"/>
      <c r="L476" s="62"/>
      <c r="P476" s="53"/>
      <c r="Q476" s="83"/>
      <c r="R476" s="63"/>
    </row>
    <row r="477" spans="1:18" ht="60.75" x14ac:dyDescent="0.2">
      <c r="A477" s="19"/>
      <c r="B477" s="19"/>
      <c r="C477" s="19"/>
      <c r="D477" s="20"/>
      <c r="E477" s="24">
        <f>E460+K460-E162-E164-E175-E97-K77-E71-E65-E59-E58-'d1'!C117</f>
        <v>4390952537.6199999</v>
      </c>
      <c r="F477" s="24"/>
      <c r="G477" s="24"/>
      <c r="H477" s="24"/>
      <c r="I477" s="64"/>
      <c r="J477" s="24"/>
      <c r="K477" s="24"/>
      <c r="L477" s="24"/>
      <c r="M477" s="24"/>
      <c r="N477" s="24"/>
      <c r="O477" s="24"/>
      <c r="P477" s="24"/>
      <c r="Q477" s="83"/>
      <c r="R477" s="63"/>
    </row>
    <row r="478" spans="1:18" ht="60.75" x14ac:dyDescent="0.2">
      <c r="D478" s="20"/>
      <c r="E478" s="35"/>
      <c r="F478" s="60">
        <f>F460-F462</f>
        <v>0</v>
      </c>
      <c r="O478" s="53"/>
      <c r="P478" s="53"/>
    </row>
    <row r="479" spans="1:18" ht="60.75" x14ac:dyDescent="0.2">
      <c r="A479" s="19"/>
      <c r="B479" s="19"/>
      <c r="C479" s="19"/>
      <c r="D479" s="20"/>
      <c r="E479" s="35"/>
      <c r="F479" s="60"/>
      <c r="G479" s="62"/>
      <c r="I479" s="66"/>
      <c r="J479" s="57"/>
      <c r="K479" s="57"/>
      <c r="L479" s="19"/>
      <c r="M479" s="19"/>
      <c r="N479" s="19"/>
      <c r="O479" s="19"/>
      <c r="P479" s="53"/>
    </row>
    <row r="480" spans="1:18" ht="62.25" x14ac:dyDescent="0.8">
      <c r="A480" s="19"/>
      <c r="B480" s="19"/>
      <c r="C480" s="19"/>
      <c r="D480" s="19"/>
      <c r="E480" s="67"/>
      <c r="F480" s="60"/>
      <c r="J480" s="57"/>
      <c r="K480" s="57"/>
      <c r="L480" s="19"/>
      <c r="M480" s="19"/>
      <c r="N480" s="19"/>
      <c r="O480" s="19"/>
      <c r="P480" s="68"/>
    </row>
    <row r="481" spans="1:16" ht="45.75" x14ac:dyDescent="0.2">
      <c r="E481" s="69"/>
      <c r="F481" s="65"/>
    </row>
    <row r="482" spans="1:16" ht="45.75" x14ac:dyDescent="0.2">
      <c r="A482" s="19"/>
      <c r="B482" s="19"/>
      <c r="C482" s="19"/>
      <c r="D482" s="19"/>
      <c r="E482" s="67"/>
      <c r="F482" s="60"/>
      <c r="L482" s="19"/>
      <c r="M482" s="19"/>
      <c r="N482" s="19"/>
      <c r="O482" s="19"/>
      <c r="P482" s="19"/>
    </row>
    <row r="483" spans="1:16" ht="45.75" x14ac:dyDescent="0.2">
      <c r="E483" s="70"/>
      <c r="F483" s="65"/>
    </row>
    <row r="484" spans="1:16" ht="45.75" x14ac:dyDescent="0.2">
      <c r="E484" s="70"/>
      <c r="F484" s="65"/>
    </row>
    <row r="485" spans="1:16" ht="45.75" x14ac:dyDescent="0.2">
      <c r="E485" s="70"/>
      <c r="F485" s="65"/>
    </row>
    <row r="486" spans="1:16" ht="45.75" x14ac:dyDescent="0.2">
      <c r="A486" s="19"/>
      <c r="B486" s="19"/>
      <c r="C486" s="19"/>
      <c r="D486" s="19"/>
      <c r="E486" s="70"/>
      <c r="F486" s="65"/>
      <c r="G486" s="19"/>
      <c r="H486" s="19"/>
      <c r="I486" s="19"/>
      <c r="J486" s="19"/>
      <c r="K486" s="19"/>
      <c r="L486" s="19"/>
      <c r="M486" s="19"/>
      <c r="N486" s="19"/>
      <c r="O486" s="19"/>
      <c r="P486" s="19"/>
    </row>
    <row r="487" spans="1:16" ht="45.75" x14ac:dyDescent="0.2">
      <c r="A487" s="19"/>
      <c r="B487" s="19"/>
      <c r="C487" s="19"/>
      <c r="D487" s="19"/>
      <c r="E487" s="70"/>
      <c r="F487" s="65"/>
      <c r="G487" s="19"/>
      <c r="H487" s="19"/>
      <c r="I487" s="19"/>
      <c r="J487" s="19"/>
      <c r="K487" s="19"/>
      <c r="L487" s="19"/>
      <c r="M487" s="19"/>
      <c r="N487" s="19"/>
      <c r="O487" s="19"/>
      <c r="P487" s="19"/>
    </row>
    <row r="488" spans="1:16" ht="45.75" x14ac:dyDescent="0.2">
      <c r="A488" s="19"/>
      <c r="B488" s="19"/>
      <c r="C488" s="19"/>
      <c r="D488" s="19"/>
      <c r="E488" s="70"/>
      <c r="F488" s="65"/>
      <c r="G488" s="19"/>
      <c r="H488" s="19"/>
      <c r="I488" s="19"/>
      <c r="J488" s="19"/>
      <c r="K488" s="19"/>
      <c r="L488" s="19"/>
      <c r="M488" s="19"/>
      <c r="N488" s="19"/>
      <c r="O488" s="19"/>
      <c r="P488" s="19"/>
    </row>
    <row r="489" spans="1:16" ht="45.75" x14ac:dyDescent="0.2">
      <c r="A489" s="19"/>
      <c r="B489" s="19"/>
      <c r="C489" s="19"/>
      <c r="D489" s="19"/>
      <c r="E489" s="70"/>
      <c r="F489" s="65"/>
      <c r="G489" s="19"/>
      <c r="H489" s="19"/>
      <c r="I489" s="19"/>
      <c r="J489" s="19"/>
      <c r="K489" s="19"/>
      <c r="L489" s="19"/>
      <c r="M489" s="19"/>
      <c r="N489" s="19"/>
      <c r="O489" s="19"/>
      <c r="P489" s="19"/>
    </row>
  </sheetData>
  <mergeCells count="169">
    <mergeCell ref="R190:R192"/>
    <mergeCell ref="C190:C192"/>
    <mergeCell ref="E190:E192"/>
    <mergeCell ref="F190:F192"/>
    <mergeCell ref="G190:G192"/>
    <mergeCell ref="H190:H192"/>
    <mergeCell ref="I190:I192"/>
    <mergeCell ref="J190:J192"/>
    <mergeCell ref="K190:K192"/>
    <mergeCell ref="L190:L192"/>
    <mergeCell ref="M190:M192"/>
    <mergeCell ref="R181:R184"/>
    <mergeCell ref="R187:R189"/>
    <mergeCell ref="A187:A189"/>
    <mergeCell ref="B187:B189"/>
    <mergeCell ref="C187:C189"/>
    <mergeCell ref="E187:E189"/>
    <mergeCell ref="F187:F189"/>
    <mergeCell ref="G187:G189"/>
    <mergeCell ref="H187:H189"/>
    <mergeCell ref="I187:I189"/>
    <mergeCell ref="J187:J189"/>
    <mergeCell ref="K187:K189"/>
    <mergeCell ref="L187:L189"/>
    <mergeCell ref="M187:M189"/>
    <mergeCell ref="N187:N189"/>
    <mergeCell ref="O187:O189"/>
    <mergeCell ref="P187:P189"/>
    <mergeCell ref="R185:R186"/>
    <mergeCell ref="B185:B186"/>
    <mergeCell ref="P185:P186"/>
    <mergeCell ref="J181:J184"/>
    <mergeCell ref="M181:M184"/>
    <mergeCell ref="Q181:Q184"/>
    <mergeCell ref="A185:A186"/>
    <mergeCell ref="E181:E184"/>
    <mergeCell ref="F181:F184"/>
    <mergeCell ref="K181:K184"/>
    <mergeCell ref="H181:H184"/>
    <mergeCell ref="J193:J194"/>
    <mergeCell ref="K193:K194"/>
    <mergeCell ref="L193:L194"/>
    <mergeCell ref="P368:P369"/>
    <mergeCell ref="A368:A369"/>
    <mergeCell ref="B368:B369"/>
    <mergeCell ref="C368:C369"/>
    <mergeCell ref="E368:E369"/>
    <mergeCell ref="F368:F369"/>
    <mergeCell ref="G368:G369"/>
    <mergeCell ref="H368:H369"/>
    <mergeCell ref="I368:I369"/>
    <mergeCell ref="J368:J369"/>
    <mergeCell ref="O295:O296"/>
    <mergeCell ref="E295:E296"/>
    <mergeCell ref="F295:F296"/>
    <mergeCell ref="G295:G296"/>
    <mergeCell ref="H295:H296"/>
    <mergeCell ref="I295:I296"/>
    <mergeCell ref="J295:J296"/>
    <mergeCell ref="M295:M296"/>
    <mergeCell ref="F209:F210"/>
    <mergeCell ref="N181:N184"/>
    <mergeCell ref="N190:N192"/>
    <mergeCell ref="O190:O192"/>
    <mergeCell ref="P190:P192"/>
    <mergeCell ref="H326:H327"/>
    <mergeCell ref="I326:I327"/>
    <mergeCell ref="P295:P296"/>
    <mergeCell ref="K209:K210"/>
    <mergeCell ref="L209:L210"/>
    <mergeCell ref="M209:M210"/>
    <mergeCell ref="N209:N210"/>
    <mergeCell ref="O181:O184"/>
    <mergeCell ref="O185:O186"/>
    <mergeCell ref="N185:N186"/>
    <mergeCell ref="I209:I210"/>
    <mergeCell ref="P181:P184"/>
    <mergeCell ref="K185:K186"/>
    <mergeCell ref="L185:L186"/>
    <mergeCell ref="M185:M186"/>
    <mergeCell ref="N295:N296"/>
    <mergeCell ref="O209:O210"/>
    <mergeCell ref="P209:P210"/>
    <mergeCell ref="L181:L184"/>
    <mergeCell ref="N1:Q1"/>
    <mergeCell ref="N2:Q2"/>
    <mergeCell ref="O3:P3"/>
    <mergeCell ref="A5:P5"/>
    <mergeCell ref="A6:P6"/>
    <mergeCell ref="A8:B8"/>
    <mergeCell ref="J11:O11"/>
    <mergeCell ref="P11:P13"/>
    <mergeCell ref="E12:E13"/>
    <mergeCell ref="F12:F13"/>
    <mergeCell ref="G12:H12"/>
    <mergeCell ref="I12:I13"/>
    <mergeCell ref="J12:J13"/>
    <mergeCell ref="K12:K13"/>
    <mergeCell ref="L12:L13"/>
    <mergeCell ref="M12:N12"/>
    <mergeCell ref="O12:O13"/>
    <mergeCell ref="A9:B9"/>
    <mergeCell ref="A11:A13"/>
    <mergeCell ref="B11:B13"/>
    <mergeCell ref="C11:C13"/>
    <mergeCell ref="D11:D13"/>
    <mergeCell ref="E11:I11"/>
    <mergeCell ref="D468:P468"/>
    <mergeCell ref="J326:J327"/>
    <mergeCell ref="D466:P466"/>
    <mergeCell ref="O326:O327"/>
    <mergeCell ref="P326:P327"/>
    <mergeCell ref="K326:K327"/>
    <mergeCell ref="L326:L327"/>
    <mergeCell ref="M326:M327"/>
    <mergeCell ref="N326:N327"/>
    <mergeCell ref="K368:K369"/>
    <mergeCell ref="L368:L369"/>
    <mergeCell ref="M368:M369"/>
    <mergeCell ref="N368:N369"/>
    <mergeCell ref="O368:O369"/>
    <mergeCell ref="E326:E327"/>
    <mergeCell ref="F326:F327"/>
    <mergeCell ref="D467:F467"/>
    <mergeCell ref="G326:G327"/>
    <mergeCell ref="A461:P461"/>
    <mergeCell ref="D463:E463"/>
    <mergeCell ref="B326:B327"/>
    <mergeCell ref="C326:C327"/>
    <mergeCell ref="A326:A327"/>
    <mergeCell ref="K295:K296"/>
    <mergeCell ref="L295:L296"/>
    <mergeCell ref="C181:C184"/>
    <mergeCell ref="A295:A296"/>
    <mergeCell ref="B295:B296"/>
    <mergeCell ref="C295:C296"/>
    <mergeCell ref="J209:J210"/>
    <mergeCell ref="A209:A210"/>
    <mergeCell ref="B209:B210"/>
    <mergeCell ref="B181:B184"/>
    <mergeCell ref="A190:A192"/>
    <mergeCell ref="B190:B192"/>
    <mergeCell ref="I185:I186"/>
    <mergeCell ref="J185:J186"/>
    <mergeCell ref="I181:I184"/>
    <mergeCell ref="C185:C186"/>
    <mergeCell ref="E185:E186"/>
    <mergeCell ref="F185:F186"/>
    <mergeCell ref="G185:G186"/>
    <mergeCell ref="H185:H186"/>
    <mergeCell ref="A181:A184"/>
    <mergeCell ref="G181:G184"/>
    <mergeCell ref="C209:C210"/>
    <mergeCell ref="G209:G210"/>
    <mergeCell ref="H209:H210"/>
    <mergeCell ref="O193:O194"/>
    <mergeCell ref="P193:P194"/>
    <mergeCell ref="A193:A194"/>
    <mergeCell ref="B193:B194"/>
    <mergeCell ref="C193:C194"/>
    <mergeCell ref="D193:D194"/>
    <mergeCell ref="E193:E194"/>
    <mergeCell ref="F193:F194"/>
    <mergeCell ref="G193:G194"/>
    <mergeCell ref="H193:H194"/>
    <mergeCell ref="I193:I194"/>
    <mergeCell ref="M193:M194"/>
    <mergeCell ref="N193:N194"/>
    <mergeCell ref="E209:E210"/>
  </mergeCells>
  <conditionalFormatting sqref="Q372:Q381">
    <cfRule type="iconSet" priority="31">
      <iconSet iconSet="3Arrows">
        <cfvo type="percent" val="0"/>
        <cfvo type="percent" val="33"/>
        <cfvo type="percent" val="67"/>
      </iconSet>
    </cfRule>
  </conditionalFormatting>
  <conditionalFormatting sqref="Q383:Q384">
    <cfRule type="iconSet" priority="19">
      <iconSet iconSet="3Arrows">
        <cfvo type="percent" val="0"/>
        <cfvo type="percent" val="33"/>
        <cfvo type="percent" val="67"/>
      </iconSet>
    </cfRule>
  </conditionalFormatting>
  <conditionalFormatting sqref="Q385:Q402">
    <cfRule type="iconSet" priority="50">
      <iconSet iconSet="3Arrows">
        <cfvo type="percent" val="0"/>
        <cfvo type="percent" val="33"/>
        <cfvo type="percent" val="67"/>
      </iconSet>
    </cfRule>
  </conditionalFormatting>
  <conditionalFormatting sqref="Q424:Q429">
    <cfRule type="iconSet" priority="46">
      <iconSet iconSet="3Arrows">
        <cfvo type="percent" val="0"/>
        <cfvo type="percent" val="33"/>
        <cfvo type="percent" val="67"/>
      </iconSet>
    </cfRule>
  </conditionalFormatting>
  <conditionalFormatting sqref="Q430">
    <cfRule type="iconSet" priority="2">
      <iconSet iconSet="3Arrows">
        <cfvo type="percent" val="0"/>
        <cfvo type="percent" val="33"/>
        <cfvo type="percent" val="67"/>
      </iconSet>
    </cfRule>
  </conditionalFormatting>
  <conditionalFormatting sqref="Q431:Q432">
    <cfRule type="iconSet" priority="10">
      <iconSet iconSet="3Arrows">
        <cfvo type="percent" val="0"/>
        <cfvo type="percent" val="33"/>
        <cfvo type="percent" val="67"/>
      </iconSet>
    </cfRule>
  </conditionalFormatting>
  <conditionalFormatting sqref="Q434">
    <cfRule type="iconSet" priority="3">
      <iconSet iconSet="3Arrows">
        <cfvo type="percent" val="0"/>
        <cfvo type="percent" val="33"/>
        <cfvo type="percent" val="67"/>
      </iconSet>
    </cfRule>
  </conditionalFormatting>
  <conditionalFormatting sqref="Q443">
    <cfRule type="iconSet" priority="1">
      <iconSet iconSet="3Arrows">
        <cfvo type="percent" val="0"/>
        <cfvo type="percent" val="33"/>
        <cfvo type="percent" val="67"/>
      </iconSet>
    </cfRule>
  </conditionalFormatting>
  <conditionalFormatting sqref="Q444 Q446:R450 R445:S445">
    <cfRule type="iconSet" priority="24">
      <iconSet iconSet="3Arrows">
        <cfvo type="percent" val="0"/>
        <cfvo type="percent" val="33"/>
        <cfvo type="percent" val="67"/>
      </iconSet>
    </cfRule>
  </conditionalFormatting>
  <conditionalFormatting sqref="Q445">
    <cfRule type="iconSet" priority="7">
      <iconSet iconSet="3Arrows">
        <cfvo type="percent" val="0"/>
        <cfvo type="percent" val="33"/>
        <cfvo type="percent" val="67"/>
      </iconSet>
    </cfRule>
  </conditionalFormatting>
  <conditionalFormatting sqref="Q404:R411">
    <cfRule type="iconSet" priority="56">
      <iconSet iconSet="3Arrows">
        <cfvo type="percent" val="0"/>
        <cfvo type="percent" val="33"/>
        <cfvo type="percent" val="67"/>
      </iconSet>
    </cfRule>
  </conditionalFormatting>
  <conditionalFormatting sqref="R372:R373">
    <cfRule type="iconSet" priority="16">
      <iconSet iconSet="3Arrows">
        <cfvo type="percent" val="0"/>
        <cfvo type="percent" val="33"/>
        <cfvo type="percent" val="67"/>
      </iconSet>
    </cfRule>
  </conditionalFormatting>
  <conditionalFormatting sqref="R374:R381">
    <cfRule type="iconSet" priority="15">
      <iconSet iconSet="3Arrows">
        <cfvo type="percent" val="0"/>
        <cfvo type="percent" val="33"/>
        <cfvo type="percent" val="67"/>
      </iconSet>
    </cfRule>
  </conditionalFormatting>
  <conditionalFormatting sqref="R383:R384">
    <cfRule type="iconSet" priority="18">
      <iconSet iconSet="3Arrows">
        <cfvo type="percent" val="0"/>
        <cfvo type="percent" val="33"/>
        <cfvo type="percent" val="67"/>
      </iconSet>
    </cfRule>
  </conditionalFormatting>
  <conditionalFormatting sqref="R385:R402">
    <cfRule type="iconSet" priority="52">
      <iconSet iconSet="3Arrows">
        <cfvo type="percent" val="0"/>
        <cfvo type="percent" val="33"/>
        <cfvo type="percent" val="67"/>
      </iconSet>
    </cfRule>
  </conditionalFormatting>
  <conditionalFormatting sqref="R412:R422">
    <cfRule type="iconSet" priority="41">
      <iconSet iconSet="3Arrows">
        <cfvo type="percent" val="0"/>
        <cfvo type="percent" val="33"/>
        <cfvo type="percent" val="67"/>
      </iconSet>
    </cfRule>
  </conditionalFormatting>
  <conditionalFormatting sqref="R424:R425">
    <cfRule type="iconSet" priority="14">
      <iconSet iconSet="3Arrows">
        <cfvo type="percent" val="0"/>
        <cfvo type="percent" val="33"/>
        <cfvo type="percent" val="67"/>
      </iconSet>
    </cfRule>
  </conditionalFormatting>
  <conditionalFormatting sqref="R426:R429">
    <cfRule type="iconSet" priority="45">
      <iconSet iconSet="3Arrows">
        <cfvo type="percent" val="0"/>
        <cfvo type="percent" val="33"/>
        <cfvo type="percent" val="67"/>
      </iconSet>
    </cfRule>
  </conditionalFormatting>
  <conditionalFormatting sqref="R436:R438 Q435:R435 R434">
    <cfRule type="iconSet" priority="23">
      <iconSet iconSet="3Arrows">
        <cfvo type="percent" val="0"/>
        <cfvo type="percent" val="33"/>
        <cfvo type="percent" val="67"/>
      </iconSet>
    </cfRule>
  </conditionalFormatting>
  <conditionalFormatting sqref="R439">
    <cfRule type="iconSet" priority="5">
      <iconSet iconSet="3Arrows">
        <cfvo type="percent" val="0"/>
        <cfvo type="percent" val="33"/>
        <cfvo type="percent" val="67"/>
      </iconSet>
    </cfRule>
  </conditionalFormatting>
  <conditionalFormatting sqref="R441">
    <cfRule type="iconSet" priority="4">
      <iconSet iconSet="3Arrows">
        <cfvo type="percent" val="0"/>
        <cfvo type="percent" val="33"/>
        <cfvo type="percent" val="67"/>
      </iconSet>
    </cfRule>
  </conditionalFormatting>
  <conditionalFormatting sqref="R443">
    <cfRule type="iconSet" priority="6">
      <iconSet iconSet="3Arrows">
        <cfvo type="percent" val="0"/>
        <cfvo type="percent" val="33"/>
        <cfvo type="percent" val="67"/>
      </iconSet>
    </cfRule>
  </conditionalFormatting>
  <conditionalFormatting sqref="R444">
    <cfRule type="iconSet" priority="22">
      <iconSet iconSet="3Arrows">
        <cfvo type="percent" val="0"/>
        <cfvo type="percent" val="33"/>
        <cfvo type="percent" val="67"/>
      </iconSet>
    </cfRule>
  </conditionalFormatting>
  <pageMargins left="0.23622047244094491" right="0.27559055118110237" top="0.27559055118110237" bottom="0.15748031496062992" header="0.23622047244094491" footer="0.27559055118110237"/>
  <pageSetup paperSize="9" scale="12" orientation="landscape" horizontalDpi="300" verticalDpi="300" r:id="rId1"/>
  <headerFooter alignWithMargins="0">
    <oddFooter>&amp;C&amp;"Times New Roman Cyr,курсив"Сторінка &amp;P з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4"/>
  <dimension ref="A2:R178"/>
  <sheetViews>
    <sheetView showGridLines="0" view="pageBreakPreview" topLeftCell="B1" zoomScale="85" zoomScaleNormal="85" zoomScaleSheetLayoutView="85" workbookViewId="0">
      <selection activeCell="E3" sqref="E3:M3"/>
    </sheetView>
  </sheetViews>
  <sheetFormatPr defaultColWidth="7.85546875" defaultRowHeight="12.75" x14ac:dyDescent="0.2"/>
  <cols>
    <col min="1" max="1" width="0" style="160" hidden="1" customWidth="1"/>
    <col min="2" max="2" width="13" style="7" customWidth="1"/>
    <col min="3" max="3" width="13.5703125" style="7" customWidth="1"/>
    <col min="4" max="4" width="15.28515625" style="7" customWidth="1"/>
    <col min="5" max="5" width="38.85546875" style="7" customWidth="1"/>
    <col min="6" max="6" width="10.140625" style="7" customWidth="1"/>
    <col min="7" max="7" width="15.42578125" style="7" customWidth="1"/>
    <col min="8" max="8" width="18.140625" style="7" customWidth="1"/>
    <col min="9" max="9" width="15.42578125" style="7" customWidth="1"/>
    <col min="10" max="10" width="12.140625" style="7" customWidth="1"/>
    <col min="11" max="12" width="18.140625" style="7" customWidth="1"/>
    <col min="13" max="13" width="16.5703125" style="7" customWidth="1"/>
    <col min="14" max="14" width="11.42578125" style="7" customWidth="1"/>
    <col min="15" max="15" width="19.42578125" style="7" customWidth="1"/>
    <col min="16" max="16" width="18.140625" style="7" customWidth="1"/>
    <col min="17" max="17" width="18.42578125" style="7" customWidth="1"/>
    <col min="18" max="18" width="12.5703125" style="7" customWidth="1"/>
    <col min="19" max="16384" width="7.85546875" style="7"/>
  </cols>
  <sheetData>
    <row r="2" spans="1:18" ht="64.5" customHeight="1" x14ac:dyDescent="0.2">
      <c r="B2" s="247"/>
      <c r="C2" s="247"/>
      <c r="D2" s="247"/>
      <c r="E2" s="415"/>
      <c r="F2" s="415"/>
      <c r="G2" s="415"/>
      <c r="H2" s="415"/>
      <c r="I2" s="415"/>
      <c r="J2" s="415"/>
      <c r="K2" s="415"/>
      <c r="L2" s="415"/>
      <c r="M2" s="799" t="s">
        <v>1740</v>
      </c>
      <c r="N2" s="799"/>
      <c r="O2" s="799"/>
      <c r="P2" s="799"/>
      <c r="Q2" s="799"/>
    </row>
    <row r="3" spans="1:18" ht="18.75" x14ac:dyDescent="0.2">
      <c r="B3" s="781"/>
      <c r="C3" s="781"/>
      <c r="D3" s="247"/>
      <c r="E3" s="792" t="s">
        <v>552</v>
      </c>
      <c r="F3" s="792"/>
      <c r="G3" s="792"/>
      <c r="H3" s="792"/>
      <c r="I3" s="792"/>
      <c r="J3" s="792"/>
      <c r="K3" s="792"/>
      <c r="L3" s="792"/>
      <c r="M3" s="792"/>
      <c r="N3" s="417"/>
      <c r="O3" s="417"/>
      <c r="P3" s="417"/>
      <c r="Q3" s="417"/>
    </row>
    <row r="4" spans="1:18" ht="21" customHeight="1" x14ac:dyDescent="0.2">
      <c r="B4" s="418"/>
      <c r="C4" s="391"/>
      <c r="D4" s="419"/>
      <c r="E4" s="792" t="s">
        <v>1514</v>
      </c>
      <c r="F4" s="793"/>
      <c r="G4" s="793"/>
      <c r="H4" s="793"/>
      <c r="I4" s="793"/>
      <c r="J4" s="793"/>
      <c r="K4" s="793"/>
      <c r="L4" s="793"/>
      <c r="M4" s="793"/>
      <c r="N4" s="247"/>
      <c r="O4" s="247"/>
      <c r="P4" s="247"/>
      <c r="Q4" s="420"/>
    </row>
    <row r="5" spans="1:18" ht="12" customHeight="1" x14ac:dyDescent="0.2">
      <c r="B5" s="782">
        <v>2256400000</v>
      </c>
      <c r="C5" s="783"/>
      <c r="D5" s="419"/>
      <c r="E5" s="416"/>
      <c r="F5" s="416"/>
      <c r="G5" s="416"/>
      <c r="H5" s="416"/>
      <c r="I5" s="416"/>
      <c r="J5" s="416"/>
      <c r="K5" s="416"/>
      <c r="L5" s="416"/>
      <c r="M5" s="416"/>
      <c r="N5" s="247"/>
      <c r="O5" s="247"/>
      <c r="P5" s="247"/>
      <c r="Q5" s="420"/>
    </row>
    <row r="6" spans="1:18" ht="12" customHeight="1" x14ac:dyDescent="0.2">
      <c r="B6" s="784" t="s">
        <v>478</v>
      </c>
      <c r="C6" s="785"/>
      <c r="D6" s="419"/>
      <c r="E6" s="416"/>
      <c r="F6" s="416"/>
      <c r="G6" s="416"/>
      <c r="H6" s="416"/>
      <c r="I6" s="416"/>
      <c r="J6" s="416"/>
      <c r="K6" s="416"/>
      <c r="L6" s="416"/>
      <c r="M6" s="416"/>
      <c r="N6" s="247"/>
      <c r="O6" s="247"/>
      <c r="P6" s="247"/>
      <c r="Q6" s="420"/>
    </row>
    <row r="7" spans="1:18" ht="21" customHeight="1" thickBot="1" x14ac:dyDescent="0.35">
      <c r="B7" s="422"/>
      <c r="C7" s="422"/>
      <c r="D7" s="419"/>
      <c r="E7" s="416"/>
      <c r="F7" s="416"/>
      <c r="G7" s="416"/>
      <c r="H7" s="416"/>
      <c r="I7" s="416"/>
      <c r="J7" s="416"/>
      <c r="K7" s="416"/>
      <c r="L7" s="416"/>
      <c r="M7" s="416"/>
      <c r="N7" s="247"/>
      <c r="O7" s="247"/>
      <c r="P7" s="247"/>
      <c r="Q7" s="423" t="s">
        <v>397</v>
      </c>
    </row>
    <row r="8" spans="1:18" ht="17.45" customHeight="1" thickTop="1" thickBot="1" x14ac:dyDescent="0.25">
      <c r="A8" s="161"/>
      <c r="B8" s="788" t="s">
        <v>479</v>
      </c>
      <c r="C8" s="789" t="s">
        <v>480</v>
      </c>
      <c r="D8" s="789" t="s">
        <v>383</v>
      </c>
      <c r="E8" s="789" t="s">
        <v>554</v>
      </c>
      <c r="F8" s="788" t="s">
        <v>124</v>
      </c>
      <c r="G8" s="788"/>
      <c r="H8" s="788"/>
      <c r="I8" s="788"/>
      <c r="J8" s="788" t="s">
        <v>125</v>
      </c>
      <c r="K8" s="788"/>
      <c r="L8" s="788"/>
      <c r="M8" s="788"/>
      <c r="N8" s="788" t="s">
        <v>382</v>
      </c>
      <c r="O8" s="788"/>
      <c r="P8" s="788"/>
      <c r="Q8" s="788"/>
    </row>
    <row r="9" spans="1:18" ht="28.5" customHeight="1" thickTop="1" thickBot="1" x14ac:dyDescent="0.25">
      <c r="A9" s="162"/>
      <c r="B9" s="788"/>
      <c r="C9" s="769"/>
      <c r="D9" s="769"/>
      <c r="E9" s="790"/>
      <c r="F9" s="791" t="s">
        <v>379</v>
      </c>
      <c r="G9" s="791" t="s">
        <v>380</v>
      </c>
      <c r="H9" s="797"/>
      <c r="I9" s="791" t="s">
        <v>381</v>
      </c>
      <c r="J9" s="791" t="s">
        <v>379</v>
      </c>
      <c r="K9" s="791" t="s">
        <v>380</v>
      </c>
      <c r="L9" s="797"/>
      <c r="M9" s="791" t="s">
        <v>381</v>
      </c>
      <c r="N9" s="791" t="s">
        <v>379</v>
      </c>
      <c r="O9" s="791" t="s">
        <v>380</v>
      </c>
      <c r="P9" s="797"/>
      <c r="Q9" s="791" t="s">
        <v>381</v>
      </c>
    </row>
    <row r="10" spans="1:18" ht="65.25" customHeight="1" thickTop="1" thickBot="1" x14ac:dyDescent="0.25">
      <c r="A10" s="7"/>
      <c r="B10" s="788"/>
      <c r="C10" s="769"/>
      <c r="D10" s="769"/>
      <c r="E10" s="769"/>
      <c r="F10" s="791"/>
      <c r="G10" s="426" t="s">
        <v>377</v>
      </c>
      <c r="H10" s="426" t="s">
        <v>378</v>
      </c>
      <c r="I10" s="791"/>
      <c r="J10" s="791"/>
      <c r="K10" s="426" t="s">
        <v>377</v>
      </c>
      <c r="L10" s="426" t="s">
        <v>378</v>
      </c>
      <c r="M10" s="791"/>
      <c r="N10" s="791"/>
      <c r="O10" s="426" t="s">
        <v>377</v>
      </c>
      <c r="P10" s="426" t="s">
        <v>378</v>
      </c>
      <c r="Q10" s="791"/>
    </row>
    <row r="11" spans="1:18" ht="14.25" thickTop="1" thickBot="1" x14ac:dyDescent="0.25">
      <c r="A11" s="7"/>
      <c r="B11" s="424">
        <v>1</v>
      </c>
      <c r="C11" s="425">
        <v>2</v>
      </c>
      <c r="D11" s="424">
        <v>3</v>
      </c>
      <c r="E11" s="425">
        <v>4</v>
      </c>
      <c r="F11" s="424">
        <v>5</v>
      </c>
      <c r="G11" s="425">
        <v>6</v>
      </c>
      <c r="H11" s="424">
        <v>7</v>
      </c>
      <c r="I11" s="425">
        <v>8</v>
      </c>
      <c r="J11" s="424">
        <v>9</v>
      </c>
      <c r="K11" s="425">
        <v>10</v>
      </c>
      <c r="L11" s="424">
        <v>11</v>
      </c>
      <c r="M11" s="425">
        <v>12</v>
      </c>
      <c r="N11" s="424">
        <v>13</v>
      </c>
      <c r="O11" s="425">
        <v>14</v>
      </c>
      <c r="P11" s="424">
        <v>15</v>
      </c>
      <c r="Q11" s="425">
        <v>16</v>
      </c>
    </row>
    <row r="12" spans="1:18" s="164" customFormat="1" ht="46.5" thickTop="1" thickBot="1" x14ac:dyDescent="0.25">
      <c r="A12" s="163"/>
      <c r="B12" s="554" t="s">
        <v>22</v>
      </c>
      <c r="C12" s="554"/>
      <c r="D12" s="554"/>
      <c r="E12" s="598" t="s">
        <v>23</v>
      </c>
      <c r="F12" s="599">
        <f>F13</f>
        <v>0</v>
      </c>
      <c r="G12" s="599">
        <f t="shared" ref="G12:Q12" si="0">G13</f>
        <v>1000000</v>
      </c>
      <c r="H12" s="599">
        <f t="shared" si="0"/>
        <v>0</v>
      </c>
      <c r="I12" s="599">
        <f>I13</f>
        <v>1000000</v>
      </c>
      <c r="J12" s="599">
        <f t="shared" si="0"/>
        <v>0</v>
      </c>
      <c r="K12" s="599">
        <f t="shared" si="0"/>
        <v>-1000000</v>
      </c>
      <c r="L12" s="599">
        <f t="shared" si="0"/>
        <v>0</v>
      </c>
      <c r="M12" s="599">
        <f>M13</f>
        <v>-1000000</v>
      </c>
      <c r="N12" s="599">
        <f t="shared" si="0"/>
        <v>0</v>
      </c>
      <c r="O12" s="599">
        <f t="shared" si="0"/>
        <v>0</v>
      </c>
      <c r="P12" s="599">
        <f t="shared" si="0"/>
        <v>0</v>
      </c>
      <c r="Q12" s="599">
        <f t="shared" si="0"/>
        <v>0</v>
      </c>
      <c r="R12" s="8"/>
    </row>
    <row r="13" spans="1:18" ht="44.25" thickTop="1" thickBot="1" x14ac:dyDescent="0.25">
      <c r="B13" s="556" t="s">
        <v>21</v>
      </c>
      <c r="C13" s="556"/>
      <c r="D13" s="556"/>
      <c r="E13" s="557" t="s">
        <v>35</v>
      </c>
      <c r="F13" s="600">
        <f t="shared" ref="F13:Q13" si="1">F18+F17+F19</f>
        <v>0</v>
      </c>
      <c r="G13" s="600">
        <f t="shared" si="1"/>
        <v>1000000</v>
      </c>
      <c r="H13" s="600">
        <f t="shared" si="1"/>
        <v>0</v>
      </c>
      <c r="I13" s="600">
        <f t="shared" si="1"/>
        <v>1000000</v>
      </c>
      <c r="J13" s="600">
        <f t="shared" si="1"/>
        <v>0</v>
      </c>
      <c r="K13" s="600">
        <f t="shared" si="1"/>
        <v>-1000000</v>
      </c>
      <c r="L13" s="600">
        <f t="shared" si="1"/>
        <v>0</v>
      </c>
      <c r="M13" s="600">
        <f t="shared" si="1"/>
        <v>-1000000</v>
      </c>
      <c r="N13" s="600">
        <f t="shared" si="1"/>
        <v>0</v>
      </c>
      <c r="O13" s="600">
        <f t="shared" si="1"/>
        <v>0</v>
      </c>
      <c r="P13" s="600">
        <f t="shared" si="1"/>
        <v>0</v>
      </c>
      <c r="Q13" s="600">
        <f t="shared" si="1"/>
        <v>0</v>
      </c>
    </row>
    <row r="14" spans="1:18" ht="39" customHeight="1" thickTop="1" thickBot="1" x14ac:dyDescent="0.25">
      <c r="B14" s="622" t="s">
        <v>816</v>
      </c>
      <c r="C14" s="622" t="s">
        <v>670</v>
      </c>
      <c r="D14" s="622"/>
      <c r="E14" s="623" t="s">
        <v>817</v>
      </c>
      <c r="F14" s="630">
        <f>F15</f>
        <v>0</v>
      </c>
      <c r="G14" s="630">
        <f t="shared" ref="G14:Q15" si="2">G15</f>
        <v>1000000</v>
      </c>
      <c r="H14" s="630">
        <f t="shared" si="2"/>
        <v>0</v>
      </c>
      <c r="I14" s="630">
        <f t="shared" si="2"/>
        <v>1000000</v>
      </c>
      <c r="J14" s="630">
        <f t="shared" si="2"/>
        <v>0</v>
      </c>
      <c r="K14" s="630">
        <f t="shared" si="2"/>
        <v>-1000000</v>
      </c>
      <c r="L14" s="630">
        <f t="shared" si="2"/>
        <v>0</v>
      </c>
      <c r="M14" s="630">
        <f t="shared" si="2"/>
        <v>-1000000</v>
      </c>
      <c r="N14" s="630">
        <f t="shared" si="2"/>
        <v>0</v>
      </c>
      <c r="O14" s="630">
        <f t="shared" si="2"/>
        <v>0</v>
      </c>
      <c r="P14" s="630">
        <f t="shared" si="2"/>
        <v>0</v>
      </c>
      <c r="Q14" s="630">
        <f t="shared" si="2"/>
        <v>0</v>
      </c>
    </row>
    <row r="15" spans="1:18" ht="42" customHeight="1" thickTop="1" thickBot="1" x14ac:dyDescent="0.25">
      <c r="B15" s="620" t="s">
        <v>818</v>
      </c>
      <c r="C15" s="620" t="s">
        <v>819</v>
      </c>
      <c r="D15" s="620"/>
      <c r="E15" s="621" t="s">
        <v>820</v>
      </c>
      <c r="F15" s="629">
        <f>F16</f>
        <v>0</v>
      </c>
      <c r="G15" s="629">
        <f t="shared" si="2"/>
        <v>1000000</v>
      </c>
      <c r="H15" s="629">
        <f t="shared" si="2"/>
        <v>0</v>
      </c>
      <c r="I15" s="629">
        <f t="shared" si="2"/>
        <v>1000000</v>
      </c>
      <c r="J15" s="629">
        <f t="shared" si="2"/>
        <v>0</v>
      </c>
      <c r="K15" s="629">
        <f t="shared" si="2"/>
        <v>-1000000</v>
      </c>
      <c r="L15" s="629">
        <f t="shared" si="2"/>
        <v>0</v>
      </c>
      <c r="M15" s="629">
        <f t="shared" si="2"/>
        <v>-1000000</v>
      </c>
      <c r="N15" s="629">
        <f t="shared" si="2"/>
        <v>0</v>
      </c>
      <c r="O15" s="629">
        <f t="shared" si="2"/>
        <v>0</v>
      </c>
      <c r="P15" s="629">
        <f t="shared" si="2"/>
        <v>0</v>
      </c>
      <c r="Q15" s="629">
        <f t="shared" si="2"/>
        <v>0</v>
      </c>
    </row>
    <row r="16" spans="1:18" ht="76.5" thickTop="1" thickBot="1" x14ac:dyDescent="0.25">
      <c r="B16" s="624" t="s">
        <v>821</v>
      </c>
      <c r="C16" s="625" t="s">
        <v>822</v>
      </c>
      <c r="D16" s="625"/>
      <c r="E16" s="626" t="s">
        <v>842</v>
      </c>
      <c r="F16" s="628">
        <f>SUM(F17:F18)</f>
        <v>0</v>
      </c>
      <c r="G16" s="628">
        <f t="shared" ref="G16:Q16" si="3">SUM(G17:G18)</f>
        <v>1000000</v>
      </c>
      <c r="H16" s="628">
        <f t="shared" si="3"/>
        <v>0</v>
      </c>
      <c r="I16" s="628">
        <f t="shared" si="3"/>
        <v>1000000</v>
      </c>
      <c r="J16" s="628">
        <f t="shared" si="3"/>
        <v>0</v>
      </c>
      <c r="K16" s="628">
        <f t="shared" si="3"/>
        <v>-1000000</v>
      </c>
      <c r="L16" s="628">
        <f t="shared" si="3"/>
        <v>0</v>
      </c>
      <c r="M16" s="628">
        <f t="shared" si="3"/>
        <v>-1000000</v>
      </c>
      <c r="N16" s="628">
        <f t="shared" si="3"/>
        <v>0</v>
      </c>
      <c r="O16" s="628">
        <f t="shared" si="3"/>
        <v>0</v>
      </c>
      <c r="P16" s="628">
        <f t="shared" si="3"/>
        <v>0</v>
      </c>
      <c r="Q16" s="628">
        <f t="shared" si="3"/>
        <v>0</v>
      </c>
    </row>
    <row r="17" spans="1:18" ht="76.5" thickTop="1" thickBot="1" x14ac:dyDescent="0.25">
      <c r="A17" s="247"/>
      <c r="B17" s="624" t="s">
        <v>447</v>
      </c>
      <c r="C17" s="624" t="s">
        <v>449</v>
      </c>
      <c r="D17" s="624" t="s">
        <v>50</v>
      </c>
      <c r="E17" s="443" t="s">
        <v>1632</v>
      </c>
      <c r="F17" s="627">
        <v>0</v>
      </c>
      <c r="G17" s="627">
        <v>1000000</v>
      </c>
      <c r="H17" s="627">
        <v>0</v>
      </c>
      <c r="I17" s="627">
        <f>F17+G17</f>
        <v>1000000</v>
      </c>
      <c r="J17" s="627">
        <v>0</v>
      </c>
      <c r="K17" s="627">
        <v>0</v>
      </c>
      <c r="L17" s="627">
        <v>0</v>
      </c>
      <c r="M17" s="627">
        <f>J17+K17</f>
        <v>0</v>
      </c>
      <c r="N17" s="627">
        <f t="shared" ref="N17:Q18" si="4">F17+J17</f>
        <v>0</v>
      </c>
      <c r="O17" s="627">
        <f t="shared" si="4"/>
        <v>1000000</v>
      </c>
      <c r="P17" s="627">
        <f t="shared" si="4"/>
        <v>0</v>
      </c>
      <c r="Q17" s="627">
        <f t="shared" si="4"/>
        <v>1000000</v>
      </c>
    </row>
    <row r="18" spans="1:18" ht="76.5" thickTop="1" thickBot="1" x14ac:dyDescent="0.25">
      <c r="B18" s="624" t="s">
        <v>448</v>
      </c>
      <c r="C18" s="624" t="s">
        <v>450</v>
      </c>
      <c r="D18" s="624" t="s">
        <v>50</v>
      </c>
      <c r="E18" s="443" t="s">
        <v>843</v>
      </c>
      <c r="F18" s="627">
        <v>0</v>
      </c>
      <c r="G18" s="627">
        <v>0</v>
      </c>
      <c r="H18" s="627">
        <v>0</v>
      </c>
      <c r="I18" s="627">
        <f>F18+G18</f>
        <v>0</v>
      </c>
      <c r="J18" s="627">
        <v>0</v>
      </c>
      <c r="K18" s="627">
        <v>-1000000</v>
      </c>
      <c r="L18" s="627">
        <v>0</v>
      </c>
      <c r="M18" s="627">
        <f>J18+K18</f>
        <v>-1000000</v>
      </c>
      <c r="N18" s="627">
        <f t="shared" si="4"/>
        <v>0</v>
      </c>
      <c r="O18" s="627">
        <f t="shared" si="4"/>
        <v>-1000000</v>
      </c>
      <c r="P18" s="627">
        <f t="shared" si="4"/>
        <v>0</v>
      </c>
      <c r="Q18" s="627">
        <f t="shared" si="4"/>
        <v>-1000000</v>
      </c>
    </row>
    <row r="19" spans="1:18" ht="61.5" hidden="1" thickTop="1" thickBot="1" x14ac:dyDescent="0.25">
      <c r="B19" s="288" t="s">
        <v>491</v>
      </c>
      <c r="C19" s="288" t="s">
        <v>492</v>
      </c>
      <c r="D19" s="288" t="s">
        <v>50</v>
      </c>
      <c r="E19" s="289" t="s">
        <v>490</v>
      </c>
      <c r="F19" s="290"/>
      <c r="G19" s="290"/>
      <c r="H19" s="290"/>
      <c r="I19" s="290"/>
      <c r="J19" s="290"/>
      <c r="K19" s="290"/>
      <c r="L19" s="290"/>
      <c r="M19" s="290">
        <f>J19+K19</f>
        <v>0</v>
      </c>
      <c r="N19" s="290"/>
      <c r="O19" s="290">
        <f>G19+K19</f>
        <v>0</v>
      </c>
      <c r="P19" s="290"/>
      <c r="Q19" s="290">
        <f>I19+M19</f>
        <v>0</v>
      </c>
    </row>
    <row r="20" spans="1:18" ht="31.5" thickTop="1" thickBot="1" x14ac:dyDescent="0.25">
      <c r="B20" s="554" t="s">
        <v>165</v>
      </c>
      <c r="C20" s="554"/>
      <c r="D20" s="554"/>
      <c r="E20" s="598" t="s">
        <v>27</v>
      </c>
      <c r="F20" s="599">
        <f>F21</f>
        <v>0</v>
      </c>
      <c r="G20" s="599">
        <f t="shared" ref="G20:Q21" si="5">G21</f>
        <v>142448720.09999999</v>
      </c>
      <c r="H20" s="599">
        <f t="shared" si="5"/>
        <v>142448720.09999999</v>
      </c>
      <c r="I20" s="599">
        <f>I21</f>
        <v>142448720.09999999</v>
      </c>
      <c r="J20" s="599">
        <f t="shared" si="5"/>
        <v>0</v>
      </c>
      <c r="K20" s="599">
        <f t="shared" si="5"/>
        <v>-142448720.09999999</v>
      </c>
      <c r="L20" s="599">
        <f t="shared" si="5"/>
        <v>-142448720.09999999</v>
      </c>
      <c r="M20" s="599">
        <f>M21</f>
        <v>-142448720.09999999</v>
      </c>
      <c r="N20" s="599">
        <f t="shared" si="5"/>
        <v>0</v>
      </c>
      <c r="O20" s="599">
        <f t="shared" si="5"/>
        <v>0</v>
      </c>
      <c r="P20" s="599">
        <f t="shared" si="5"/>
        <v>0</v>
      </c>
      <c r="Q20" s="599">
        <f t="shared" si="5"/>
        <v>0</v>
      </c>
    </row>
    <row r="21" spans="1:18" ht="50.1" customHeight="1" thickTop="1" thickBot="1" x14ac:dyDescent="0.25">
      <c r="B21" s="556" t="s">
        <v>166</v>
      </c>
      <c r="C21" s="556"/>
      <c r="D21" s="556"/>
      <c r="E21" s="557" t="s">
        <v>40</v>
      </c>
      <c r="F21" s="600">
        <f>F22</f>
        <v>0</v>
      </c>
      <c r="G21" s="600">
        <f t="shared" si="5"/>
        <v>142448720.09999999</v>
      </c>
      <c r="H21" s="600">
        <f t="shared" si="5"/>
        <v>142448720.09999999</v>
      </c>
      <c r="I21" s="600">
        <f t="shared" si="5"/>
        <v>142448720.09999999</v>
      </c>
      <c r="J21" s="600">
        <f>J22</f>
        <v>0</v>
      </c>
      <c r="K21" s="600">
        <f>K22</f>
        <v>-142448720.09999999</v>
      </c>
      <c r="L21" s="600">
        <f t="shared" si="5"/>
        <v>-142448720.09999999</v>
      </c>
      <c r="M21" s="600">
        <f t="shared" si="5"/>
        <v>-142448720.09999999</v>
      </c>
      <c r="N21" s="600">
        <f t="shared" si="5"/>
        <v>0</v>
      </c>
      <c r="O21" s="600">
        <f t="shared" si="5"/>
        <v>0</v>
      </c>
      <c r="P21" s="600">
        <f t="shared" si="5"/>
        <v>0</v>
      </c>
      <c r="Q21" s="600">
        <f t="shared" si="5"/>
        <v>0</v>
      </c>
    </row>
    <row r="22" spans="1:18" ht="39" customHeight="1" thickTop="1" thickBot="1" x14ac:dyDescent="0.25">
      <c r="B22" s="585" t="s">
        <v>811</v>
      </c>
      <c r="C22" s="585" t="s">
        <v>670</v>
      </c>
      <c r="D22" s="585"/>
      <c r="E22" s="586" t="s">
        <v>817</v>
      </c>
      <c r="F22" s="597">
        <f>F23</f>
        <v>0</v>
      </c>
      <c r="G22" s="597">
        <f t="shared" ref="G22:Q23" si="6">G23</f>
        <v>142448720.09999999</v>
      </c>
      <c r="H22" s="597">
        <f t="shared" si="6"/>
        <v>142448720.09999999</v>
      </c>
      <c r="I22" s="597">
        <f t="shared" si="6"/>
        <v>142448720.09999999</v>
      </c>
      <c r="J22" s="597">
        <f t="shared" si="6"/>
        <v>0</v>
      </c>
      <c r="K22" s="597">
        <f t="shared" si="6"/>
        <v>-142448720.09999999</v>
      </c>
      <c r="L22" s="597">
        <f t="shared" si="6"/>
        <v>-142448720.09999999</v>
      </c>
      <c r="M22" s="597">
        <f t="shared" si="6"/>
        <v>-142448720.09999999</v>
      </c>
      <c r="N22" s="597">
        <f t="shared" si="6"/>
        <v>0</v>
      </c>
      <c r="O22" s="597">
        <f t="shared" si="6"/>
        <v>0</v>
      </c>
      <c r="P22" s="597">
        <f t="shared" si="6"/>
        <v>0</v>
      </c>
      <c r="Q22" s="597">
        <f t="shared" si="6"/>
        <v>0</v>
      </c>
    </row>
    <row r="23" spans="1:18" ht="30" customHeight="1" thickTop="1" thickBot="1" x14ac:dyDescent="0.25">
      <c r="B23" s="587" t="s">
        <v>1192</v>
      </c>
      <c r="C23" s="587" t="s">
        <v>819</v>
      </c>
      <c r="D23" s="587"/>
      <c r="E23" s="588" t="s">
        <v>820</v>
      </c>
      <c r="F23" s="596">
        <f>F24</f>
        <v>0</v>
      </c>
      <c r="G23" s="596">
        <f>G24</f>
        <v>142448720.09999999</v>
      </c>
      <c r="H23" s="596">
        <f t="shared" si="6"/>
        <v>142448720.09999999</v>
      </c>
      <c r="I23" s="596">
        <f t="shared" si="6"/>
        <v>142448720.09999999</v>
      </c>
      <c r="J23" s="596">
        <f t="shared" si="6"/>
        <v>0</v>
      </c>
      <c r="K23" s="596">
        <f t="shared" si="6"/>
        <v>-142448720.09999999</v>
      </c>
      <c r="L23" s="596">
        <f t="shared" si="6"/>
        <v>-142448720.09999999</v>
      </c>
      <c r="M23" s="596">
        <f t="shared" si="6"/>
        <v>-142448720.09999999</v>
      </c>
      <c r="N23" s="596">
        <f t="shared" si="6"/>
        <v>0</v>
      </c>
      <c r="O23" s="596">
        <f t="shared" si="6"/>
        <v>0</v>
      </c>
      <c r="P23" s="596">
        <f t="shared" si="6"/>
        <v>0</v>
      </c>
      <c r="Q23" s="596">
        <f t="shared" si="6"/>
        <v>0</v>
      </c>
    </row>
    <row r="24" spans="1:18" ht="60.75" customHeight="1" thickTop="1" thickBot="1" x14ac:dyDescent="0.25">
      <c r="B24" s="589" t="s">
        <v>1193</v>
      </c>
      <c r="C24" s="590" t="s">
        <v>1317</v>
      </c>
      <c r="D24" s="590"/>
      <c r="E24" s="591" t="s">
        <v>1048</v>
      </c>
      <c r="F24" s="595">
        <f t="shared" ref="F24:L24" si="7">F25+F27</f>
        <v>0</v>
      </c>
      <c r="G24" s="595">
        <f t="shared" si="7"/>
        <v>142448720.09999999</v>
      </c>
      <c r="H24" s="595">
        <f t="shared" si="7"/>
        <v>142448720.09999999</v>
      </c>
      <c r="I24" s="595">
        <f t="shared" si="7"/>
        <v>142448720.09999999</v>
      </c>
      <c r="J24" s="595">
        <f t="shared" si="7"/>
        <v>0</v>
      </c>
      <c r="K24" s="595">
        <f t="shared" si="7"/>
        <v>-142448720.09999999</v>
      </c>
      <c r="L24" s="595">
        <f t="shared" si="7"/>
        <v>-142448720.09999999</v>
      </c>
      <c r="M24" s="595">
        <f t="shared" ref="M24:M26" si="8">J24+K24</f>
        <v>-142448720.09999999</v>
      </c>
      <c r="N24" s="595">
        <f t="shared" ref="N24:N26" si="9">F24+J24</f>
        <v>0</v>
      </c>
      <c r="O24" s="595">
        <f t="shared" ref="O24:O26" si="10">G24+K24</f>
        <v>0</v>
      </c>
      <c r="P24" s="595">
        <f>P25+P27</f>
        <v>0</v>
      </c>
      <c r="Q24" s="595">
        <f>Q25+Q27</f>
        <v>0</v>
      </c>
    </row>
    <row r="25" spans="1:18" ht="70.5" customHeight="1" thickTop="1" thickBot="1" x14ac:dyDescent="0.25">
      <c r="B25" s="589" t="s">
        <v>1194</v>
      </c>
      <c r="C25" s="589" t="s">
        <v>1195</v>
      </c>
      <c r="D25" s="589" t="s">
        <v>167</v>
      </c>
      <c r="E25" s="592" t="s">
        <v>1049</v>
      </c>
      <c r="F25" s="594">
        <f>F26</f>
        <v>0</v>
      </c>
      <c r="G25" s="594">
        <f>G26</f>
        <v>142448720.09999999</v>
      </c>
      <c r="H25" s="594">
        <f t="shared" ref="H25:P25" si="11">H26</f>
        <v>142448720.09999999</v>
      </c>
      <c r="I25" s="594">
        <f>I26</f>
        <v>142448720.09999999</v>
      </c>
      <c r="J25" s="594">
        <f t="shared" si="11"/>
        <v>0</v>
      </c>
      <c r="K25" s="594">
        <f t="shared" si="11"/>
        <v>0</v>
      </c>
      <c r="L25" s="594">
        <f t="shared" si="11"/>
        <v>0</v>
      </c>
      <c r="M25" s="594">
        <f t="shared" si="8"/>
        <v>0</v>
      </c>
      <c r="N25" s="594">
        <f t="shared" si="9"/>
        <v>0</v>
      </c>
      <c r="O25" s="594">
        <f t="shared" si="10"/>
        <v>142448720.09999999</v>
      </c>
      <c r="P25" s="594">
        <f t="shared" si="11"/>
        <v>142448720.09999999</v>
      </c>
      <c r="Q25" s="594">
        <f t="shared" ref="Q25:Q26" si="12">I25+M25</f>
        <v>142448720.09999999</v>
      </c>
    </row>
    <row r="26" spans="1:18" ht="41.25" customHeight="1" thickTop="1" thickBot="1" x14ac:dyDescent="0.25">
      <c r="B26" s="589" t="s">
        <v>1199</v>
      </c>
      <c r="C26" s="589"/>
      <c r="D26" s="589"/>
      <c r="E26" s="592" t="s">
        <v>1612</v>
      </c>
      <c r="F26" s="594">
        <v>0</v>
      </c>
      <c r="G26" s="594">
        <v>142448720.09999999</v>
      </c>
      <c r="H26" s="594">
        <v>142448720.09999999</v>
      </c>
      <c r="I26" s="594">
        <f>F26+G26</f>
        <v>142448720.09999999</v>
      </c>
      <c r="J26" s="594">
        <v>0</v>
      </c>
      <c r="K26" s="594">
        <v>0</v>
      </c>
      <c r="L26" s="594">
        <v>0</v>
      </c>
      <c r="M26" s="594">
        <f t="shared" si="8"/>
        <v>0</v>
      </c>
      <c r="N26" s="594">
        <f t="shared" si="9"/>
        <v>0</v>
      </c>
      <c r="O26" s="594">
        <f t="shared" si="10"/>
        <v>142448720.09999999</v>
      </c>
      <c r="P26" s="594">
        <f>H26+L26</f>
        <v>142448720.09999999</v>
      </c>
      <c r="Q26" s="594">
        <f t="shared" si="12"/>
        <v>142448720.09999999</v>
      </c>
    </row>
    <row r="27" spans="1:18" ht="61.5" thickTop="1" thickBot="1" x14ac:dyDescent="0.25">
      <c r="B27" s="589" t="s">
        <v>1196</v>
      </c>
      <c r="C27" s="589" t="s">
        <v>1197</v>
      </c>
      <c r="D27" s="589" t="s">
        <v>167</v>
      </c>
      <c r="E27" s="592" t="s">
        <v>1198</v>
      </c>
      <c r="F27" s="594">
        <f>F28</f>
        <v>0</v>
      </c>
      <c r="G27" s="594">
        <f t="shared" ref="G27:Q27" si="13">G28</f>
        <v>0</v>
      </c>
      <c r="H27" s="594">
        <f t="shared" si="13"/>
        <v>0</v>
      </c>
      <c r="I27" s="594">
        <f t="shared" si="13"/>
        <v>0</v>
      </c>
      <c r="J27" s="594">
        <f t="shared" si="13"/>
        <v>0</v>
      </c>
      <c r="K27" s="594">
        <f t="shared" si="13"/>
        <v>-142448720.09999999</v>
      </c>
      <c r="L27" s="594">
        <f t="shared" si="13"/>
        <v>-142448720.09999999</v>
      </c>
      <c r="M27" s="594">
        <f t="shared" si="13"/>
        <v>-142448720.09999999</v>
      </c>
      <c r="N27" s="594">
        <f t="shared" si="13"/>
        <v>0</v>
      </c>
      <c r="O27" s="594">
        <f t="shared" si="13"/>
        <v>-142448720.09999999</v>
      </c>
      <c r="P27" s="594">
        <f t="shared" si="13"/>
        <v>-142448720.09999999</v>
      </c>
      <c r="Q27" s="594">
        <f t="shared" si="13"/>
        <v>-142448720.09999999</v>
      </c>
    </row>
    <row r="28" spans="1:18" ht="48" customHeight="1" thickTop="1" thickBot="1" x14ac:dyDescent="0.25">
      <c r="A28" s="593"/>
      <c r="B28" s="589" t="s">
        <v>1328</v>
      </c>
      <c r="C28" s="589"/>
      <c r="D28" s="589"/>
      <c r="E28" s="592" t="s">
        <v>1329</v>
      </c>
      <c r="F28" s="594">
        <v>0</v>
      </c>
      <c r="G28" s="594">
        <v>0</v>
      </c>
      <c r="H28" s="594">
        <v>0</v>
      </c>
      <c r="I28" s="594">
        <v>0</v>
      </c>
      <c r="J28" s="594">
        <v>0</v>
      </c>
      <c r="K28" s="594">
        <v>-142448720.09999999</v>
      </c>
      <c r="L28" s="594">
        <v>-142448720.09999999</v>
      </c>
      <c r="M28" s="594">
        <f t="shared" ref="M28" si="14">J28+K28</f>
        <v>-142448720.09999999</v>
      </c>
      <c r="N28" s="594">
        <f t="shared" ref="N28" si="15">F28+J28</f>
        <v>0</v>
      </c>
      <c r="O28" s="594">
        <f t="shared" ref="O28" si="16">G28+K28</f>
        <v>-142448720.09999999</v>
      </c>
      <c r="P28" s="594">
        <f>H28+L28</f>
        <v>-142448720.09999999</v>
      </c>
      <c r="Q28" s="594">
        <f t="shared" ref="Q28" si="17">I28+M28</f>
        <v>-142448720.09999999</v>
      </c>
    </row>
    <row r="29" spans="1:18" ht="27.75" customHeight="1" thickTop="1" thickBot="1" x14ac:dyDescent="0.25">
      <c r="B29" s="427" t="s">
        <v>374</v>
      </c>
      <c r="C29" s="427" t="s">
        <v>374</v>
      </c>
      <c r="D29" s="427" t="s">
        <v>374</v>
      </c>
      <c r="E29" s="427" t="s">
        <v>384</v>
      </c>
      <c r="F29" s="428">
        <f t="shared" ref="F29:Q29" si="18">F12+F20</f>
        <v>0</v>
      </c>
      <c r="G29" s="428">
        <f t="shared" si="18"/>
        <v>143448720.09999999</v>
      </c>
      <c r="H29" s="428">
        <f t="shared" si="18"/>
        <v>142448720.09999999</v>
      </c>
      <c r="I29" s="428">
        <f t="shared" si="18"/>
        <v>143448720.09999999</v>
      </c>
      <c r="J29" s="428">
        <f t="shared" si="18"/>
        <v>0</v>
      </c>
      <c r="K29" s="428">
        <f t="shared" si="18"/>
        <v>-143448720.09999999</v>
      </c>
      <c r="L29" s="428">
        <f t="shared" si="18"/>
        <v>-142448720.09999999</v>
      </c>
      <c r="M29" s="428">
        <f t="shared" si="18"/>
        <v>-143448720.09999999</v>
      </c>
      <c r="N29" s="428">
        <f>N12+N20</f>
        <v>0</v>
      </c>
      <c r="O29" s="428">
        <f t="shared" si="18"/>
        <v>0</v>
      </c>
      <c r="P29" s="428">
        <f t="shared" si="18"/>
        <v>0</v>
      </c>
      <c r="Q29" s="428">
        <f t="shared" si="18"/>
        <v>0</v>
      </c>
      <c r="R29" s="631" t="b">
        <f>Q29=N29+O29</f>
        <v>1</v>
      </c>
    </row>
    <row r="30" spans="1:18" ht="16.5" customHeight="1" thickTop="1" x14ac:dyDescent="0.2">
      <c r="B30" s="291"/>
      <c r="C30" s="291"/>
      <c r="D30" s="291"/>
      <c r="E30" s="292"/>
      <c r="F30" s="293"/>
      <c r="G30" s="293"/>
      <c r="H30" s="293"/>
      <c r="I30" s="293"/>
      <c r="J30" s="293"/>
      <c r="K30" s="293"/>
      <c r="L30" s="293"/>
      <c r="M30" s="293"/>
      <c r="N30" s="293"/>
      <c r="O30" s="293"/>
      <c r="P30" s="293"/>
      <c r="Q30" s="293"/>
    </row>
    <row r="31" spans="1:18" ht="15" x14ac:dyDescent="0.25">
      <c r="B31" s="291"/>
      <c r="C31" s="291"/>
      <c r="D31" s="800" t="s">
        <v>1447</v>
      </c>
      <c r="E31" s="801"/>
      <c r="F31" s="379"/>
      <c r="G31" s="294"/>
      <c r="H31" s="295"/>
      <c r="I31" s="294"/>
      <c r="J31" s="295"/>
      <c r="K31" s="694" t="s">
        <v>1448</v>
      </c>
      <c r="L31" s="294"/>
      <c r="M31" s="294"/>
      <c r="N31" s="294"/>
      <c r="O31" s="294"/>
      <c r="P31" s="294"/>
      <c r="Q31" s="293"/>
    </row>
    <row r="32" spans="1:18" ht="15" hidden="1" x14ac:dyDescent="0.25">
      <c r="B32" s="291"/>
      <c r="C32" s="291"/>
      <c r="D32" s="248" t="s">
        <v>1254</v>
      </c>
      <c r="E32" s="249"/>
      <c r="F32" s="249"/>
      <c r="G32" s="250"/>
      <c r="H32" s="248"/>
      <c r="I32" s="250"/>
      <c r="J32" s="248"/>
      <c r="K32" s="248" t="s">
        <v>1255</v>
      </c>
      <c r="L32" s="294"/>
      <c r="M32" s="294"/>
      <c r="N32" s="294"/>
      <c r="O32" s="294"/>
      <c r="P32" s="294"/>
      <c r="Q32" s="293"/>
    </row>
    <row r="33" spans="2:17" ht="15" hidden="1" x14ac:dyDescent="0.25">
      <c r="B33" s="291"/>
      <c r="C33" s="291"/>
      <c r="D33" s="796" t="s">
        <v>1509</v>
      </c>
      <c r="E33" s="796"/>
      <c r="F33" s="379"/>
      <c r="G33" s="294"/>
      <c r="H33" s="295"/>
      <c r="I33" s="294"/>
      <c r="J33" s="295"/>
      <c r="K33" s="380" t="s">
        <v>1508</v>
      </c>
      <c r="L33" s="294"/>
      <c r="M33" s="294"/>
      <c r="N33" s="294"/>
      <c r="O33" s="294"/>
      <c r="P33" s="294"/>
      <c r="Q33" s="293"/>
    </row>
    <row r="34" spans="2:17" ht="16.5" customHeight="1" x14ac:dyDescent="0.25">
      <c r="B34" s="291"/>
      <c r="C34" s="291"/>
      <c r="D34" s="295"/>
      <c r="E34" s="379"/>
      <c r="F34" s="379"/>
      <c r="G34" s="294"/>
      <c r="H34" s="295"/>
      <c r="I34" s="294"/>
      <c r="J34" s="295"/>
      <c r="K34" s="295"/>
      <c r="L34" s="294"/>
      <c r="M34" s="294"/>
      <c r="N34" s="294"/>
      <c r="O34" s="294"/>
      <c r="P34" s="294"/>
      <c r="Q34" s="293"/>
    </row>
    <row r="35" spans="2:17" ht="15" customHeight="1" x14ac:dyDescent="0.25">
      <c r="B35" s="165"/>
      <c r="C35" s="165"/>
      <c r="D35" s="794" t="s">
        <v>506</v>
      </c>
      <c r="E35" s="795"/>
      <c r="F35" s="413"/>
      <c r="G35" s="414"/>
      <c r="H35" s="414"/>
      <c r="I35" s="250"/>
      <c r="J35" s="250"/>
      <c r="K35" s="248" t="s">
        <v>1175</v>
      </c>
      <c r="L35" s="294"/>
      <c r="M35" s="294"/>
      <c r="N35" s="294"/>
      <c r="O35" s="294"/>
      <c r="P35" s="294"/>
      <c r="Q35" s="166"/>
    </row>
    <row r="36" spans="2:17" ht="15" x14ac:dyDescent="0.25">
      <c r="B36" s="165"/>
      <c r="C36" s="165"/>
      <c r="D36" s="798"/>
      <c r="E36" s="798"/>
      <c r="F36" s="798"/>
      <c r="G36" s="798"/>
      <c r="H36" s="798"/>
      <c r="I36" s="798"/>
      <c r="J36" s="798"/>
      <c r="K36" s="798"/>
      <c r="L36" s="798"/>
      <c r="M36" s="798"/>
      <c r="N36" s="798"/>
      <c r="O36" s="798"/>
      <c r="P36" s="798"/>
      <c r="Q36" s="166"/>
    </row>
    <row r="37" spans="2:17" ht="15" x14ac:dyDescent="0.25">
      <c r="D37" s="798"/>
      <c r="E37" s="798"/>
      <c r="F37" s="798"/>
      <c r="G37" s="798"/>
      <c r="H37" s="798"/>
      <c r="I37" s="798"/>
      <c r="J37" s="798"/>
      <c r="K37" s="798"/>
      <c r="L37" s="798"/>
      <c r="M37" s="798"/>
      <c r="N37" s="798"/>
      <c r="O37" s="798"/>
      <c r="P37" s="798"/>
    </row>
    <row r="38" spans="2:17" ht="15" x14ac:dyDescent="0.25">
      <c r="D38" s="798"/>
      <c r="E38" s="798"/>
      <c r="F38" s="798"/>
      <c r="G38" s="798"/>
      <c r="H38" s="798"/>
      <c r="I38" s="798"/>
      <c r="J38" s="798"/>
      <c r="K38" s="798"/>
      <c r="L38" s="798"/>
      <c r="M38" s="798"/>
      <c r="N38" s="798"/>
      <c r="O38" s="798"/>
      <c r="P38" s="798"/>
    </row>
    <row r="39" spans="2:17" ht="15" x14ac:dyDescent="0.2">
      <c r="D39" s="167"/>
      <c r="E39" s="168"/>
      <c r="F39" s="169"/>
      <c r="G39" s="167"/>
      <c r="H39" s="167"/>
      <c r="I39" s="170"/>
      <c r="J39" s="168"/>
      <c r="K39" s="170"/>
      <c r="L39" s="167"/>
      <c r="M39" s="167"/>
      <c r="N39" s="170"/>
      <c r="O39" s="171"/>
      <c r="P39" s="172"/>
    </row>
    <row r="40" spans="2:17" ht="15" x14ac:dyDescent="0.25">
      <c r="D40" s="173"/>
      <c r="E40" s="173"/>
      <c r="F40" s="173"/>
      <c r="G40" s="173"/>
      <c r="H40" s="173"/>
      <c r="I40" s="173"/>
      <c r="J40" s="173"/>
      <c r="K40" s="173"/>
      <c r="L40" s="173"/>
      <c r="M40" s="173"/>
      <c r="N40" s="173"/>
      <c r="O40" s="173"/>
      <c r="P40" s="173"/>
    </row>
    <row r="65" spans="7:7" x14ac:dyDescent="0.2">
      <c r="G65" s="7">
        <f>H65+I65</f>
        <v>0</v>
      </c>
    </row>
    <row r="67" spans="7:7" x14ac:dyDescent="0.2">
      <c r="G67" s="7">
        <f t="shared" ref="G67:G85" si="19">H67+I67</f>
        <v>0</v>
      </c>
    </row>
    <row r="68" spans="7:7" x14ac:dyDescent="0.2">
      <c r="G68" s="7">
        <f t="shared" si="19"/>
        <v>0</v>
      </c>
    </row>
    <row r="69" spans="7:7" x14ac:dyDescent="0.2">
      <c r="G69" s="7">
        <f t="shared" si="19"/>
        <v>0</v>
      </c>
    </row>
    <row r="70" spans="7:7" x14ac:dyDescent="0.2">
      <c r="G70" s="7">
        <f t="shared" si="19"/>
        <v>0</v>
      </c>
    </row>
    <row r="71" spans="7:7" x14ac:dyDescent="0.2">
      <c r="G71" s="7">
        <f t="shared" si="19"/>
        <v>0</v>
      </c>
    </row>
    <row r="72" spans="7:7" x14ac:dyDescent="0.2">
      <c r="G72" s="7">
        <f t="shared" si="19"/>
        <v>0</v>
      </c>
    </row>
    <row r="73" spans="7:7" x14ac:dyDescent="0.2">
      <c r="G73" s="7">
        <f t="shared" si="19"/>
        <v>0</v>
      </c>
    </row>
    <row r="74" spans="7:7" x14ac:dyDescent="0.2">
      <c r="G74" s="7">
        <f t="shared" si="19"/>
        <v>0</v>
      </c>
    </row>
    <row r="75" spans="7:7" x14ac:dyDescent="0.2">
      <c r="G75" s="7">
        <f t="shared" si="19"/>
        <v>0</v>
      </c>
    </row>
    <row r="76" spans="7:7" x14ac:dyDescent="0.2">
      <c r="G76" s="7">
        <f t="shared" si="19"/>
        <v>0</v>
      </c>
    </row>
    <row r="77" spans="7:7" x14ac:dyDescent="0.2">
      <c r="G77" s="7">
        <f t="shared" si="19"/>
        <v>0</v>
      </c>
    </row>
    <row r="78" spans="7:7" x14ac:dyDescent="0.2">
      <c r="G78" s="7">
        <f t="shared" si="19"/>
        <v>0</v>
      </c>
    </row>
    <row r="79" spans="7:7" x14ac:dyDescent="0.2">
      <c r="G79" s="7">
        <f t="shared" si="19"/>
        <v>0</v>
      </c>
    </row>
    <row r="80" spans="7:7" x14ac:dyDescent="0.2">
      <c r="G80" s="7">
        <f t="shared" si="19"/>
        <v>0</v>
      </c>
    </row>
    <row r="81" spans="7:7" x14ac:dyDescent="0.2">
      <c r="G81" s="7">
        <f t="shared" si="19"/>
        <v>0</v>
      </c>
    </row>
    <row r="82" spans="7:7" x14ac:dyDescent="0.2">
      <c r="G82" s="7">
        <f t="shared" si="19"/>
        <v>0</v>
      </c>
    </row>
    <row r="83" spans="7:7" x14ac:dyDescent="0.2">
      <c r="G83" s="7">
        <f t="shared" si="19"/>
        <v>0</v>
      </c>
    </row>
    <row r="84" spans="7:7" x14ac:dyDescent="0.2">
      <c r="G84" s="7">
        <f t="shared" si="19"/>
        <v>0</v>
      </c>
    </row>
    <row r="85" spans="7:7" x14ac:dyDescent="0.2">
      <c r="G85" s="7">
        <f t="shared" si="19"/>
        <v>0</v>
      </c>
    </row>
    <row r="87" spans="7:7" x14ac:dyDescent="0.2">
      <c r="G87" s="7">
        <f>H87+I87</f>
        <v>0</v>
      </c>
    </row>
    <row r="88" spans="7:7" x14ac:dyDescent="0.2">
      <c r="G88" s="7">
        <f>H88+I88</f>
        <v>0</v>
      </c>
    </row>
    <row r="89" spans="7:7" x14ac:dyDescent="0.2">
      <c r="G89" s="7">
        <f>H89+I89</f>
        <v>0</v>
      </c>
    </row>
    <row r="90" spans="7:7" x14ac:dyDescent="0.2">
      <c r="G90" s="7">
        <f>H90+I90</f>
        <v>0</v>
      </c>
    </row>
    <row r="92" spans="7:7" x14ac:dyDescent="0.2">
      <c r="G92" s="7">
        <f>H92+I92</f>
        <v>0</v>
      </c>
    </row>
    <row r="95" spans="7:7" x14ac:dyDescent="0.2">
      <c r="G95" s="786"/>
    </row>
    <row r="96" spans="7:7" x14ac:dyDescent="0.2">
      <c r="G96" s="787"/>
    </row>
    <row r="132" spans="7:7" x14ac:dyDescent="0.2">
      <c r="G132" s="7">
        <f>H132+I132</f>
        <v>0</v>
      </c>
    </row>
    <row r="134" spans="7:7" x14ac:dyDescent="0.2">
      <c r="G134" s="7">
        <f t="shared" ref="G134:G144" si="20">H134+I134</f>
        <v>0</v>
      </c>
    </row>
    <row r="135" spans="7:7" x14ac:dyDescent="0.2">
      <c r="G135" s="7">
        <f t="shared" si="20"/>
        <v>0</v>
      </c>
    </row>
    <row r="136" spans="7:7" x14ac:dyDescent="0.2">
      <c r="G136" s="7">
        <f t="shared" si="20"/>
        <v>0</v>
      </c>
    </row>
    <row r="137" spans="7:7" x14ac:dyDescent="0.2">
      <c r="G137" s="7">
        <f t="shared" si="20"/>
        <v>0</v>
      </c>
    </row>
    <row r="138" spans="7:7" x14ac:dyDescent="0.2">
      <c r="G138" s="7">
        <f t="shared" si="20"/>
        <v>0</v>
      </c>
    </row>
    <row r="139" spans="7:7" x14ac:dyDescent="0.2">
      <c r="G139" s="7">
        <f t="shared" si="20"/>
        <v>0</v>
      </c>
    </row>
    <row r="140" spans="7:7" x14ac:dyDescent="0.2">
      <c r="G140" s="7">
        <f t="shared" si="20"/>
        <v>0</v>
      </c>
    </row>
    <row r="141" spans="7:7" x14ac:dyDescent="0.2">
      <c r="G141" s="7">
        <f t="shared" si="20"/>
        <v>0</v>
      </c>
    </row>
    <row r="142" spans="7:7" x14ac:dyDescent="0.2">
      <c r="G142" s="7">
        <f t="shared" si="20"/>
        <v>0</v>
      </c>
    </row>
    <row r="143" spans="7:7" x14ac:dyDescent="0.2">
      <c r="G143" s="7">
        <f t="shared" si="20"/>
        <v>0</v>
      </c>
    </row>
    <row r="144" spans="7:7" x14ac:dyDescent="0.2">
      <c r="G144" s="7">
        <f t="shared" si="20"/>
        <v>0</v>
      </c>
    </row>
    <row r="146" spans="7:10" x14ac:dyDescent="0.2">
      <c r="G146" s="7">
        <f>H147+I147</f>
        <v>0</v>
      </c>
    </row>
    <row r="147" spans="7:10" x14ac:dyDescent="0.2">
      <c r="G147" s="7">
        <f t="shared" ref="G147" si="21">H147+I147</f>
        <v>0</v>
      </c>
    </row>
    <row r="148" spans="7:10" x14ac:dyDescent="0.2">
      <c r="G148" s="7">
        <f>H148+I148</f>
        <v>0</v>
      </c>
    </row>
    <row r="149" spans="7:10" x14ac:dyDescent="0.2">
      <c r="G149" s="7">
        <f>H149+I149</f>
        <v>0</v>
      </c>
    </row>
    <row r="150" spans="7:10" x14ac:dyDescent="0.2">
      <c r="G150" s="7">
        <f>H150+I150</f>
        <v>0</v>
      </c>
    </row>
    <row r="151" spans="7:10" x14ac:dyDescent="0.2">
      <c r="G151" s="7">
        <f>H151+I151</f>
        <v>0</v>
      </c>
    </row>
    <row r="156" spans="7:10" ht="46.5" x14ac:dyDescent="0.65">
      <c r="J156" s="174"/>
    </row>
    <row r="159" spans="7:10" ht="46.5" x14ac:dyDescent="0.65">
      <c r="G159" s="174">
        <f>H159+I159</f>
        <v>0</v>
      </c>
      <c r="J159" s="174"/>
    </row>
    <row r="178" spans="11:11" ht="90" x14ac:dyDescent="1.1499999999999999">
      <c r="K178" s="175" t="b">
        <f>G178=H178+I178</f>
        <v>1</v>
      </c>
    </row>
  </sheetData>
  <mergeCells count="29">
    <mergeCell ref="O9:P9"/>
    <mergeCell ref="D38:P38"/>
    <mergeCell ref="D37:P37"/>
    <mergeCell ref="M2:Q2"/>
    <mergeCell ref="E3:M3"/>
    <mergeCell ref="J8:M8"/>
    <mergeCell ref="N8:Q8"/>
    <mergeCell ref="Q9:Q10"/>
    <mergeCell ref="M9:M10"/>
    <mergeCell ref="N9:N10"/>
    <mergeCell ref="J9:J10"/>
    <mergeCell ref="D36:P36"/>
    <mergeCell ref="G9:H9"/>
    <mergeCell ref="K9:L9"/>
    <mergeCell ref="D31:E31"/>
    <mergeCell ref="B3:C3"/>
    <mergeCell ref="B5:C5"/>
    <mergeCell ref="B6:C6"/>
    <mergeCell ref="G95:G96"/>
    <mergeCell ref="B8:B10"/>
    <mergeCell ref="C8:C10"/>
    <mergeCell ref="D8:D10"/>
    <mergeCell ref="E8:E10"/>
    <mergeCell ref="F8:I8"/>
    <mergeCell ref="F9:F10"/>
    <mergeCell ref="I9:I10"/>
    <mergeCell ref="E4:M4"/>
    <mergeCell ref="D35:E35"/>
    <mergeCell ref="D33:E33"/>
  </mergeCells>
  <printOptions horizontalCentered="1"/>
  <pageMargins left="0.19685039370078741" right="0" top="0.59055118110236227" bottom="0.39370078740157483" header="0.31496062992125984" footer="0.31496062992125984"/>
  <pageSetup paperSize="9" scale="54" fitToHeight="0" orientation="landscape" horizontalDpi="300" verticalDpi="300" r:id="rId1"/>
  <headerFooter alignWithMargins="0">
    <oddFooter>&amp;R&amp;P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42"/>
  <sheetViews>
    <sheetView view="pageBreakPreview" zoomScale="25" zoomScaleNormal="25" zoomScaleSheetLayoutView="25" zoomScalePageLayoutView="10" workbookViewId="0">
      <selection activeCell="D3" sqref="D3"/>
    </sheetView>
  </sheetViews>
  <sheetFormatPr defaultColWidth="9.140625" defaultRowHeight="12.75" x14ac:dyDescent="0.2"/>
  <cols>
    <col min="1" max="1" width="62.28515625" style="188" customWidth="1"/>
    <col min="2" max="2" width="49.140625" style="188" customWidth="1"/>
    <col min="3" max="3" width="186.5703125" style="188" customWidth="1"/>
    <col min="4" max="4" width="69.7109375" style="188" customWidth="1"/>
    <col min="5" max="5" width="45.85546875" style="178" customWidth="1"/>
    <col min="6" max="6" width="26.5703125" style="178" bestFit="1" customWidth="1"/>
    <col min="7" max="16384" width="9.140625" style="178"/>
  </cols>
  <sheetData>
    <row r="1" spans="1:15" ht="48.75" customHeight="1" x14ac:dyDescent="0.35">
      <c r="A1" s="73"/>
      <c r="B1" s="429"/>
      <c r="C1" s="429"/>
      <c r="D1" s="430" t="s">
        <v>569</v>
      </c>
      <c r="E1" s="177"/>
      <c r="F1" s="177"/>
      <c r="G1" s="177"/>
      <c r="H1" s="177"/>
    </row>
    <row r="2" spans="1:15" ht="84.75" customHeight="1" x14ac:dyDescent="0.35">
      <c r="A2" s="74"/>
      <c r="B2" s="429"/>
      <c r="C2" s="429"/>
      <c r="D2" s="431" t="s">
        <v>1741</v>
      </c>
      <c r="E2" s="177"/>
      <c r="F2" s="177"/>
      <c r="G2" s="177"/>
      <c r="H2" s="177"/>
    </row>
    <row r="3" spans="1:15" ht="40.700000000000003" customHeight="1" x14ac:dyDescent="0.2">
      <c r="A3" s="74"/>
      <c r="B3" s="74"/>
      <c r="C3" s="74"/>
      <c r="D3" s="75"/>
      <c r="N3" s="819"/>
      <c r="O3" s="819"/>
    </row>
    <row r="4" spans="1:15" ht="45.75" hidden="1" x14ac:dyDescent="0.2">
      <c r="A4" s="74"/>
      <c r="B4" s="74"/>
      <c r="C4" s="74"/>
      <c r="D4" s="75"/>
      <c r="N4" s="819"/>
      <c r="O4" s="820"/>
    </row>
    <row r="5" spans="1:15" ht="45.75" x14ac:dyDescent="0.2">
      <c r="A5" s="761" t="s">
        <v>1515</v>
      </c>
      <c r="B5" s="761"/>
      <c r="C5" s="761"/>
      <c r="D5" s="761"/>
      <c r="N5" s="819"/>
      <c r="O5" s="820"/>
    </row>
    <row r="6" spans="1:15" ht="45.75" x14ac:dyDescent="0.65">
      <c r="A6" s="762">
        <v>2256400000</v>
      </c>
      <c r="B6" s="720"/>
      <c r="C6" s="720"/>
      <c r="D6" s="720"/>
    </row>
    <row r="7" spans="1:15" ht="45.75" x14ac:dyDescent="0.2">
      <c r="A7" s="767" t="s">
        <v>478</v>
      </c>
      <c r="B7" s="720"/>
      <c r="C7" s="720"/>
      <c r="D7" s="720"/>
    </row>
    <row r="8" spans="1:15" ht="45.75" x14ac:dyDescent="0.2">
      <c r="A8" s="408"/>
      <c r="B8" s="398"/>
      <c r="C8" s="398"/>
      <c r="D8" s="398"/>
    </row>
    <row r="9" spans="1:15" ht="53.45" customHeight="1" x14ac:dyDescent="0.2">
      <c r="A9" s="826" t="s">
        <v>1030</v>
      </c>
      <c r="B9" s="827"/>
      <c r="C9" s="827"/>
      <c r="D9" s="827"/>
    </row>
    <row r="10" spans="1:15" ht="53.45" customHeight="1" thickBot="1" x14ac:dyDescent="0.25">
      <c r="A10" s="75"/>
      <c r="B10" s="75"/>
      <c r="C10" s="75"/>
      <c r="D10" s="409" t="s">
        <v>397</v>
      </c>
    </row>
    <row r="11" spans="1:15" ht="140.25" customHeight="1" thickTop="1" thickBot="1" x14ac:dyDescent="0.25">
      <c r="A11" s="410" t="s">
        <v>574</v>
      </c>
      <c r="B11" s="831" t="s">
        <v>573</v>
      </c>
      <c r="C11" s="832"/>
      <c r="D11" s="410" t="s">
        <v>376</v>
      </c>
    </row>
    <row r="12" spans="1:15" s="179" customFormat="1" ht="47.25" thickTop="1" thickBot="1" x14ac:dyDescent="0.25">
      <c r="A12" s="94" t="s">
        <v>2</v>
      </c>
      <c r="B12" s="833" t="s">
        <v>3</v>
      </c>
      <c r="C12" s="834"/>
      <c r="D12" s="94" t="s">
        <v>14</v>
      </c>
    </row>
    <row r="13" spans="1:15" s="179" customFormat="1" ht="70.5" customHeight="1" thickTop="1" thickBot="1" x14ac:dyDescent="0.25">
      <c r="A13" s="828" t="s">
        <v>575</v>
      </c>
      <c r="B13" s="829"/>
      <c r="C13" s="829"/>
      <c r="D13" s="830"/>
    </row>
    <row r="14" spans="1:15" s="179" customFormat="1" ht="70.5" customHeight="1" thickTop="1" thickBot="1" x14ac:dyDescent="0.25">
      <c r="A14" s="242" t="s">
        <v>1173</v>
      </c>
      <c r="B14" s="806" t="s">
        <v>1172</v>
      </c>
      <c r="C14" s="807"/>
      <c r="D14" s="691">
        <f>SUM(D15)</f>
        <v>17727100</v>
      </c>
    </row>
    <row r="15" spans="1:15" s="179" customFormat="1" ht="88.5" customHeight="1" thickTop="1" thickBot="1" x14ac:dyDescent="0.25">
      <c r="A15" s="94">
        <v>41021400</v>
      </c>
      <c r="B15" s="808" t="s">
        <v>1174</v>
      </c>
      <c r="C15" s="809"/>
      <c r="D15" s="690">
        <v>17727100</v>
      </c>
    </row>
    <row r="16" spans="1:15" s="179" customFormat="1" ht="66" customHeight="1" thickTop="1" thickBot="1" x14ac:dyDescent="0.25">
      <c r="A16" s="94" t="s">
        <v>1152</v>
      </c>
      <c r="B16" s="808" t="s">
        <v>555</v>
      </c>
      <c r="C16" s="809"/>
      <c r="D16" s="432">
        <f>D15</f>
        <v>17727100</v>
      </c>
    </row>
    <row r="17" spans="1:4" s="179" customFormat="1" ht="46.5" hidden="1" thickTop="1" thickBot="1" x14ac:dyDescent="0.25">
      <c r="A17" s="116" t="s">
        <v>585</v>
      </c>
      <c r="B17" s="804" t="s">
        <v>430</v>
      </c>
      <c r="C17" s="805"/>
      <c r="D17" s="297">
        <f>SUM(D18:D28)</f>
        <v>0</v>
      </c>
    </row>
    <row r="18" spans="1:4" s="179" customFormat="1" ht="47.25" hidden="1" thickTop="1" thickBot="1" x14ac:dyDescent="0.25">
      <c r="A18" s="119" t="s">
        <v>926</v>
      </c>
      <c r="B18" s="802" t="s">
        <v>925</v>
      </c>
      <c r="C18" s="803"/>
      <c r="D18" s="299">
        <v>0</v>
      </c>
    </row>
    <row r="19" spans="1:4" s="179" customFormat="1" ht="47.25" hidden="1" thickTop="1" thickBot="1" x14ac:dyDescent="0.25">
      <c r="A19" s="119">
        <v>41033300</v>
      </c>
      <c r="B19" s="802" t="s">
        <v>1370</v>
      </c>
      <c r="C19" s="803"/>
      <c r="D19" s="299">
        <v>0</v>
      </c>
    </row>
    <row r="20" spans="1:4" s="179" customFormat="1" ht="47.25" hidden="1" thickTop="1" thickBot="1" x14ac:dyDescent="0.25">
      <c r="A20" s="119" t="s">
        <v>1005</v>
      </c>
      <c r="B20" s="802" t="s">
        <v>971</v>
      </c>
      <c r="C20" s="803"/>
      <c r="D20" s="299">
        <v>0</v>
      </c>
    </row>
    <row r="21" spans="1:4" s="179" customFormat="1" ht="47.25" hidden="1" thickTop="1" thickBot="1" x14ac:dyDescent="0.25">
      <c r="A21" s="119" t="s">
        <v>584</v>
      </c>
      <c r="B21" s="802" t="s">
        <v>596</v>
      </c>
      <c r="C21" s="803"/>
      <c r="D21" s="180"/>
    </row>
    <row r="22" spans="1:4" s="179" customFormat="1" ht="47.25" hidden="1" thickTop="1" thickBot="1" x14ac:dyDescent="0.25">
      <c r="A22" s="119" t="s">
        <v>1003</v>
      </c>
      <c r="B22" s="802" t="s">
        <v>972</v>
      </c>
      <c r="C22" s="810"/>
      <c r="D22" s="180">
        <v>0</v>
      </c>
    </row>
    <row r="23" spans="1:4" s="179" customFormat="1" ht="47.25" hidden="1" thickTop="1" thickBot="1" x14ac:dyDescent="0.25">
      <c r="A23" s="119">
        <v>41035400</v>
      </c>
      <c r="B23" s="802" t="s">
        <v>1425</v>
      </c>
      <c r="C23" s="803"/>
      <c r="D23" s="180"/>
    </row>
    <row r="24" spans="1:4" s="179" customFormat="1" ht="47.25" hidden="1" thickTop="1" thickBot="1" x14ac:dyDescent="0.25">
      <c r="A24" s="119" t="s">
        <v>928</v>
      </c>
      <c r="B24" s="802" t="s">
        <v>927</v>
      </c>
      <c r="C24" s="803"/>
      <c r="D24" s="180">
        <v>0</v>
      </c>
    </row>
    <row r="25" spans="1:4" s="179" customFormat="1" ht="47.25" hidden="1" thickTop="1" thickBot="1" x14ac:dyDescent="0.25">
      <c r="A25" s="119" t="s">
        <v>935</v>
      </c>
      <c r="B25" s="802" t="s">
        <v>936</v>
      </c>
      <c r="C25" s="803"/>
      <c r="D25" s="180">
        <v>0</v>
      </c>
    </row>
    <row r="26" spans="1:4" s="179" customFormat="1" ht="47.25" hidden="1" thickTop="1" thickBot="1" x14ac:dyDescent="0.25">
      <c r="A26" s="119">
        <v>41036000</v>
      </c>
      <c r="B26" s="802" t="s">
        <v>1468</v>
      </c>
      <c r="C26" s="803"/>
      <c r="D26" s="180"/>
    </row>
    <row r="27" spans="1:4" s="179" customFormat="1" ht="47.25" hidden="1" thickTop="1" thickBot="1" x14ac:dyDescent="0.25">
      <c r="A27" s="119" t="s">
        <v>1427</v>
      </c>
      <c r="B27" s="802" t="s">
        <v>1426</v>
      </c>
      <c r="C27" s="803"/>
      <c r="D27" s="180"/>
    </row>
    <row r="28" spans="1:4" s="179" customFormat="1" ht="47.25" hidden="1" thickTop="1" thickBot="1" x14ac:dyDescent="0.25">
      <c r="A28" s="119" t="s">
        <v>919</v>
      </c>
      <c r="B28" s="802" t="s">
        <v>918</v>
      </c>
      <c r="C28" s="803"/>
      <c r="D28" s="180">
        <v>0</v>
      </c>
    </row>
    <row r="29" spans="1:4" s="179" customFormat="1" ht="47.25" hidden="1" thickTop="1" thickBot="1" x14ac:dyDescent="0.25">
      <c r="A29" s="119" t="s">
        <v>1152</v>
      </c>
      <c r="B29" s="802" t="s">
        <v>555</v>
      </c>
      <c r="C29" s="803"/>
      <c r="D29" s="180">
        <f>D17</f>
        <v>0</v>
      </c>
    </row>
    <row r="30" spans="1:4" s="179" customFormat="1" ht="91.5" customHeight="1" thickTop="1" thickBot="1" x14ac:dyDescent="0.25">
      <c r="A30" s="242" t="s">
        <v>588</v>
      </c>
      <c r="B30" s="806" t="s">
        <v>338</v>
      </c>
      <c r="C30" s="807"/>
      <c r="D30" s="691">
        <f>SUM(D31:D32)</f>
        <v>4249200</v>
      </c>
    </row>
    <row r="31" spans="1:4" s="179" customFormat="1" ht="180.75" customHeight="1" thickTop="1" thickBot="1" x14ac:dyDescent="0.25">
      <c r="A31" s="94" t="s">
        <v>589</v>
      </c>
      <c r="B31" s="808" t="s">
        <v>597</v>
      </c>
      <c r="C31" s="809"/>
      <c r="D31" s="690">
        <v>4249200</v>
      </c>
    </row>
    <row r="32" spans="1:4" s="179" customFormat="1" ht="47.25" hidden="1" thickTop="1" thickBot="1" x14ac:dyDescent="0.25">
      <c r="A32" s="119" t="s">
        <v>1103</v>
      </c>
      <c r="B32" s="802" t="s">
        <v>1102</v>
      </c>
      <c r="C32" s="803"/>
      <c r="D32" s="299"/>
    </row>
    <row r="33" spans="1:6" s="179" customFormat="1" ht="87" customHeight="1" thickTop="1" thickBot="1" x14ac:dyDescent="0.25">
      <c r="A33" s="94" t="s">
        <v>1156</v>
      </c>
      <c r="B33" s="808" t="s">
        <v>587</v>
      </c>
      <c r="C33" s="809"/>
      <c r="D33" s="432">
        <f>SUM(D31:D32)</f>
        <v>4249200</v>
      </c>
    </row>
    <row r="34" spans="1:6" s="179" customFormat="1" ht="84" customHeight="1" thickTop="1" thickBot="1" x14ac:dyDescent="0.25">
      <c r="A34" s="242" t="s">
        <v>590</v>
      </c>
      <c r="B34" s="806" t="s">
        <v>591</v>
      </c>
      <c r="C34" s="807"/>
      <c r="D34" s="691">
        <f>D58+D60</f>
        <v>1723647</v>
      </c>
      <c r="E34" s="637" t="b">
        <f>D34=D58+D60</f>
        <v>1</v>
      </c>
      <c r="F34" s="637" t="b">
        <f>D34='d1'!D132</f>
        <v>1</v>
      </c>
    </row>
    <row r="35" spans="1:6" s="179" customFormat="1" ht="47.25" hidden="1" thickTop="1" thickBot="1" x14ac:dyDescent="0.25">
      <c r="A35" s="119">
        <v>41050100</v>
      </c>
      <c r="B35" s="802" t="s">
        <v>1492</v>
      </c>
      <c r="C35" s="803"/>
      <c r="D35" s="180"/>
      <c r="E35" s="382"/>
      <c r="F35" s="382"/>
    </row>
    <row r="36" spans="1:6" s="179" customFormat="1" ht="35.25" hidden="1" thickTop="1" x14ac:dyDescent="0.2">
      <c r="A36" s="733" t="s">
        <v>1472</v>
      </c>
      <c r="B36" s="817" t="s">
        <v>1473</v>
      </c>
      <c r="C36" s="818"/>
      <c r="D36" s="821"/>
      <c r="E36" s="382"/>
      <c r="F36" s="382"/>
    </row>
    <row r="37" spans="1:6" s="179" customFormat="1" ht="35.25" hidden="1" thickBot="1" x14ac:dyDescent="0.25">
      <c r="A37" s="734"/>
      <c r="B37" s="815" t="s">
        <v>1474</v>
      </c>
      <c r="C37" s="816"/>
      <c r="D37" s="822"/>
      <c r="E37" s="382"/>
      <c r="F37" s="382"/>
    </row>
    <row r="38" spans="1:6" s="179" customFormat="1" ht="20.25" hidden="1" thickTop="1" x14ac:dyDescent="0.65">
      <c r="A38" s="733" t="s">
        <v>1006</v>
      </c>
      <c r="B38" s="811" t="s">
        <v>1239</v>
      </c>
      <c r="C38" s="812"/>
      <c r="D38" s="821">
        <v>0</v>
      </c>
    </row>
    <row r="39" spans="1:6" s="179" customFormat="1" ht="13.5" hidden="1" thickBot="1" x14ac:dyDescent="0.25">
      <c r="A39" s="740"/>
      <c r="B39" s="813" t="s">
        <v>1240</v>
      </c>
      <c r="C39" s="814"/>
      <c r="D39" s="740"/>
    </row>
    <row r="40" spans="1:6" s="179" customFormat="1" ht="20.25" hidden="1" thickTop="1" x14ac:dyDescent="0.65">
      <c r="A40" s="733" t="s">
        <v>1004</v>
      </c>
      <c r="B40" s="811" t="s">
        <v>1241</v>
      </c>
      <c r="C40" s="812"/>
      <c r="D40" s="821">
        <v>0</v>
      </c>
    </row>
    <row r="41" spans="1:6" s="179" customFormat="1" ht="13.5" hidden="1" thickBot="1" x14ac:dyDescent="0.25">
      <c r="A41" s="740"/>
      <c r="B41" s="813" t="s">
        <v>1242</v>
      </c>
      <c r="C41" s="814"/>
      <c r="D41" s="740"/>
    </row>
    <row r="42" spans="1:6" s="179" customFormat="1" ht="20.25" hidden="1" thickTop="1" x14ac:dyDescent="0.65">
      <c r="A42" s="733">
        <v>41050600</v>
      </c>
      <c r="B42" s="811" t="s">
        <v>1243</v>
      </c>
      <c r="C42" s="812"/>
      <c r="D42" s="821">
        <v>0</v>
      </c>
    </row>
    <row r="43" spans="1:6" s="179" customFormat="1" ht="13.5" hidden="1" thickBot="1" x14ac:dyDescent="0.25">
      <c r="A43" s="740"/>
      <c r="B43" s="813" t="s">
        <v>1244</v>
      </c>
      <c r="C43" s="814"/>
      <c r="D43" s="740"/>
    </row>
    <row r="44" spans="1:6" s="179" customFormat="1" ht="47.25" hidden="1" thickTop="1" thickBot="1" x14ac:dyDescent="0.25">
      <c r="A44" s="119">
        <v>41050900</v>
      </c>
      <c r="B44" s="802" t="s">
        <v>1007</v>
      </c>
      <c r="C44" s="803"/>
      <c r="D44" s="180">
        <v>0</v>
      </c>
    </row>
    <row r="45" spans="1:6" s="179" customFormat="1" ht="47.25" hidden="1" thickTop="1" thickBot="1" x14ac:dyDescent="0.25">
      <c r="A45" s="119" t="s">
        <v>592</v>
      </c>
      <c r="B45" s="802" t="s">
        <v>593</v>
      </c>
      <c r="C45" s="803"/>
      <c r="D45" s="180"/>
    </row>
    <row r="46" spans="1:6" s="179" customFormat="1" ht="47.25" hidden="1" thickTop="1" thickBot="1" x14ac:dyDescent="0.25">
      <c r="A46" s="119" t="s">
        <v>594</v>
      </c>
      <c r="B46" s="802" t="s">
        <v>1151</v>
      </c>
      <c r="C46" s="803"/>
      <c r="D46" s="299">
        <v>0</v>
      </c>
    </row>
    <row r="47" spans="1:6" s="179" customFormat="1" ht="47.25" hidden="1" thickTop="1" thickBot="1" x14ac:dyDescent="0.25">
      <c r="A47" s="119" t="s">
        <v>929</v>
      </c>
      <c r="B47" s="802" t="s">
        <v>1358</v>
      </c>
      <c r="C47" s="803"/>
      <c r="D47" s="299">
        <v>0</v>
      </c>
    </row>
    <row r="48" spans="1:6" s="179" customFormat="1" ht="47.25" hidden="1" thickTop="1" thickBot="1" x14ac:dyDescent="0.25">
      <c r="A48" s="119" t="s">
        <v>893</v>
      </c>
      <c r="B48" s="802" t="s">
        <v>894</v>
      </c>
      <c r="C48" s="803"/>
      <c r="D48" s="299">
        <v>0</v>
      </c>
    </row>
    <row r="49" spans="1:5" s="179" customFormat="1" ht="109.5" customHeight="1" thickTop="1" thickBot="1" x14ac:dyDescent="0.25">
      <c r="A49" s="94">
        <v>41053900</v>
      </c>
      <c r="B49" s="808" t="s">
        <v>357</v>
      </c>
      <c r="C49" s="809"/>
      <c r="D49" s="690">
        <v>1723647</v>
      </c>
    </row>
    <row r="50" spans="1:5" s="179" customFormat="1" ht="234" hidden="1" customHeight="1" thickTop="1" x14ac:dyDescent="0.65">
      <c r="A50" s="733" t="s">
        <v>1008</v>
      </c>
      <c r="B50" s="811" t="s">
        <v>1009</v>
      </c>
      <c r="C50" s="812"/>
      <c r="D50" s="821">
        <v>0</v>
      </c>
    </row>
    <row r="51" spans="1:5" s="179" customFormat="1" ht="234" hidden="1" customHeight="1" thickBot="1" x14ac:dyDescent="0.25">
      <c r="A51" s="740"/>
      <c r="B51" s="813" t="s">
        <v>1010</v>
      </c>
      <c r="C51" s="814"/>
      <c r="D51" s="740"/>
    </row>
    <row r="52" spans="1:5" s="179" customFormat="1" ht="234" hidden="1" customHeight="1" thickTop="1" thickBot="1" x14ac:dyDescent="0.25">
      <c r="A52" s="119" t="s">
        <v>595</v>
      </c>
      <c r="B52" s="802" t="s">
        <v>598</v>
      </c>
      <c r="C52" s="803"/>
      <c r="D52" s="299">
        <v>0</v>
      </c>
    </row>
    <row r="53" spans="1:5" s="179" customFormat="1" ht="47.25" hidden="1" thickTop="1" thickBot="1" x14ac:dyDescent="0.25">
      <c r="A53" s="119" t="s">
        <v>955</v>
      </c>
      <c r="B53" s="802" t="s">
        <v>956</v>
      </c>
      <c r="C53" s="803"/>
      <c r="D53" s="180">
        <f>10623233.82-10623233.82</f>
        <v>0</v>
      </c>
    </row>
    <row r="54" spans="1:5" s="179" customFormat="1" ht="47.25" hidden="1" thickTop="1" thickBot="1" x14ac:dyDescent="0.25">
      <c r="A54" s="119">
        <v>41057700</v>
      </c>
      <c r="B54" s="802" t="s">
        <v>1200</v>
      </c>
      <c r="C54" s="803"/>
      <c r="D54" s="299"/>
    </row>
    <row r="55" spans="1:5" s="179" customFormat="1" ht="47.25" hidden="1" thickTop="1" thickBot="1" x14ac:dyDescent="0.25">
      <c r="A55" s="119">
        <v>41059000</v>
      </c>
      <c r="B55" s="802" t="s">
        <v>1223</v>
      </c>
      <c r="C55" s="803"/>
      <c r="D55" s="299">
        <v>0</v>
      </c>
    </row>
    <row r="56" spans="1:5" s="179" customFormat="1" ht="47.25" hidden="1" thickTop="1" thickBot="1" x14ac:dyDescent="0.25">
      <c r="A56" s="119" t="s">
        <v>1446</v>
      </c>
      <c r="B56" s="802" t="s">
        <v>1445</v>
      </c>
      <c r="C56" s="803"/>
      <c r="D56" s="299"/>
    </row>
    <row r="57" spans="1:5" s="179" customFormat="1" ht="47.25" hidden="1" thickTop="1" thickBot="1" x14ac:dyDescent="0.25">
      <c r="A57" s="119" t="s">
        <v>1429</v>
      </c>
      <c r="B57" s="802" t="s">
        <v>1428</v>
      </c>
      <c r="C57" s="803"/>
      <c r="D57" s="299"/>
    </row>
    <row r="58" spans="1:5" s="179" customFormat="1" ht="81" customHeight="1" thickTop="1" thickBot="1" x14ac:dyDescent="0.55000000000000004">
      <c r="A58" s="94" t="s">
        <v>1156</v>
      </c>
      <c r="B58" s="808" t="s">
        <v>587</v>
      </c>
      <c r="C58" s="809"/>
      <c r="D58" s="432">
        <f>SUM(D35:D57)</f>
        <v>1723647</v>
      </c>
      <c r="E58" s="181"/>
    </row>
    <row r="59" spans="1:5" s="179" customFormat="1" ht="47.25" hidden="1" thickTop="1" thickBot="1" x14ac:dyDescent="0.25">
      <c r="A59" s="182" t="s">
        <v>1024</v>
      </c>
      <c r="B59" s="835" t="s">
        <v>1025</v>
      </c>
      <c r="C59" s="836"/>
      <c r="D59" s="300">
        <v>0</v>
      </c>
    </row>
    <row r="60" spans="1:5" s="179" customFormat="1" ht="47.25" hidden="1" thickTop="1" thickBot="1" x14ac:dyDescent="0.25">
      <c r="A60" s="182" t="s">
        <v>557</v>
      </c>
      <c r="B60" s="835" t="s">
        <v>558</v>
      </c>
      <c r="C60" s="836"/>
      <c r="D60" s="183">
        <f>D59</f>
        <v>0</v>
      </c>
    </row>
    <row r="61" spans="1:5" ht="69" customHeight="1" thickTop="1" thickBot="1" x14ac:dyDescent="0.25">
      <c r="A61" s="828" t="s">
        <v>576</v>
      </c>
      <c r="B61" s="829"/>
      <c r="C61" s="829"/>
      <c r="D61" s="830"/>
    </row>
    <row r="62" spans="1:5" ht="46.5" hidden="1" customHeight="1" thickTop="1" thickBot="1" x14ac:dyDescent="0.25">
      <c r="A62" s="116" t="s">
        <v>585</v>
      </c>
      <c r="B62" s="804" t="s">
        <v>430</v>
      </c>
      <c r="C62" s="805"/>
      <c r="D62" s="297">
        <f>SUM(D63:D64)</f>
        <v>0</v>
      </c>
    </row>
    <row r="63" spans="1:5" ht="47.25" hidden="1" thickTop="1" thickBot="1" x14ac:dyDescent="0.25">
      <c r="A63" s="119" t="s">
        <v>584</v>
      </c>
      <c r="B63" s="802" t="s">
        <v>596</v>
      </c>
      <c r="C63" s="803"/>
      <c r="D63" s="180"/>
    </row>
    <row r="64" spans="1:5" ht="47.25" hidden="1" thickTop="1" thickBot="1" x14ac:dyDescent="0.25">
      <c r="A64" s="325" t="s">
        <v>1003</v>
      </c>
      <c r="B64" s="837" t="s">
        <v>972</v>
      </c>
      <c r="C64" s="838"/>
      <c r="D64" s="326">
        <v>0</v>
      </c>
    </row>
    <row r="65" spans="1:5" ht="47.25" hidden="1" customHeight="1" thickTop="1" thickBot="1" x14ac:dyDescent="0.25">
      <c r="A65" s="119" t="s">
        <v>1152</v>
      </c>
      <c r="B65" s="802" t="s">
        <v>555</v>
      </c>
      <c r="C65" s="810"/>
      <c r="D65" s="180">
        <f>D62</f>
        <v>0</v>
      </c>
    </row>
    <row r="66" spans="1:5" ht="46.5" hidden="1" thickTop="1" thickBot="1" x14ac:dyDescent="0.25">
      <c r="A66" s="116" t="s">
        <v>590</v>
      </c>
      <c r="B66" s="804" t="s">
        <v>591</v>
      </c>
      <c r="C66" s="840"/>
      <c r="D66" s="297">
        <f>D71+D73</f>
        <v>0</v>
      </c>
      <c r="E66" s="383" t="b">
        <f>D66=D67+D68+D72+D69+D70</f>
        <v>1</v>
      </c>
    </row>
    <row r="67" spans="1:5" ht="47.25" hidden="1" thickTop="1" thickBot="1" x14ac:dyDescent="0.25">
      <c r="A67" s="325" t="s">
        <v>895</v>
      </c>
      <c r="B67" s="837" t="s">
        <v>898</v>
      </c>
      <c r="C67" s="838"/>
      <c r="D67" s="326">
        <v>0</v>
      </c>
    </row>
    <row r="68" spans="1:5" ht="47.25" hidden="1" thickTop="1" thickBot="1" x14ac:dyDescent="0.25">
      <c r="A68" s="325">
        <v>41053900</v>
      </c>
      <c r="B68" s="837" t="s">
        <v>899</v>
      </c>
      <c r="C68" s="838"/>
      <c r="D68" s="326">
        <v>0</v>
      </c>
    </row>
    <row r="69" spans="1:5" ht="47.25" hidden="1" thickTop="1" thickBot="1" x14ac:dyDescent="0.25">
      <c r="A69" s="119" t="s">
        <v>592</v>
      </c>
      <c r="B69" s="802" t="s">
        <v>593</v>
      </c>
      <c r="C69" s="803"/>
      <c r="D69" s="299">
        <v>0</v>
      </c>
    </row>
    <row r="70" spans="1:5" ht="47.25" hidden="1" thickTop="1" thickBot="1" x14ac:dyDescent="0.25">
      <c r="A70" s="119" t="s">
        <v>1344</v>
      </c>
      <c r="B70" s="802" t="s">
        <v>1330</v>
      </c>
      <c r="C70" s="803"/>
      <c r="D70" s="299">
        <v>0</v>
      </c>
    </row>
    <row r="71" spans="1:5" ht="47.25" hidden="1" thickTop="1" thickBot="1" x14ac:dyDescent="0.25">
      <c r="A71" s="119" t="s">
        <v>1156</v>
      </c>
      <c r="B71" s="802" t="s">
        <v>587</v>
      </c>
      <c r="C71" s="803"/>
      <c r="D71" s="180">
        <f>SUM(D67:D70)</f>
        <v>0</v>
      </c>
    </row>
    <row r="72" spans="1:5" ht="47.25" hidden="1" thickTop="1" thickBot="1" x14ac:dyDescent="0.25">
      <c r="A72" s="325">
        <v>41053900</v>
      </c>
      <c r="B72" s="837" t="s">
        <v>1023</v>
      </c>
      <c r="C72" s="838"/>
      <c r="D72" s="326">
        <v>0</v>
      </c>
    </row>
    <row r="73" spans="1:5" ht="47.25" hidden="1" thickTop="1" thickBot="1" x14ac:dyDescent="0.25">
      <c r="A73" s="325" t="s">
        <v>557</v>
      </c>
      <c r="B73" s="837" t="s">
        <v>558</v>
      </c>
      <c r="C73" s="838"/>
      <c r="D73" s="327">
        <f>D72</f>
        <v>0</v>
      </c>
    </row>
    <row r="74" spans="1:5" ht="47.25" thickTop="1" thickBot="1" x14ac:dyDescent="0.25">
      <c r="A74" s="687" t="s">
        <v>374</v>
      </c>
      <c r="B74" s="841" t="s">
        <v>577</v>
      </c>
      <c r="C74" s="842"/>
      <c r="D74" s="689">
        <f>D75+D76</f>
        <v>23699947</v>
      </c>
      <c r="E74" s="615" t="b">
        <f>D74='d1'!C114</f>
        <v>1</v>
      </c>
    </row>
    <row r="75" spans="1:5" ht="47.25" thickTop="1" thickBot="1" x14ac:dyDescent="0.25">
      <c r="A75" s="94" t="s">
        <v>374</v>
      </c>
      <c r="B75" s="808" t="s">
        <v>379</v>
      </c>
      <c r="C75" s="809"/>
      <c r="D75" s="432">
        <f>D58+D29+D33+D60+D16</f>
        <v>23699947</v>
      </c>
      <c r="E75" s="615" t="b">
        <f>D75='d1'!D114</f>
        <v>1</v>
      </c>
    </row>
    <row r="76" spans="1:5" ht="47.25" thickTop="1" thickBot="1" x14ac:dyDescent="0.25">
      <c r="A76" s="94" t="s">
        <v>374</v>
      </c>
      <c r="B76" s="808" t="s">
        <v>380</v>
      </c>
      <c r="C76" s="809"/>
      <c r="D76" s="432">
        <f>D71+D65+D73</f>
        <v>0</v>
      </c>
      <c r="E76" s="615" t="b">
        <f>D76='d1'!E114</f>
        <v>1</v>
      </c>
    </row>
    <row r="77" spans="1:5" ht="31.7" customHeight="1" thickTop="1" x14ac:dyDescent="0.2">
      <c r="A77" s="158"/>
      <c r="B77" s="159"/>
      <c r="C77" s="159"/>
      <c r="D77" s="159"/>
    </row>
    <row r="78" spans="1:5" ht="31.7" customHeight="1" x14ac:dyDescent="0.2">
      <c r="A78" s="158"/>
      <c r="B78" s="159"/>
      <c r="C78" s="159"/>
      <c r="D78" s="159"/>
    </row>
    <row r="79" spans="1:5" ht="60" customHeight="1" x14ac:dyDescent="0.2">
      <c r="A79" s="826" t="s">
        <v>1031</v>
      </c>
      <c r="B79" s="827"/>
      <c r="C79" s="827"/>
      <c r="D79" s="827"/>
    </row>
    <row r="80" spans="1:5" ht="54" customHeight="1" thickBot="1" x14ac:dyDescent="0.25">
      <c r="A80" s="14"/>
      <c r="B80" s="15"/>
      <c r="C80" s="15"/>
      <c r="D80" s="409" t="s">
        <v>397</v>
      </c>
    </row>
    <row r="81" spans="1:6" ht="325.5" customHeight="1" thickTop="1" thickBot="1" x14ac:dyDescent="0.25">
      <c r="A81" s="410" t="s">
        <v>578</v>
      </c>
      <c r="B81" s="433" t="s">
        <v>480</v>
      </c>
      <c r="C81" s="410" t="s">
        <v>579</v>
      </c>
      <c r="D81" s="410" t="s">
        <v>376</v>
      </c>
    </row>
    <row r="82" spans="1:6" ht="50.25" customHeight="1" thickTop="1" thickBot="1" x14ac:dyDescent="0.25">
      <c r="A82" s="94" t="s">
        <v>2</v>
      </c>
      <c r="B82" s="94" t="s">
        <v>3</v>
      </c>
      <c r="C82" s="94" t="s">
        <v>14</v>
      </c>
      <c r="D82" s="94" t="s">
        <v>5</v>
      </c>
    </row>
    <row r="83" spans="1:6" ht="65.25" customHeight="1" thickTop="1" thickBot="1" x14ac:dyDescent="0.25">
      <c r="A83" s="828" t="s">
        <v>580</v>
      </c>
      <c r="B83" s="829"/>
      <c r="C83" s="829"/>
      <c r="D83" s="830"/>
    </row>
    <row r="84" spans="1:6" ht="165" customHeight="1" thickTop="1" thickBot="1" x14ac:dyDescent="0.55000000000000004">
      <c r="A84" s="94" t="s">
        <v>241</v>
      </c>
      <c r="B84" s="94" t="s">
        <v>242</v>
      </c>
      <c r="C84" s="94" t="s">
        <v>435</v>
      </c>
      <c r="D84" s="432">
        <f>SUM(D85:D86)</f>
        <v>1159800</v>
      </c>
      <c r="E84" s="614" t="b">
        <f>D84='d3'!E46</f>
        <v>1</v>
      </c>
      <c r="F84" s="181"/>
    </row>
    <row r="85" spans="1:6" ht="75.75" customHeight="1" thickTop="1" thickBot="1" x14ac:dyDescent="0.55000000000000004">
      <c r="A85" s="94" t="s">
        <v>1155</v>
      </c>
      <c r="B85" s="94"/>
      <c r="C85" s="434" t="s">
        <v>559</v>
      </c>
      <c r="D85" s="432">
        <v>660000</v>
      </c>
      <c r="E85" s="181"/>
      <c r="F85" s="181"/>
    </row>
    <row r="86" spans="1:6" ht="83.25" customHeight="1" thickTop="1" thickBot="1" x14ac:dyDescent="0.55000000000000004">
      <c r="A86" s="94" t="s">
        <v>1154</v>
      </c>
      <c r="B86" s="94"/>
      <c r="C86" s="434" t="s">
        <v>560</v>
      </c>
      <c r="D86" s="432">
        <v>499800</v>
      </c>
      <c r="E86" s="181"/>
      <c r="F86" s="181"/>
    </row>
    <row r="87" spans="1:6" ht="72" hidden="1" customHeight="1" thickTop="1" thickBot="1" x14ac:dyDescent="0.55000000000000004">
      <c r="A87" s="119" t="s">
        <v>556</v>
      </c>
      <c r="B87" s="119" t="s">
        <v>356</v>
      </c>
      <c r="C87" s="301" t="s">
        <v>357</v>
      </c>
      <c r="D87" s="180">
        <f>SUM(D88)</f>
        <v>0</v>
      </c>
      <c r="E87" s="255" t="b">
        <f>D87='d3'!E47</f>
        <v>1</v>
      </c>
      <c r="F87" s="181"/>
    </row>
    <row r="88" spans="1:6" ht="72" hidden="1" customHeight="1" thickTop="1" thickBot="1" x14ac:dyDescent="0.55000000000000004">
      <c r="A88" s="119" t="s">
        <v>1153</v>
      </c>
      <c r="B88" s="119"/>
      <c r="C88" s="301" t="s">
        <v>558</v>
      </c>
      <c r="D88" s="180"/>
      <c r="E88" s="181"/>
      <c r="F88" s="181"/>
    </row>
    <row r="89" spans="1:6" ht="47.25" hidden="1" thickTop="1" thickBot="1" x14ac:dyDescent="0.55000000000000004">
      <c r="A89" s="119" t="s">
        <v>1028</v>
      </c>
      <c r="B89" s="119" t="s">
        <v>356</v>
      </c>
      <c r="C89" s="301" t="s">
        <v>357</v>
      </c>
      <c r="D89" s="180">
        <f>D90</f>
        <v>0</v>
      </c>
      <c r="E89" s="255" t="b">
        <f>D89='d3'!E268</f>
        <v>1</v>
      </c>
      <c r="F89" s="181"/>
    </row>
    <row r="90" spans="1:6" ht="47.25" hidden="1" thickTop="1" thickBot="1" x14ac:dyDescent="0.55000000000000004">
      <c r="A90" s="119" t="s">
        <v>1156</v>
      </c>
      <c r="B90" s="119"/>
      <c r="C90" s="301" t="s">
        <v>587</v>
      </c>
      <c r="D90" s="180">
        <v>0</v>
      </c>
      <c r="E90" s="181"/>
      <c r="F90" s="181"/>
    </row>
    <row r="91" spans="1:6" ht="69.75" customHeight="1" thickTop="1" thickBot="1" x14ac:dyDescent="0.55000000000000004">
      <c r="A91" s="94" t="s">
        <v>1286</v>
      </c>
      <c r="B91" s="94" t="s">
        <v>356</v>
      </c>
      <c r="C91" s="434" t="s">
        <v>357</v>
      </c>
      <c r="D91" s="432">
        <f>D92</f>
        <v>500000</v>
      </c>
      <c r="E91" s="614" t="b">
        <f>D91='d3'!E336</f>
        <v>1</v>
      </c>
      <c r="F91" s="181"/>
    </row>
    <row r="92" spans="1:6" ht="81" customHeight="1" thickTop="1" thickBot="1" x14ac:dyDescent="0.55000000000000004">
      <c r="A92" s="94" t="s">
        <v>1156</v>
      </c>
      <c r="B92" s="94"/>
      <c r="C92" s="434" t="s">
        <v>587</v>
      </c>
      <c r="D92" s="432">
        <v>500000</v>
      </c>
      <c r="E92" s="181"/>
      <c r="F92" s="181"/>
    </row>
    <row r="93" spans="1:6" ht="138.75" thickTop="1" thickBot="1" x14ac:dyDescent="0.55000000000000004">
      <c r="A93" s="94" t="s">
        <v>501</v>
      </c>
      <c r="B93" s="94" t="s">
        <v>502</v>
      </c>
      <c r="C93" s="434" t="s">
        <v>503</v>
      </c>
      <c r="D93" s="432">
        <f>75552921.72+47447078.28</f>
        <v>123000000</v>
      </c>
      <c r="E93" s="615" t="b">
        <f>D93='d3'!E48</f>
        <v>1</v>
      </c>
      <c r="F93" s="181"/>
    </row>
    <row r="94" spans="1:6" ht="138.75" hidden="1" thickTop="1" thickBot="1" x14ac:dyDescent="0.55000000000000004">
      <c r="A94" s="119" t="s">
        <v>1170</v>
      </c>
      <c r="B94" s="119" t="s">
        <v>502</v>
      </c>
      <c r="C94" s="301" t="s">
        <v>503</v>
      </c>
      <c r="D94" s="180"/>
      <c r="E94" s="255" t="b">
        <f>D94='d3'!E402</f>
        <v>1</v>
      </c>
      <c r="F94" s="181"/>
    </row>
    <row r="95" spans="1:6" ht="138.75" thickTop="1" thickBot="1" x14ac:dyDescent="0.55000000000000004">
      <c r="A95" s="94" t="s">
        <v>1127</v>
      </c>
      <c r="B95" s="94" t="s">
        <v>502</v>
      </c>
      <c r="C95" s="434" t="s">
        <v>503</v>
      </c>
      <c r="D95" s="432">
        <v>500000</v>
      </c>
      <c r="E95" s="615" t="b">
        <f>D95='d3'!E432</f>
        <v>1</v>
      </c>
      <c r="F95" s="181"/>
    </row>
    <row r="96" spans="1:6" ht="69.75" customHeight="1" thickTop="1" thickBot="1" x14ac:dyDescent="0.55000000000000004">
      <c r="A96" s="94" t="s">
        <v>1152</v>
      </c>
      <c r="B96" s="94"/>
      <c r="C96" s="434" t="s">
        <v>555</v>
      </c>
      <c r="D96" s="432">
        <f>SUM(D93:D95)</f>
        <v>123500000</v>
      </c>
      <c r="E96" s="181"/>
      <c r="F96" s="181"/>
    </row>
    <row r="97" spans="1:6" ht="47.25" hidden="1" thickTop="1" thickBot="1" x14ac:dyDescent="0.55000000000000004">
      <c r="A97" s="182" t="s">
        <v>566</v>
      </c>
      <c r="B97" s="182" t="s">
        <v>356</v>
      </c>
      <c r="C97" s="184" t="s">
        <v>357</v>
      </c>
      <c r="D97" s="183">
        <f>SUM(D98)</f>
        <v>0</v>
      </c>
      <c r="E97" s="255" t="b">
        <f>D97='d3'!E231</f>
        <v>1</v>
      </c>
      <c r="F97" s="181"/>
    </row>
    <row r="98" spans="1:6" ht="93" hidden="1" thickTop="1" thickBot="1" x14ac:dyDescent="0.55000000000000004">
      <c r="A98" s="182" t="s">
        <v>561</v>
      </c>
      <c r="B98" s="182"/>
      <c r="C98" s="184" t="s">
        <v>562</v>
      </c>
      <c r="D98" s="183">
        <v>0</v>
      </c>
      <c r="E98" s="181"/>
      <c r="F98" s="181"/>
    </row>
    <row r="99" spans="1:6" ht="47.25" hidden="1" thickTop="1" thickBot="1" x14ac:dyDescent="0.55000000000000004">
      <c r="A99" s="182" t="s">
        <v>1028</v>
      </c>
      <c r="B99" s="182" t="s">
        <v>356</v>
      </c>
      <c r="C99" s="184" t="s">
        <v>357</v>
      </c>
      <c r="D99" s="183">
        <v>0</v>
      </c>
      <c r="E99" s="255" t="b">
        <f>D99='d3'!E268</f>
        <v>1</v>
      </c>
      <c r="F99" s="181"/>
    </row>
    <row r="100" spans="1:6" ht="47.25" hidden="1" thickTop="1" thickBot="1" x14ac:dyDescent="0.55000000000000004">
      <c r="A100" s="119" t="s">
        <v>870</v>
      </c>
      <c r="B100" s="119" t="s">
        <v>356</v>
      </c>
      <c r="C100" s="301" t="s">
        <v>357</v>
      </c>
      <c r="D100" s="180"/>
      <c r="E100" s="255" t="b">
        <f>D100='d3'!E422</f>
        <v>1</v>
      </c>
      <c r="F100" s="181"/>
    </row>
    <row r="101" spans="1:6" ht="47.25" hidden="1" thickTop="1" thickBot="1" x14ac:dyDescent="0.55000000000000004">
      <c r="A101" s="119" t="s">
        <v>1156</v>
      </c>
      <c r="B101" s="119"/>
      <c r="C101" s="301" t="s">
        <v>587</v>
      </c>
      <c r="D101" s="180">
        <f>SUM(D99:D100)</f>
        <v>0</v>
      </c>
      <c r="E101" s="181"/>
      <c r="F101" s="181"/>
    </row>
    <row r="102" spans="1:6" ht="321.75" hidden="1" thickTop="1" thickBot="1" x14ac:dyDescent="0.55000000000000004">
      <c r="A102" s="119" t="s">
        <v>1209</v>
      </c>
      <c r="B102" s="119" t="s">
        <v>1210</v>
      </c>
      <c r="C102" s="301" t="s">
        <v>1208</v>
      </c>
      <c r="D102" s="180">
        <f>(2000000)-2000000</f>
        <v>0</v>
      </c>
      <c r="E102" s="181"/>
      <c r="F102" s="181"/>
    </row>
    <row r="103" spans="1:6" ht="47.25" hidden="1" thickTop="1" thickBot="1" x14ac:dyDescent="0.55000000000000004">
      <c r="A103" s="119" t="s">
        <v>1152</v>
      </c>
      <c r="B103" s="119"/>
      <c r="C103" s="301" t="s">
        <v>555</v>
      </c>
      <c r="D103" s="180">
        <f>D102</f>
        <v>0</v>
      </c>
      <c r="E103" s="181"/>
      <c r="F103" s="181"/>
    </row>
    <row r="104" spans="1:6" ht="68.25" customHeight="1" thickTop="1" thickBot="1" x14ac:dyDescent="0.55000000000000004">
      <c r="A104" s="94" t="s">
        <v>582</v>
      </c>
      <c r="B104" s="94" t="s">
        <v>583</v>
      </c>
      <c r="C104" s="434" t="s">
        <v>443</v>
      </c>
      <c r="D104" s="432">
        <f>SUM(D105)</f>
        <v>205286500</v>
      </c>
      <c r="E104" s="615" t="b">
        <f>D104='d3'!E459</f>
        <v>1</v>
      </c>
      <c r="F104" s="181"/>
    </row>
    <row r="105" spans="1:6" ht="73.5" customHeight="1" thickTop="1" thickBot="1" x14ac:dyDescent="0.55000000000000004">
      <c r="A105" s="94" t="s">
        <v>1152</v>
      </c>
      <c r="B105" s="94"/>
      <c r="C105" s="434" t="s">
        <v>555</v>
      </c>
      <c r="D105" s="432">
        <v>205286500</v>
      </c>
      <c r="E105" s="181"/>
      <c r="F105" s="181"/>
    </row>
    <row r="106" spans="1:6" ht="61.5" customHeight="1" thickTop="1" thickBot="1" x14ac:dyDescent="0.55000000000000004">
      <c r="A106" s="828" t="s">
        <v>581</v>
      </c>
      <c r="B106" s="829"/>
      <c r="C106" s="829"/>
      <c r="D106" s="830"/>
      <c r="E106" s="181"/>
      <c r="F106" s="181"/>
    </row>
    <row r="107" spans="1:6" ht="47.25" hidden="1" thickTop="1" thickBot="1" x14ac:dyDescent="0.55000000000000004">
      <c r="A107" s="119" t="s">
        <v>1286</v>
      </c>
      <c r="B107" s="119" t="s">
        <v>356</v>
      </c>
      <c r="C107" s="301" t="s">
        <v>357</v>
      </c>
      <c r="D107" s="180">
        <f>D108</f>
        <v>0</v>
      </c>
      <c r="E107" s="181"/>
      <c r="F107" s="181"/>
    </row>
    <row r="108" spans="1:6" ht="47.25" hidden="1" thickTop="1" thickBot="1" x14ac:dyDescent="0.55000000000000004">
      <c r="A108" s="119" t="s">
        <v>1156</v>
      </c>
      <c r="B108" s="119"/>
      <c r="C108" s="301" t="s">
        <v>587</v>
      </c>
      <c r="D108" s="180">
        <v>0</v>
      </c>
      <c r="E108" s="181"/>
      <c r="F108" s="181"/>
    </row>
    <row r="109" spans="1:6" ht="138.75" hidden="1" thickTop="1" thickBot="1" x14ac:dyDescent="0.55000000000000004">
      <c r="A109" s="119" t="s">
        <v>501</v>
      </c>
      <c r="B109" s="119" t="s">
        <v>502</v>
      </c>
      <c r="C109" s="301" t="s">
        <v>503</v>
      </c>
      <c r="D109" s="180">
        <v>0</v>
      </c>
      <c r="E109" s="255" t="b">
        <f>D109='d3'!J48</f>
        <v>1</v>
      </c>
      <c r="F109" s="181"/>
    </row>
    <row r="110" spans="1:6" ht="138.75" hidden="1" thickTop="1" thickBot="1" x14ac:dyDescent="0.55000000000000004">
      <c r="A110" s="119" t="s">
        <v>1127</v>
      </c>
      <c r="B110" s="119" t="s">
        <v>502</v>
      </c>
      <c r="C110" s="301" t="s">
        <v>503</v>
      </c>
      <c r="D110" s="180">
        <v>0</v>
      </c>
      <c r="E110" s="255" t="b">
        <f>D110='d3'!P432</f>
        <v>0</v>
      </c>
      <c r="F110" s="181"/>
    </row>
    <row r="111" spans="1:6" ht="138.75" hidden="1" thickTop="1" thickBot="1" x14ac:dyDescent="0.55000000000000004">
      <c r="A111" s="119" t="s">
        <v>1127</v>
      </c>
      <c r="B111" s="119" t="s">
        <v>502</v>
      </c>
      <c r="C111" s="301" t="s">
        <v>503</v>
      </c>
      <c r="D111" s="180"/>
      <c r="E111" s="255" t="b">
        <f>D111='d3'!J432</f>
        <v>1</v>
      </c>
      <c r="F111" s="181"/>
    </row>
    <row r="112" spans="1:6" ht="47.25" hidden="1" thickTop="1" thickBot="1" x14ac:dyDescent="0.55000000000000004">
      <c r="A112" s="119" t="s">
        <v>1152</v>
      </c>
      <c r="B112" s="119"/>
      <c r="C112" s="301" t="s">
        <v>555</v>
      </c>
      <c r="D112" s="180">
        <f>D109+D111</f>
        <v>0</v>
      </c>
      <c r="E112" s="181"/>
      <c r="F112" s="181"/>
    </row>
    <row r="113" spans="1:12" ht="47.25" hidden="1" thickTop="1" thickBot="1" x14ac:dyDescent="0.55000000000000004">
      <c r="A113" s="182" t="s">
        <v>960</v>
      </c>
      <c r="B113" s="182" t="s">
        <v>356</v>
      </c>
      <c r="C113" s="184" t="s">
        <v>357</v>
      </c>
      <c r="D113" s="183">
        <v>0</v>
      </c>
      <c r="E113" s="255" t="b">
        <f>D113='d3'!J114</f>
        <v>1</v>
      </c>
      <c r="F113" s="181"/>
    </row>
    <row r="114" spans="1:12" ht="47.25" hidden="1" thickTop="1" thickBot="1" x14ac:dyDescent="0.55000000000000004">
      <c r="A114" s="119" t="s">
        <v>497</v>
      </c>
      <c r="B114" s="119" t="s">
        <v>356</v>
      </c>
      <c r="C114" s="301" t="s">
        <v>357</v>
      </c>
      <c r="D114" s="180"/>
      <c r="E114" s="255" t="b">
        <f>D114='d3'!J148</f>
        <v>1</v>
      </c>
      <c r="F114" s="181"/>
    </row>
    <row r="115" spans="1:12" ht="47.25" hidden="1" thickTop="1" thickBot="1" x14ac:dyDescent="0.55000000000000004">
      <c r="A115" s="182" t="s">
        <v>1028</v>
      </c>
      <c r="B115" s="182" t="s">
        <v>356</v>
      </c>
      <c r="C115" s="184" t="s">
        <v>357</v>
      </c>
      <c r="D115" s="183">
        <v>0</v>
      </c>
      <c r="E115" s="255" t="b">
        <f>D115='d3'!J268</f>
        <v>1</v>
      </c>
      <c r="F115" s="181"/>
    </row>
    <row r="116" spans="1:12" ht="47.25" hidden="1" thickTop="1" thickBot="1" x14ac:dyDescent="0.55000000000000004">
      <c r="A116" s="119" t="s">
        <v>1286</v>
      </c>
      <c r="B116" s="119" t="s">
        <v>356</v>
      </c>
      <c r="C116" s="301" t="s">
        <v>357</v>
      </c>
      <c r="D116" s="180"/>
      <c r="E116" s="255" t="b">
        <f>D116='d3'!J336</f>
        <v>1</v>
      </c>
      <c r="F116" s="181"/>
    </row>
    <row r="117" spans="1:12" ht="47.25" hidden="1" thickTop="1" thickBot="1" x14ac:dyDescent="0.55000000000000004">
      <c r="A117" s="119" t="s">
        <v>870</v>
      </c>
      <c r="B117" s="119" t="s">
        <v>356</v>
      </c>
      <c r="C117" s="301" t="s">
        <v>357</v>
      </c>
      <c r="D117" s="180">
        <v>0</v>
      </c>
      <c r="E117" s="255" t="b">
        <f>D117='d3'!J422</f>
        <v>1</v>
      </c>
      <c r="F117" s="181"/>
    </row>
    <row r="118" spans="1:12" ht="47.25" hidden="1" thickTop="1" thickBot="1" x14ac:dyDescent="0.55000000000000004">
      <c r="A118" s="119" t="s">
        <v>1156</v>
      </c>
      <c r="B118" s="119"/>
      <c r="C118" s="301" t="s">
        <v>587</v>
      </c>
      <c r="D118" s="180">
        <f>SUM(D113:D117)</f>
        <v>0</v>
      </c>
      <c r="E118" s="181"/>
      <c r="F118" s="181"/>
    </row>
    <row r="119" spans="1:12" ht="47.25" hidden="1" thickTop="1" thickBot="1" x14ac:dyDescent="0.55000000000000004">
      <c r="A119" s="296"/>
      <c r="B119" s="296"/>
      <c r="C119" s="298"/>
      <c r="D119" s="302"/>
      <c r="E119" s="181"/>
      <c r="F119" s="181"/>
    </row>
    <row r="120" spans="1:12" ht="47.25" thickTop="1" thickBot="1" x14ac:dyDescent="0.25">
      <c r="A120" s="687" t="s">
        <v>374</v>
      </c>
      <c r="B120" s="687" t="s">
        <v>374</v>
      </c>
      <c r="C120" s="688" t="s">
        <v>577</v>
      </c>
      <c r="D120" s="689">
        <f>D85+D86+D88+D96+D98+D101+D105+D112+D118+D103+D92+D108+D90</f>
        <v>330446300</v>
      </c>
      <c r="E120" s="637" t="b">
        <f>D120=D121+D122</f>
        <v>1</v>
      </c>
      <c r="F120" s="637" t="b">
        <f>D120=D104+'d7'!G49+'d7'!G51+'d7'!G52+'d7'!G50+'d7'!G53+'d7'!G54+'d7'!G55+'d7'!G56+'d7'!G57+'d7'!G59+'d7'!G60+'d7'!G362+'d7'!G385+'d7'!G47+'d7'!G48+'d7'!G61+'d7'!G378+'d7'!G316+'d7'!G58+'d7'!G235+'d7'!G145</f>
        <v>1</v>
      </c>
    </row>
    <row r="121" spans="1:12" ht="47.25" thickTop="1" thickBot="1" x14ac:dyDescent="0.55000000000000004">
      <c r="A121" s="94" t="s">
        <v>374</v>
      </c>
      <c r="B121" s="94" t="s">
        <v>374</v>
      </c>
      <c r="C121" s="434" t="s">
        <v>379</v>
      </c>
      <c r="D121" s="432">
        <f>'d3'!E44+'d3'!E401+'d3'!E431+'d3'!E457+'d3'!E422+'d3'!E336+'d3'!E268+'d3'!E148</f>
        <v>330446300</v>
      </c>
      <c r="E121" s="637" t="b">
        <f>D121=D84+D87+D97+D100+D104+D93+D99+D95+D94+D102+D91+D89</f>
        <v>1</v>
      </c>
      <c r="F121" s="303"/>
    </row>
    <row r="122" spans="1:12" ht="47.25" thickTop="1" thickBot="1" x14ac:dyDescent="0.55000000000000004">
      <c r="A122" s="94" t="s">
        <v>374</v>
      </c>
      <c r="B122" s="94" t="s">
        <v>374</v>
      </c>
      <c r="C122" s="434" t="s">
        <v>380</v>
      </c>
      <c r="D122" s="432">
        <f>'d3'!J44+'d3'!J401+'d3'!J431+'d3'!J457+'d3'!J336+'d3'!J148</f>
        <v>0</v>
      </c>
      <c r="E122" s="637" t="b">
        <f>D122=D111+D109+D116+D107+D114</f>
        <v>1</v>
      </c>
      <c r="F122" s="303"/>
    </row>
    <row r="123" spans="1:12" ht="38.25" customHeight="1" thickTop="1" x14ac:dyDescent="0.2">
      <c r="A123" s="158"/>
      <c r="B123" s="159"/>
      <c r="C123" s="159"/>
      <c r="D123" s="159"/>
      <c r="E123" s="13"/>
      <c r="F123" s="13"/>
    </row>
    <row r="124" spans="1:12" ht="45.75" x14ac:dyDescent="0.65">
      <c r="A124" s="158"/>
      <c r="B124" s="823" t="s">
        <v>1447</v>
      </c>
      <c r="C124" s="801"/>
      <c r="D124" s="695" t="s">
        <v>1448</v>
      </c>
      <c r="E124" s="271"/>
      <c r="F124" s="185"/>
      <c r="G124" s="186"/>
      <c r="H124" s="185"/>
      <c r="I124" s="185"/>
      <c r="J124" s="187"/>
      <c r="K124" s="187"/>
      <c r="L124" s="187"/>
    </row>
    <row r="125" spans="1:12" ht="45.75" hidden="1" x14ac:dyDescent="0.65">
      <c r="A125" s="158"/>
      <c r="B125" s="3" t="s">
        <v>1254</v>
      </c>
      <c r="C125" s="243"/>
      <c r="D125" s="3" t="s">
        <v>1255</v>
      </c>
      <c r="E125" s="271"/>
      <c r="F125" s="185"/>
      <c r="G125" s="186"/>
      <c r="H125" s="185"/>
      <c r="I125" s="185"/>
      <c r="J125" s="187"/>
      <c r="K125" s="187"/>
      <c r="L125" s="187"/>
    </row>
    <row r="126" spans="1:12" ht="45.75" hidden="1" x14ac:dyDescent="0.65">
      <c r="A126" s="158"/>
      <c r="B126" s="824" t="s">
        <v>1509</v>
      </c>
      <c r="C126" s="825"/>
      <c r="D126" s="384" t="s">
        <v>1508</v>
      </c>
      <c r="E126" s="271"/>
      <c r="F126" s="185"/>
      <c r="G126" s="186"/>
      <c r="H126" s="185"/>
      <c r="I126" s="185"/>
      <c r="J126" s="187"/>
      <c r="K126" s="187"/>
      <c r="L126" s="187"/>
    </row>
    <row r="127" spans="1:12" ht="35.25" customHeight="1" x14ac:dyDescent="0.65">
      <c r="A127" s="381"/>
      <c r="B127" s="185"/>
      <c r="C127" s="185"/>
      <c r="D127" s="185"/>
      <c r="E127" s="272"/>
      <c r="F127" s="13"/>
    </row>
    <row r="128" spans="1:12" ht="42" customHeight="1" x14ac:dyDescent="0.65">
      <c r="A128" s="176"/>
      <c r="B128" s="843" t="s">
        <v>506</v>
      </c>
      <c r="C128" s="703"/>
      <c r="D128" s="3" t="s">
        <v>1175</v>
      </c>
      <c r="E128" s="272"/>
      <c r="F128" s="295"/>
      <c r="G128" s="294"/>
      <c r="H128" s="295"/>
      <c r="I128" s="295"/>
    </row>
    <row r="129" spans="1:6" ht="45.75" x14ac:dyDescent="0.65">
      <c r="A129" s="176"/>
      <c r="B129" s="844"/>
      <c r="C129" s="845"/>
      <c r="D129" s="185"/>
      <c r="E129" s="13"/>
      <c r="F129" s="13"/>
    </row>
    <row r="130" spans="1:6" ht="45.75" x14ac:dyDescent="0.65">
      <c r="A130" s="176"/>
      <c r="B130" s="839"/>
      <c r="C130" s="839"/>
      <c r="D130" s="839"/>
      <c r="E130" s="13"/>
      <c r="F130" s="13"/>
    </row>
    <row r="133" spans="1:6" x14ac:dyDescent="0.2">
      <c r="A133" s="178"/>
      <c r="B133" s="178"/>
      <c r="C133" s="178"/>
    </row>
    <row r="135" spans="1:6" x14ac:dyDescent="0.2">
      <c r="A135" s="178"/>
      <c r="B135" s="178"/>
      <c r="C135" s="178"/>
    </row>
    <row r="139" spans="1:6" x14ac:dyDescent="0.2">
      <c r="A139" s="178"/>
      <c r="B139" s="178"/>
      <c r="C139" s="178"/>
      <c r="D139" s="178"/>
    </row>
    <row r="140" spans="1:6" x14ac:dyDescent="0.2">
      <c r="A140" s="178"/>
      <c r="B140" s="178"/>
      <c r="C140" s="178"/>
      <c r="D140" s="178"/>
    </row>
    <row r="141" spans="1:6" x14ac:dyDescent="0.2">
      <c r="A141" s="178"/>
      <c r="B141" s="178"/>
      <c r="C141" s="178"/>
      <c r="D141" s="178"/>
    </row>
    <row r="142" spans="1:6" x14ac:dyDescent="0.2">
      <c r="A142" s="178"/>
      <c r="B142" s="178"/>
      <c r="C142" s="178"/>
      <c r="D142" s="178"/>
    </row>
  </sheetData>
  <mergeCells count="91">
    <mergeCell ref="B58:C58"/>
    <mergeCell ref="B130:D130"/>
    <mergeCell ref="A83:D83"/>
    <mergeCell ref="A106:D106"/>
    <mergeCell ref="B66:C66"/>
    <mergeCell ref="B75:C75"/>
    <mergeCell ref="B76:C76"/>
    <mergeCell ref="B74:C74"/>
    <mergeCell ref="B67:C67"/>
    <mergeCell ref="B71:C71"/>
    <mergeCell ref="A79:D79"/>
    <mergeCell ref="B72:C72"/>
    <mergeCell ref="B73:C73"/>
    <mergeCell ref="B68:C68"/>
    <mergeCell ref="B128:C128"/>
    <mergeCell ref="B129:C129"/>
    <mergeCell ref="B59:C59"/>
    <mergeCell ref="B60:C60"/>
    <mergeCell ref="B62:C62"/>
    <mergeCell ref="B64:C64"/>
    <mergeCell ref="B65:C65"/>
    <mergeCell ref="A61:D61"/>
    <mergeCell ref="B63:C63"/>
    <mergeCell ref="B69:C69"/>
    <mergeCell ref="B124:C124"/>
    <mergeCell ref="B70:C70"/>
    <mergeCell ref="B126:C126"/>
    <mergeCell ref="A9:D9"/>
    <mergeCell ref="A13:D13"/>
    <mergeCell ref="B11:C11"/>
    <mergeCell ref="B12:C12"/>
    <mergeCell ref="B14:C14"/>
    <mergeCell ref="D38:D39"/>
    <mergeCell ref="B44:C44"/>
    <mergeCell ref="B50:C50"/>
    <mergeCell ref="A50:A51"/>
    <mergeCell ref="D50:D51"/>
    <mergeCell ref="B51:C51"/>
    <mergeCell ref="A40:A41"/>
    <mergeCell ref="A38:A39"/>
    <mergeCell ref="A42:A43"/>
    <mergeCell ref="D36:D37"/>
    <mergeCell ref="B49:C49"/>
    <mergeCell ref="B38:C38"/>
    <mergeCell ref="B39:C39"/>
    <mergeCell ref="D40:D41"/>
    <mergeCell ref="D42:D43"/>
    <mergeCell ref="B46:C46"/>
    <mergeCell ref="B48:C48"/>
    <mergeCell ref="B47:C47"/>
    <mergeCell ref="B26:C26"/>
    <mergeCell ref="B36:C36"/>
    <mergeCell ref="B23:C23"/>
    <mergeCell ref="N3:O3"/>
    <mergeCell ref="N4:O4"/>
    <mergeCell ref="N5:O5"/>
    <mergeCell ref="A6:D6"/>
    <mergeCell ref="A7:D7"/>
    <mergeCell ref="A5:D5"/>
    <mergeCell ref="B57:C57"/>
    <mergeCell ref="B15:C15"/>
    <mergeCell ref="B16:C16"/>
    <mergeCell ref="B55:C55"/>
    <mergeCell ref="B53:C53"/>
    <mergeCell ref="B34:C34"/>
    <mergeCell ref="B33:C33"/>
    <mergeCell ref="B42:C42"/>
    <mergeCell ref="B52:C52"/>
    <mergeCell ref="B45:C45"/>
    <mergeCell ref="B43:C43"/>
    <mergeCell ref="B40:C40"/>
    <mergeCell ref="B41:C41"/>
    <mergeCell ref="B37:C37"/>
    <mergeCell ref="B35:C35"/>
    <mergeCell ref="B20:C20"/>
    <mergeCell ref="B54:C54"/>
    <mergeCell ref="B17:C17"/>
    <mergeCell ref="B29:C29"/>
    <mergeCell ref="A36:A37"/>
    <mergeCell ref="B56:C56"/>
    <mergeCell ref="B32:C32"/>
    <mergeCell ref="B30:C30"/>
    <mergeCell ref="B31:C31"/>
    <mergeCell ref="B21:C21"/>
    <mergeCell ref="B28:C28"/>
    <mergeCell ref="B24:C24"/>
    <mergeCell ref="B25:C25"/>
    <mergeCell ref="B22:C22"/>
    <mergeCell ref="B18:C18"/>
    <mergeCell ref="B19:C19"/>
    <mergeCell ref="B27:C27"/>
  </mergeCells>
  <pageMargins left="0.23622047244094491" right="0.27559055118110237" top="0.27559055118110237" bottom="0.15748031496062992" header="0.23622047244094491" footer="0.27559055118110237"/>
  <pageSetup paperSize="9" scale="27" fitToHeight="0" orientation="portrait" horizontalDpi="300" verticalDpi="300" r:id="rId1"/>
  <headerFooter alignWithMargins="0">
    <oddFooter>&amp;C&amp;"Times New Roman Cyr,курсив"Сторінка &amp;P з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99"/>
  <sheetViews>
    <sheetView view="pageBreakPreview" topLeftCell="B1" zoomScale="55" zoomScaleNormal="40" zoomScaleSheetLayoutView="55" workbookViewId="0">
      <pane ySplit="11" topLeftCell="A81" activePane="bottomLeft" state="frozen"/>
      <selection activeCell="G144" sqref="G144"/>
      <selection pane="bottomLeft" activeCell="B4" sqref="B4:O4"/>
    </sheetView>
  </sheetViews>
  <sheetFormatPr defaultColWidth="7.85546875" defaultRowHeight="12.75" x14ac:dyDescent="0.2"/>
  <cols>
    <col min="1" max="1" width="3.28515625" style="160" hidden="1" customWidth="1"/>
    <col min="2" max="2" width="4.5703125" style="160" customWidth="1"/>
    <col min="3" max="3" width="49.5703125" style="160" customWidth="1"/>
    <col min="4" max="4" width="15.140625" style="160" customWidth="1"/>
    <col min="5" max="5" width="15.42578125" style="11" customWidth="1"/>
    <col min="6" max="6" width="60.28515625" style="11" customWidth="1"/>
    <col min="7" max="7" width="41.5703125" style="11" customWidth="1"/>
    <col min="8" max="9" width="18.140625" style="194" customWidth="1"/>
    <col min="10" max="10" width="20.28515625" style="194" customWidth="1"/>
    <col min="11" max="14" width="23" style="194" customWidth="1"/>
    <col min="15" max="15" width="18.140625" style="194" customWidth="1"/>
    <col min="16" max="16" width="24.85546875" style="160" bestFit="1" customWidth="1"/>
    <col min="17" max="18" width="15.42578125" style="160" bestFit="1" customWidth="1"/>
    <col min="19" max="19" width="12.7109375" style="160" customWidth="1"/>
    <col min="20" max="16384" width="7.85546875" style="160"/>
  </cols>
  <sheetData>
    <row r="1" spans="1:22" s="192" customFormat="1" ht="22.7" customHeight="1" x14ac:dyDescent="0.25">
      <c r="E1" s="862"/>
      <c r="F1" s="862"/>
      <c r="G1" s="862"/>
      <c r="H1" s="862"/>
      <c r="I1" s="862"/>
      <c r="J1" s="862"/>
      <c r="K1" s="862"/>
      <c r="L1" s="862"/>
      <c r="M1" s="862"/>
      <c r="N1" s="862"/>
      <c r="O1" s="862"/>
    </row>
    <row r="2" spans="1:22" ht="41.25" customHeight="1" x14ac:dyDescent="0.2">
      <c r="E2" s="244"/>
      <c r="F2" s="244"/>
      <c r="G2" s="244"/>
      <c r="H2" s="696"/>
      <c r="I2" s="696"/>
      <c r="J2" s="696"/>
      <c r="K2" s="696"/>
      <c r="L2" s="696"/>
      <c r="M2" s="696"/>
      <c r="N2" s="799" t="s">
        <v>1743</v>
      </c>
      <c r="O2" s="799"/>
    </row>
    <row r="3" spans="1:22" ht="29.25" customHeight="1" x14ac:dyDescent="0.2">
      <c r="E3" s="244"/>
      <c r="F3" s="244"/>
      <c r="G3" s="244"/>
      <c r="H3" s="245"/>
      <c r="I3" s="245"/>
      <c r="J3" s="245"/>
      <c r="K3" s="245"/>
      <c r="L3" s="245"/>
      <c r="M3" s="245"/>
      <c r="N3" s="799"/>
      <c r="O3" s="799"/>
    </row>
    <row r="4" spans="1:22" ht="31.7" customHeight="1" x14ac:dyDescent="0.2">
      <c r="B4" s="863" t="s">
        <v>1516</v>
      </c>
      <c r="C4" s="863"/>
      <c r="D4" s="863"/>
      <c r="E4" s="863"/>
      <c r="F4" s="863"/>
      <c r="G4" s="863"/>
      <c r="H4" s="863"/>
      <c r="I4" s="863"/>
      <c r="J4" s="863"/>
      <c r="K4" s="863"/>
      <c r="L4" s="863"/>
      <c r="M4" s="863"/>
      <c r="N4" s="863"/>
      <c r="O4" s="863"/>
    </row>
    <row r="5" spans="1:22" ht="31.7" customHeight="1" x14ac:dyDescent="0.2">
      <c r="B5" s="863" t="s">
        <v>1517</v>
      </c>
      <c r="C5" s="863"/>
      <c r="D5" s="863"/>
      <c r="E5" s="863"/>
      <c r="F5" s="863"/>
      <c r="G5" s="863"/>
      <c r="H5" s="863"/>
      <c r="I5" s="863"/>
      <c r="J5" s="863"/>
      <c r="K5" s="863"/>
      <c r="L5" s="863"/>
      <c r="M5" s="863"/>
      <c r="N5" s="863"/>
      <c r="O5" s="863"/>
    </row>
    <row r="6" spans="1:22" ht="24.75" customHeight="1" x14ac:dyDescent="0.2">
      <c r="B6" s="863" t="s">
        <v>1518</v>
      </c>
      <c r="C6" s="863"/>
      <c r="D6" s="863"/>
      <c r="E6" s="863"/>
      <c r="F6" s="863"/>
      <c r="G6" s="863"/>
      <c r="H6" s="863"/>
      <c r="I6" s="863"/>
      <c r="J6" s="863"/>
      <c r="K6" s="863"/>
      <c r="L6" s="863"/>
      <c r="M6" s="863"/>
      <c r="N6" s="863"/>
      <c r="O6" s="863"/>
    </row>
    <row r="7" spans="1:22" ht="15" x14ac:dyDescent="0.2">
      <c r="A7" s="436">
        <v>2256400000</v>
      </c>
      <c r="B7" s="782">
        <v>2256400000</v>
      </c>
      <c r="C7" s="782"/>
      <c r="D7" s="436"/>
      <c r="E7" s="436"/>
      <c r="F7" s="436"/>
      <c r="G7" s="782"/>
      <c r="H7" s="782"/>
      <c r="I7" s="782"/>
      <c r="J7" s="782"/>
      <c r="K7" s="782"/>
      <c r="L7" s="421"/>
      <c r="M7" s="421"/>
      <c r="N7" s="421"/>
      <c r="O7" s="435" t="s">
        <v>397</v>
      </c>
    </row>
    <row r="8" spans="1:22" ht="19.5" thickBot="1" x14ac:dyDescent="0.25">
      <c r="B8" s="861" t="s">
        <v>478</v>
      </c>
      <c r="C8" s="861"/>
      <c r="D8" s="437"/>
      <c r="E8" s="437"/>
      <c r="F8" s="437"/>
      <c r="G8" s="416"/>
      <c r="H8" s="416"/>
      <c r="I8" s="416"/>
      <c r="J8" s="416"/>
      <c r="K8" s="416"/>
      <c r="L8" s="416"/>
      <c r="M8" s="416"/>
      <c r="N8" s="416"/>
      <c r="O8" s="416"/>
    </row>
    <row r="9" spans="1:22" ht="16.5" thickTop="1" thickBot="1" x14ac:dyDescent="0.25">
      <c r="A9" s="247"/>
      <c r="B9" s="849" t="s">
        <v>1519</v>
      </c>
      <c r="C9" s="849" t="s">
        <v>1520</v>
      </c>
      <c r="D9" s="849" t="s">
        <v>1521</v>
      </c>
      <c r="E9" s="849" t="s">
        <v>479</v>
      </c>
      <c r="F9" s="849" t="s">
        <v>1522</v>
      </c>
      <c r="G9" s="849" t="s">
        <v>1523</v>
      </c>
      <c r="H9" s="851" t="s">
        <v>1531</v>
      </c>
      <c r="I9" s="851" t="s">
        <v>1524</v>
      </c>
      <c r="J9" s="851" t="s">
        <v>1525</v>
      </c>
      <c r="K9" s="853" t="s">
        <v>1526</v>
      </c>
      <c r="L9" s="854"/>
      <c r="M9" s="854"/>
      <c r="N9" s="854"/>
      <c r="O9" s="855"/>
      <c r="P9" s="189"/>
      <c r="Q9" s="189"/>
      <c r="R9" s="189"/>
      <c r="S9" s="189"/>
      <c r="T9" s="189"/>
      <c r="U9" s="189"/>
      <c r="V9" s="189"/>
    </row>
    <row r="10" spans="1:22" ht="135.75" customHeight="1" thickTop="1" thickBot="1" x14ac:dyDescent="0.25">
      <c r="A10" s="247"/>
      <c r="B10" s="850"/>
      <c r="C10" s="850"/>
      <c r="D10" s="850"/>
      <c r="E10" s="850"/>
      <c r="F10" s="850"/>
      <c r="G10" s="850"/>
      <c r="H10" s="852"/>
      <c r="I10" s="852"/>
      <c r="J10" s="852"/>
      <c r="K10" s="443" t="s">
        <v>1527</v>
      </c>
      <c r="L10" s="443" t="s">
        <v>1528</v>
      </c>
      <c r="M10" s="443" t="s">
        <v>1529</v>
      </c>
      <c r="N10" s="443" t="s">
        <v>1530</v>
      </c>
      <c r="O10" s="443" t="s">
        <v>1532</v>
      </c>
      <c r="P10" s="189"/>
      <c r="Q10" s="189"/>
      <c r="R10" s="189"/>
      <c r="S10" s="189"/>
      <c r="T10" s="189"/>
      <c r="U10" s="189"/>
      <c r="V10" s="189"/>
    </row>
    <row r="11" spans="1:22" ht="16.5" thickTop="1" thickBot="1" x14ac:dyDescent="0.25">
      <c r="A11" s="247"/>
      <c r="B11" s="246">
        <v>1</v>
      </c>
      <c r="C11" s="246">
        <v>2</v>
      </c>
      <c r="D11" s="246">
        <v>3</v>
      </c>
      <c r="E11" s="246">
        <v>4</v>
      </c>
      <c r="F11" s="246">
        <v>5</v>
      </c>
      <c r="G11" s="246">
        <v>6</v>
      </c>
      <c r="H11" s="246">
        <v>7</v>
      </c>
      <c r="I11" s="246">
        <v>8</v>
      </c>
      <c r="J11" s="246">
        <v>9</v>
      </c>
      <c r="K11" s="246">
        <v>10</v>
      </c>
      <c r="L11" s="246">
        <v>11</v>
      </c>
      <c r="M11" s="246">
        <v>12</v>
      </c>
      <c r="N11" s="246">
        <v>13</v>
      </c>
      <c r="O11" s="246">
        <v>14</v>
      </c>
      <c r="P11" s="189"/>
      <c r="Q11" s="189"/>
      <c r="R11" s="189"/>
      <c r="S11" s="189"/>
      <c r="T11" s="189"/>
      <c r="U11" s="189"/>
      <c r="V11" s="189"/>
    </row>
    <row r="12" spans="1:22" ht="46.5" customHeight="1" thickTop="1" thickBot="1" x14ac:dyDescent="0.25">
      <c r="A12" s="193"/>
      <c r="B12" s="554">
        <v>1</v>
      </c>
      <c r="C12" s="554" t="s">
        <v>1582</v>
      </c>
      <c r="D12" s="554" t="s">
        <v>374</v>
      </c>
      <c r="E12" s="554" t="s">
        <v>374</v>
      </c>
      <c r="F12" s="554" t="s">
        <v>374</v>
      </c>
      <c r="G12" s="554" t="s">
        <v>1583</v>
      </c>
      <c r="H12" s="554" t="s">
        <v>374</v>
      </c>
      <c r="I12" s="554" t="s">
        <v>374</v>
      </c>
      <c r="J12" s="555">
        <f t="shared" ref="J12:O12" si="0">J17+J13+J15</f>
        <v>8679760</v>
      </c>
      <c r="K12" s="555">
        <f t="shared" si="0"/>
        <v>8679760</v>
      </c>
      <c r="L12" s="555">
        <f t="shared" si="0"/>
        <v>0</v>
      </c>
      <c r="M12" s="555">
        <f t="shared" si="0"/>
        <v>0</v>
      </c>
      <c r="N12" s="555">
        <f t="shared" si="0"/>
        <v>0</v>
      </c>
      <c r="O12" s="555">
        <f t="shared" si="0"/>
        <v>0</v>
      </c>
      <c r="P12" s="189"/>
      <c r="Q12" s="189"/>
      <c r="R12" s="189"/>
      <c r="S12" s="189"/>
      <c r="T12" s="189"/>
      <c r="U12" s="189"/>
      <c r="V12" s="189"/>
    </row>
    <row r="13" spans="1:22" ht="115.5" thickTop="1" thickBot="1" x14ac:dyDescent="0.25">
      <c r="A13" s="193"/>
      <c r="B13" s="556" t="s">
        <v>1533</v>
      </c>
      <c r="C13" s="556" t="s">
        <v>1664</v>
      </c>
      <c r="D13" s="557" t="s">
        <v>1720</v>
      </c>
      <c r="E13" s="556" t="s">
        <v>374</v>
      </c>
      <c r="F13" s="556" t="s">
        <v>374</v>
      </c>
      <c r="G13" s="557" t="s">
        <v>1583</v>
      </c>
      <c r="H13" s="556" t="s">
        <v>1549</v>
      </c>
      <c r="I13" s="558">
        <v>2252760</v>
      </c>
      <c r="J13" s="558">
        <f>SUM(J14)</f>
        <v>2252760</v>
      </c>
      <c r="K13" s="558">
        <f t="shared" ref="K13:K17" si="1">SUM(K14)</f>
        <v>2252760</v>
      </c>
      <c r="L13" s="558">
        <f t="shared" ref="L13:L17" si="2">SUM(L14)</f>
        <v>0</v>
      </c>
      <c r="M13" s="558">
        <f t="shared" ref="M13:M17" si="3">SUM(M14)</f>
        <v>0</v>
      </c>
      <c r="N13" s="558">
        <f t="shared" ref="N13:N17" si="4">SUM(N14)</f>
        <v>0</v>
      </c>
      <c r="O13" s="558">
        <f t="shared" ref="O13:O17" si="5">SUM(O14)</f>
        <v>0</v>
      </c>
      <c r="P13" s="189"/>
      <c r="Q13" s="189"/>
      <c r="R13" s="189"/>
      <c r="S13" s="189"/>
      <c r="T13" s="189"/>
      <c r="U13" s="189"/>
      <c r="V13" s="189"/>
    </row>
    <row r="14" spans="1:22" ht="46.5" thickTop="1" thickBot="1" x14ac:dyDescent="0.25">
      <c r="A14" s="193"/>
      <c r="B14" s="337" t="s">
        <v>374</v>
      </c>
      <c r="C14" s="337" t="s">
        <v>374</v>
      </c>
      <c r="D14" s="337" t="s">
        <v>374</v>
      </c>
      <c r="E14" s="337" t="s">
        <v>1402</v>
      </c>
      <c r="F14" s="337" t="s">
        <v>1580</v>
      </c>
      <c r="G14" s="511" t="s">
        <v>1583</v>
      </c>
      <c r="H14" s="337" t="s">
        <v>374</v>
      </c>
      <c r="I14" s="337" t="s">
        <v>374</v>
      </c>
      <c r="J14" s="562">
        <f>SUM(K14:O14)</f>
        <v>2252760</v>
      </c>
      <c r="K14" s="562">
        <v>2252760</v>
      </c>
      <c r="L14" s="190"/>
      <c r="M14" s="190"/>
      <c r="N14" s="190"/>
      <c r="O14" s="191"/>
      <c r="P14" s="189"/>
      <c r="Q14" s="189"/>
      <c r="R14" s="189"/>
      <c r="S14" s="189"/>
      <c r="T14" s="189"/>
      <c r="U14" s="189"/>
      <c r="V14" s="189"/>
    </row>
    <row r="15" spans="1:22" ht="87" thickTop="1" thickBot="1" x14ac:dyDescent="0.25">
      <c r="A15" s="193"/>
      <c r="B15" s="556" t="s">
        <v>1534</v>
      </c>
      <c r="C15" s="556" t="s">
        <v>1666</v>
      </c>
      <c r="D15" s="557" t="s">
        <v>1689</v>
      </c>
      <c r="E15" s="556" t="s">
        <v>374</v>
      </c>
      <c r="F15" s="556" t="s">
        <v>374</v>
      </c>
      <c r="G15" s="557" t="s">
        <v>1583</v>
      </c>
      <c r="H15" s="556" t="s">
        <v>1549</v>
      </c>
      <c r="I15" s="558">
        <v>127000</v>
      </c>
      <c r="J15" s="558">
        <f>SUM(J16)</f>
        <v>127000</v>
      </c>
      <c r="K15" s="558">
        <f t="shared" si="1"/>
        <v>127000</v>
      </c>
      <c r="L15" s="558">
        <f t="shared" si="2"/>
        <v>0</v>
      </c>
      <c r="M15" s="558">
        <f t="shared" si="3"/>
        <v>0</v>
      </c>
      <c r="N15" s="558">
        <f t="shared" si="4"/>
        <v>0</v>
      </c>
      <c r="O15" s="558">
        <f t="shared" si="5"/>
        <v>0</v>
      </c>
      <c r="P15" s="189"/>
      <c r="Q15" s="189"/>
      <c r="R15" s="189"/>
      <c r="S15" s="189"/>
      <c r="T15" s="189"/>
      <c r="U15" s="189"/>
      <c r="V15" s="189"/>
    </row>
    <row r="16" spans="1:22" ht="46.5" thickTop="1" thickBot="1" x14ac:dyDescent="0.25">
      <c r="A16" s="193"/>
      <c r="B16" s="337" t="s">
        <v>374</v>
      </c>
      <c r="C16" s="337" t="s">
        <v>374</v>
      </c>
      <c r="D16" s="337" t="s">
        <v>374</v>
      </c>
      <c r="E16" s="337" t="s">
        <v>1402</v>
      </c>
      <c r="F16" s="337" t="s">
        <v>1580</v>
      </c>
      <c r="G16" s="337" t="s">
        <v>1583</v>
      </c>
      <c r="H16" s="337" t="s">
        <v>374</v>
      </c>
      <c r="I16" s="337" t="s">
        <v>374</v>
      </c>
      <c r="J16" s="562">
        <v>127000</v>
      </c>
      <c r="K16" s="562">
        <v>127000</v>
      </c>
      <c r="L16" s="190"/>
      <c r="M16" s="190"/>
      <c r="N16" s="190"/>
      <c r="O16" s="191"/>
      <c r="P16" s="189"/>
      <c r="Q16" s="189"/>
      <c r="R16" s="189"/>
      <c r="S16" s="189"/>
      <c r="T16" s="189"/>
      <c r="U16" s="189"/>
      <c r="V16" s="189"/>
    </row>
    <row r="17" spans="1:22" ht="58.5" thickTop="1" thickBot="1" x14ac:dyDescent="0.25">
      <c r="A17" s="193"/>
      <c r="B17" s="556" t="s">
        <v>1636</v>
      </c>
      <c r="C17" s="556" t="s">
        <v>1677</v>
      </c>
      <c r="D17" s="557" t="s">
        <v>1696</v>
      </c>
      <c r="E17" s="556" t="s">
        <v>374</v>
      </c>
      <c r="F17" s="556" t="s">
        <v>374</v>
      </c>
      <c r="G17" s="557" t="s">
        <v>1578</v>
      </c>
      <c r="H17" s="556" t="s">
        <v>1584</v>
      </c>
      <c r="I17" s="558">
        <v>45000000</v>
      </c>
      <c r="J17" s="558">
        <f>SUM(J18)</f>
        <v>6300000</v>
      </c>
      <c r="K17" s="558">
        <f t="shared" si="1"/>
        <v>6300000</v>
      </c>
      <c r="L17" s="558">
        <f t="shared" si="2"/>
        <v>0</v>
      </c>
      <c r="M17" s="558">
        <f t="shared" si="3"/>
        <v>0</v>
      </c>
      <c r="N17" s="558">
        <f t="shared" si="4"/>
        <v>0</v>
      </c>
      <c r="O17" s="558">
        <f t="shared" si="5"/>
        <v>0</v>
      </c>
      <c r="P17" s="189"/>
      <c r="Q17" s="189"/>
      <c r="R17" s="189"/>
      <c r="S17" s="189"/>
      <c r="T17" s="189"/>
      <c r="U17" s="189"/>
      <c r="V17" s="189"/>
    </row>
    <row r="18" spans="1:22" ht="46.5" thickTop="1" thickBot="1" x14ac:dyDescent="0.25">
      <c r="A18" s="193"/>
      <c r="B18" s="337" t="s">
        <v>374</v>
      </c>
      <c r="C18" s="337" t="s">
        <v>374</v>
      </c>
      <c r="D18" s="337" t="s">
        <v>374</v>
      </c>
      <c r="E18" s="511" t="s">
        <v>1388</v>
      </c>
      <c r="F18" s="337" t="s">
        <v>1580</v>
      </c>
      <c r="G18" s="511" t="s">
        <v>1578</v>
      </c>
      <c r="H18" s="337" t="s">
        <v>374</v>
      </c>
      <c r="I18" s="337" t="s">
        <v>374</v>
      </c>
      <c r="J18" s="513">
        <f>SUM(K18:O18)</f>
        <v>6300000</v>
      </c>
      <c r="K18" s="513">
        <v>6300000</v>
      </c>
      <c r="L18" s="190"/>
      <c r="M18" s="190"/>
      <c r="N18" s="190"/>
      <c r="O18" s="191"/>
      <c r="P18" s="189"/>
      <c r="Q18" s="189"/>
      <c r="R18" s="189"/>
      <c r="S18" s="189"/>
      <c r="T18" s="189"/>
      <c r="U18" s="189"/>
      <c r="V18" s="189"/>
    </row>
    <row r="19" spans="1:22" ht="48.75" customHeight="1" thickTop="1" thickBot="1" x14ac:dyDescent="0.25">
      <c r="A19" s="193"/>
      <c r="B19" s="554" t="s">
        <v>3</v>
      </c>
      <c r="C19" s="554" t="s">
        <v>689</v>
      </c>
      <c r="D19" s="554" t="s">
        <v>374</v>
      </c>
      <c r="E19" s="554" t="s">
        <v>374</v>
      </c>
      <c r="F19" s="554" t="s">
        <v>374</v>
      </c>
      <c r="G19" s="554" t="s">
        <v>1635</v>
      </c>
      <c r="H19" s="554" t="s">
        <v>374</v>
      </c>
      <c r="I19" s="554" t="s">
        <v>374</v>
      </c>
      <c r="J19" s="555">
        <f t="shared" ref="J19:O19" si="6">J20+J22+J24+J26+J28</f>
        <v>15000000</v>
      </c>
      <c r="K19" s="555">
        <f t="shared" si="6"/>
        <v>15000000</v>
      </c>
      <c r="L19" s="555">
        <f t="shared" si="6"/>
        <v>0</v>
      </c>
      <c r="M19" s="555">
        <f t="shared" si="6"/>
        <v>0</v>
      </c>
      <c r="N19" s="555">
        <f t="shared" si="6"/>
        <v>0</v>
      </c>
      <c r="O19" s="555">
        <f t="shared" si="6"/>
        <v>0</v>
      </c>
      <c r="P19" s="189"/>
      <c r="Q19" s="189"/>
      <c r="R19" s="189"/>
      <c r="S19" s="189"/>
      <c r="T19" s="189"/>
      <c r="U19" s="189"/>
      <c r="V19" s="189"/>
    </row>
    <row r="20" spans="1:22" ht="106.5" customHeight="1" thickTop="1" thickBot="1" x14ac:dyDescent="0.25">
      <c r="A20" s="193"/>
      <c r="B20" s="556" t="s">
        <v>1535</v>
      </c>
      <c r="C20" s="556" t="s">
        <v>1678</v>
      </c>
      <c r="D20" s="557" t="s">
        <v>1697</v>
      </c>
      <c r="E20" s="556" t="s">
        <v>374</v>
      </c>
      <c r="F20" s="556" t="s">
        <v>374</v>
      </c>
      <c r="G20" s="557" t="s">
        <v>1635</v>
      </c>
      <c r="H20" s="556" t="s">
        <v>1549</v>
      </c>
      <c r="I20" s="558">
        <v>14904255</v>
      </c>
      <c r="J20" s="558">
        <f>SUM(J21)</f>
        <v>2500000</v>
      </c>
      <c r="K20" s="558">
        <f t="shared" ref="K20:O28" si="7">SUM(K21)</f>
        <v>2500000</v>
      </c>
      <c r="L20" s="558">
        <f t="shared" si="7"/>
        <v>0</v>
      </c>
      <c r="M20" s="558">
        <f t="shared" si="7"/>
        <v>0</v>
      </c>
      <c r="N20" s="558">
        <f t="shared" si="7"/>
        <v>0</v>
      </c>
      <c r="O20" s="558">
        <f t="shared" si="7"/>
        <v>0</v>
      </c>
      <c r="P20" s="441"/>
      <c r="Q20" s="442"/>
      <c r="R20" s="189"/>
      <c r="S20" s="189"/>
      <c r="T20" s="189"/>
      <c r="U20" s="189"/>
      <c r="V20" s="189"/>
    </row>
    <row r="21" spans="1:22" ht="46.5" thickTop="1" thickBot="1" x14ac:dyDescent="0.25">
      <c r="A21" s="193"/>
      <c r="B21" s="337" t="s">
        <v>374</v>
      </c>
      <c r="C21" s="337" t="s">
        <v>374</v>
      </c>
      <c r="D21" s="337" t="s">
        <v>374</v>
      </c>
      <c r="E21" s="337" t="s">
        <v>1453</v>
      </c>
      <c r="F21" s="337" t="s">
        <v>1634</v>
      </c>
      <c r="G21" s="511" t="s">
        <v>1635</v>
      </c>
      <c r="H21" s="337" t="s">
        <v>374</v>
      </c>
      <c r="I21" s="337" t="s">
        <v>374</v>
      </c>
      <c r="J21" s="562">
        <f>SUM(K21:O21)</f>
        <v>2500000</v>
      </c>
      <c r="K21" s="562">
        <v>2500000</v>
      </c>
      <c r="L21" s="544"/>
      <c r="M21" s="544"/>
      <c r="N21" s="544"/>
      <c r="O21" s="563"/>
      <c r="P21" s="846"/>
      <c r="Q21" s="847"/>
      <c r="R21" s="189"/>
      <c r="S21" s="189"/>
      <c r="T21" s="189"/>
      <c r="U21" s="189"/>
      <c r="V21" s="189"/>
    </row>
    <row r="22" spans="1:22" ht="87" thickTop="1" thickBot="1" x14ac:dyDescent="0.25">
      <c r="A22" s="193"/>
      <c r="B22" s="556" t="s">
        <v>1637</v>
      </c>
      <c r="C22" s="556" t="s">
        <v>1692</v>
      </c>
      <c r="D22" s="557" t="s">
        <v>1722</v>
      </c>
      <c r="E22" s="556" t="s">
        <v>374</v>
      </c>
      <c r="F22" s="556" t="s">
        <v>374</v>
      </c>
      <c r="G22" s="557" t="s">
        <v>1635</v>
      </c>
      <c r="H22" s="556" t="s">
        <v>1549</v>
      </c>
      <c r="I22" s="558">
        <v>11489013</v>
      </c>
      <c r="J22" s="558">
        <f>SUM(J23)</f>
        <v>2000000</v>
      </c>
      <c r="K22" s="558">
        <f t="shared" si="7"/>
        <v>2000000</v>
      </c>
      <c r="L22" s="558">
        <f t="shared" si="7"/>
        <v>0</v>
      </c>
      <c r="M22" s="558">
        <f t="shared" si="7"/>
        <v>0</v>
      </c>
      <c r="N22" s="558">
        <f t="shared" si="7"/>
        <v>0</v>
      </c>
      <c r="O22" s="558">
        <f t="shared" si="7"/>
        <v>0</v>
      </c>
      <c r="P22" s="846"/>
      <c r="Q22" s="847"/>
      <c r="R22" s="189"/>
      <c r="S22" s="189"/>
      <c r="T22" s="189"/>
      <c r="U22" s="189"/>
      <c r="V22" s="189"/>
    </row>
    <row r="23" spans="1:22" ht="46.5" thickTop="1" thickBot="1" x14ac:dyDescent="0.25">
      <c r="A23" s="193"/>
      <c r="B23" s="337" t="s">
        <v>374</v>
      </c>
      <c r="C23" s="337" t="s">
        <v>374</v>
      </c>
      <c r="D23" s="337" t="s">
        <v>374</v>
      </c>
      <c r="E23" s="337" t="s">
        <v>1453</v>
      </c>
      <c r="F23" s="337" t="s">
        <v>1634</v>
      </c>
      <c r="G23" s="337" t="s">
        <v>1635</v>
      </c>
      <c r="H23" s="337" t="s">
        <v>374</v>
      </c>
      <c r="I23" s="337" t="s">
        <v>374</v>
      </c>
      <c r="J23" s="562">
        <f>SUM(K23:O23)</f>
        <v>2000000</v>
      </c>
      <c r="K23" s="562">
        <v>2000000</v>
      </c>
      <c r="L23" s="544"/>
      <c r="M23" s="544"/>
      <c r="N23" s="544"/>
      <c r="O23" s="563"/>
      <c r="P23" s="846"/>
      <c r="Q23" s="847"/>
      <c r="R23" s="189"/>
      <c r="S23" s="189"/>
      <c r="T23" s="189"/>
      <c r="U23" s="189"/>
      <c r="V23" s="189"/>
    </row>
    <row r="24" spans="1:22" ht="117" customHeight="1" thickTop="1" thickBot="1" x14ac:dyDescent="0.25">
      <c r="A24" s="193"/>
      <c r="B24" s="556" t="s">
        <v>1638</v>
      </c>
      <c r="C24" s="556" t="s">
        <v>1693</v>
      </c>
      <c r="D24" s="557" t="s">
        <v>1723</v>
      </c>
      <c r="E24" s="556" t="s">
        <v>374</v>
      </c>
      <c r="F24" s="556" t="s">
        <v>374</v>
      </c>
      <c r="G24" s="557" t="s">
        <v>1635</v>
      </c>
      <c r="H24" s="556" t="s">
        <v>1549</v>
      </c>
      <c r="I24" s="558">
        <v>15021432</v>
      </c>
      <c r="J24" s="558">
        <f>SUM(J25)</f>
        <v>2500000</v>
      </c>
      <c r="K24" s="558">
        <f t="shared" si="7"/>
        <v>2500000</v>
      </c>
      <c r="L24" s="558">
        <f t="shared" si="7"/>
        <v>0</v>
      </c>
      <c r="M24" s="558">
        <f t="shared" si="7"/>
        <v>0</v>
      </c>
      <c r="N24" s="558">
        <f t="shared" si="7"/>
        <v>0</v>
      </c>
      <c r="O24" s="558">
        <f t="shared" si="7"/>
        <v>0</v>
      </c>
      <c r="P24" s="846"/>
      <c r="Q24" s="847"/>
      <c r="R24" s="189"/>
      <c r="S24" s="189"/>
      <c r="T24" s="189"/>
      <c r="U24" s="189"/>
      <c r="V24" s="189"/>
    </row>
    <row r="25" spans="1:22" ht="46.5" thickTop="1" thickBot="1" x14ac:dyDescent="0.25">
      <c r="A25" s="193"/>
      <c r="B25" s="337" t="s">
        <v>374</v>
      </c>
      <c r="C25" s="337" t="s">
        <v>374</v>
      </c>
      <c r="D25" s="337" t="s">
        <v>374</v>
      </c>
      <c r="E25" s="337" t="s">
        <v>1453</v>
      </c>
      <c r="F25" s="337" t="s">
        <v>1634</v>
      </c>
      <c r="G25" s="337" t="s">
        <v>1635</v>
      </c>
      <c r="H25" s="337" t="s">
        <v>374</v>
      </c>
      <c r="I25" s="337" t="s">
        <v>374</v>
      </c>
      <c r="J25" s="562">
        <f>SUM(K25:O25)</f>
        <v>2500000</v>
      </c>
      <c r="K25" s="562">
        <v>2500000</v>
      </c>
      <c r="L25" s="544"/>
      <c r="M25" s="544"/>
      <c r="N25" s="544"/>
      <c r="O25" s="563"/>
      <c r="P25" s="846"/>
      <c r="Q25" s="847"/>
      <c r="R25" s="189"/>
      <c r="S25" s="189"/>
      <c r="T25" s="189"/>
      <c r="U25" s="189"/>
      <c r="V25" s="189"/>
    </row>
    <row r="26" spans="1:22" ht="129.75" thickTop="1" thickBot="1" x14ac:dyDescent="0.25">
      <c r="A26" s="193"/>
      <c r="B26" s="556" t="s">
        <v>1639</v>
      </c>
      <c r="C26" s="556" t="s">
        <v>1694</v>
      </c>
      <c r="D26" s="557" t="s">
        <v>1721</v>
      </c>
      <c r="E26" s="556" t="s">
        <v>374</v>
      </c>
      <c r="F26" s="556" t="s">
        <v>374</v>
      </c>
      <c r="G26" s="557" t="s">
        <v>1635</v>
      </c>
      <c r="H26" s="556" t="s">
        <v>1549</v>
      </c>
      <c r="I26" s="558">
        <v>30500000</v>
      </c>
      <c r="J26" s="558">
        <f>SUM(J27)</f>
        <v>3000000</v>
      </c>
      <c r="K26" s="558">
        <f t="shared" si="7"/>
        <v>3000000</v>
      </c>
      <c r="L26" s="558">
        <f t="shared" si="7"/>
        <v>0</v>
      </c>
      <c r="M26" s="558">
        <f t="shared" si="7"/>
        <v>0</v>
      </c>
      <c r="N26" s="558">
        <f t="shared" si="7"/>
        <v>0</v>
      </c>
      <c r="O26" s="558">
        <f t="shared" si="7"/>
        <v>0</v>
      </c>
      <c r="P26" s="846"/>
      <c r="Q26" s="847"/>
      <c r="R26" s="189"/>
      <c r="S26" s="189"/>
      <c r="T26" s="189"/>
      <c r="U26" s="189"/>
      <c r="V26" s="189"/>
    </row>
    <row r="27" spans="1:22" ht="46.5" thickTop="1" thickBot="1" x14ac:dyDescent="0.25">
      <c r="A27" s="193"/>
      <c r="B27" s="337" t="s">
        <v>374</v>
      </c>
      <c r="C27" s="337" t="s">
        <v>374</v>
      </c>
      <c r="D27" s="337" t="s">
        <v>374</v>
      </c>
      <c r="E27" s="337" t="s">
        <v>1453</v>
      </c>
      <c r="F27" s="337" t="s">
        <v>1634</v>
      </c>
      <c r="G27" s="337" t="s">
        <v>1635</v>
      </c>
      <c r="H27" s="337" t="s">
        <v>374</v>
      </c>
      <c r="I27" s="337" t="s">
        <v>374</v>
      </c>
      <c r="J27" s="562">
        <f>SUM(K27:O27)</f>
        <v>3000000</v>
      </c>
      <c r="K27" s="562">
        <v>3000000</v>
      </c>
      <c r="L27" s="544"/>
      <c r="M27" s="544"/>
      <c r="N27" s="544"/>
      <c r="O27" s="563"/>
      <c r="P27" s="846"/>
      <c r="Q27" s="847"/>
      <c r="R27" s="189"/>
      <c r="S27" s="189"/>
      <c r="T27" s="189"/>
      <c r="U27" s="189"/>
      <c r="V27" s="189"/>
    </row>
    <row r="28" spans="1:22" ht="93" customHeight="1" thickTop="1" thickBot="1" x14ac:dyDescent="0.25">
      <c r="A28" s="193"/>
      <c r="B28" s="556" t="s">
        <v>1640</v>
      </c>
      <c r="C28" s="556" t="s">
        <v>1691</v>
      </c>
      <c r="D28" s="557" t="s">
        <v>1690</v>
      </c>
      <c r="E28" s="556" t="s">
        <v>374</v>
      </c>
      <c r="F28" s="556" t="s">
        <v>374</v>
      </c>
      <c r="G28" s="557" t="s">
        <v>1635</v>
      </c>
      <c r="H28" s="556" t="s">
        <v>1596</v>
      </c>
      <c r="I28" s="558">
        <v>16192450</v>
      </c>
      <c r="J28" s="558">
        <f>SUM(J29)</f>
        <v>5000000</v>
      </c>
      <c r="K28" s="558">
        <f t="shared" si="7"/>
        <v>5000000</v>
      </c>
      <c r="L28" s="558">
        <f t="shared" si="7"/>
        <v>0</v>
      </c>
      <c r="M28" s="558">
        <f t="shared" si="7"/>
        <v>0</v>
      </c>
      <c r="N28" s="558">
        <f t="shared" si="7"/>
        <v>0</v>
      </c>
      <c r="O28" s="558">
        <f t="shared" si="7"/>
        <v>0</v>
      </c>
      <c r="P28" s="846"/>
      <c r="Q28" s="847"/>
      <c r="R28" s="189"/>
      <c r="S28" s="189"/>
      <c r="T28" s="189"/>
      <c r="U28" s="189"/>
      <c r="V28" s="189"/>
    </row>
    <row r="29" spans="1:22" ht="46.5" thickTop="1" thickBot="1" x14ac:dyDescent="0.25">
      <c r="A29" s="193"/>
      <c r="B29" s="337" t="s">
        <v>374</v>
      </c>
      <c r="C29" s="337" t="s">
        <v>374</v>
      </c>
      <c r="D29" s="337" t="s">
        <v>374</v>
      </c>
      <c r="E29" s="337" t="s">
        <v>1453</v>
      </c>
      <c r="F29" s="337" t="s">
        <v>1634</v>
      </c>
      <c r="G29" s="337" t="s">
        <v>1635</v>
      </c>
      <c r="H29" s="337" t="s">
        <v>374</v>
      </c>
      <c r="I29" s="337" t="s">
        <v>374</v>
      </c>
      <c r="J29" s="562">
        <f>SUM(K29:O29)</f>
        <v>5000000</v>
      </c>
      <c r="K29" s="562">
        <v>5000000</v>
      </c>
      <c r="L29" s="544"/>
      <c r="M29" s="544"/>
      <c r="N29" s="544"/>
      <c r="O29" s="563"/>
      <c r="P29" s="846"/>
      <c r="Q29" s="847"/>
      <c r="R29" s="189"/>
      <c r="S29" s="189"/>
      <c r="T29" s="189"/>
      <c r="U29" s="189"/>
      <c r="V29" s="189"/>
    </row>
    <row r="30" spans="1:22" ht="31.5" thickTop="1" thickBot="1" x14ac:dyDescent="0.25">
      <c r="A30" s="193"/>
      <c r="B30" s="554" t="s">
        <v>14</v>
      </c>
      <c r="C30" s="554" t="s">
        <v>1589</v>
      </c>
      <c r="D30" s="554" t="s">
        <v>374</v>
      </c>
      <c r="E30" s="554" t="s">
        <v>374</v>
      </c>
      <c r="F30" s="554" t="s">
        <v>374</v>
      </c>
      <c r="G30" s="554" t="s">
        <v>1594</v>
      </c>
      <c r="H30" s="554" t="s">
        <v>374</v>
      </c>
      <c r="I30" s="554" t="s">
        <v>374</v>
      </c>
      <c r="J30" s="555">
        <f>J31</f>
        <v>1000000</v>
      </c>
      <c r="K30" s="555">
        <f t="shared" ref="K30:O30" si="8">K31</f>
        <v>1000000</v>
      </c>
      <c r="L30" s="555">
        <f t="shared" si="8"/>
        <v>0</v>
      </c>
      <c r="M30" s="555">
        <f t="shared" si="8"/>
        <v>0</v>
      </c>
      <c r="N30" s="555">
        <f t="shared" si="8"/>
        <v>0</v>
      </c>
      <c r="O30" s="555">
        <f t="shared" si="8"/>
        <v>0</v>
      </c>
      <c r="P30" s="846"/>
      <c r="Q30" s="847"/>
      <c r="R30" s="189"/>
      <c r="S30" s="189"/>
      <c r="T30" s="189"/>
      <c r="U30" s="189"/>
      <c r="V30" s="189"/>
    </row>
    <row r="31" spans="1:22" ht="56.25" customHeight="1" thickTop="1" thickBot="1" x14ac:dyDescent="0.25">
      <c r="A31" s="193"/>
      <c r="B31" s="556" t="s">
        <v>1641</v>
      </c>
      <c r="C31" s="556" t="s">
        <v>1679</v>
      </c>
      <c r="D31" s="556" t="s">
        <v>1698</v>
      </c>
      <c r="E31" s="556" t="s">
        <v>374</v>
      </c>
      <c r="F31" s="556" t="s">
        <v>374</v>
      </c>
      <c r="G31" s="557" t="s">
        <v>1578</v>
      </c>
      <c r="H31" s="556" t="s">
        <v>1590</v>
      </c>
      <c r="I31" s="558">
        <v>100294275</v>
      </c>
      <c r="J31" s="558">
        <f>SUM(J32)</f>
        <v>1000000</v>
      </c>
      <c r="K31" s="558">
        <f t="shared" ref="K31" si="9">SUM(K32)</f>
        <v>1000000</v>
      </c>
      <c r="L31" s="558">
        <f t="shared" ref="L31" si="10">SUM(L32)</f>
        <v>0</v>
      </c>
      <c r="M31" s="558">
        <f t="shared" ref="M31" si="11">SUM(M32)</f>
        <v>0</v>
      </c>
      <c r="N31" s="558">
        <f t="shared" ref="N31" si="12">SUM(N32)</f>
        <v>0</v>
      </c>
      <c r="O31" s="558">
        <f t="shared" ref="O31" si="13">SUM(O32)</f>
        <v>0</v>
      </c>
      <c r="P31" s="846"/>
      <c r="Q31" s="847"/>
      <c r="R31" s="189"/>
      <c r="S31" s="189"/>
      <c r="T31" s="189"/>
      <c r="U31" s="189"/>
      <c r="V31" s="189"/>
    </row>
    <row r="32" spans="1:22" ht="46.5" thickTop="1" thickBot="1" x14ac:dyDescent="0.25">
      <c r="A32" s="193"/>
      <c r="B32" s="337" t="s">
        <v>374</v>
      </c>
      <c r="C32" s="337" t="s">
        <v>374</v>
      </c>
      <c r="D32" s="337" t="s">
        <v>374</v>
      </c>
      <c r="E32" s="511" t="s">
        <v>1587</v>
      </c>
      <c r="F32" s="547" t="s">
        <v>1586</v>
      </c>
      <c r="G32" s="511" t="s">
        <v>1578</v>
      </c>
      <c r="H32" s="337" t="s">
        <v>374</v>
      </c>
      <c r="I32" s="337" t="s">
        <v>374</v>
      </c>
      <c r="J32" s="513">
        <f>SUM(K32:O32)</f>
        <v>1000000</v>
      </c>
      <c r="K32" s="513">
        <v>1000000</v>
      </c>
      <c r="L32" s="190"/>
      <c r="M32" s="190"/>
      <c r="N32" s="190"/>
      <c r="O32" s="191"/>
      <c r="P32" s="846"/>
      <c r="Q32" s="847"/>
      <c r="R32" s="189"/>
      <c r="S32" s="189"/>
      <c r="T32" s="189"/>
      <c r="U32" s="189"/>
      <c r="V32" s="189"/>
    </row>
    <row r="33" spans="1:22" ht="46.5" thickTop="1" thickBot="1" x14ac:dyDescent="0.25">
      <c r="A33" s="193"/>
      <c r="B33" s="554" t="s">
        <v>5</v>
      </c>
      <c r="C33" s="554" t="s">
        <v>1546</v>
      </c>
      <c r="D33" s="554" t="s">
        <v>374</v>
      </c>
      <c r="E33" s="554" t="s">
        <v>374</v>
      </c>
      <c r="F33" s="554" t="s">
        <v>374</v>
      </c>
      <c r="G33" s="554" t="s">
        <v>1547</v>
      </c>
      <c r="H33" s="554" t="s">
        <v>374</v>
      </c>
      <c r="I33" s="554" t="s">
        <v>374</v>
      </c>
      <c r="J33" s="555">
        <f>J34+J36+J40+J42+J44+J38</f>
        <v>61964755</v>
      </c>
      <c r="K33" s="555">
        <f t="shared" ref="K33:O33" si="14">K34+K36+K40+K42+K44+K38</f>
        <v>61964755</v>
      </c>
      <c r="L33" s="555">
        <f t="shared" si="14"/>
        <v>0</v>
      </c>
      <c r="M33" s="555">
        <f t="shared" si="14"/>
        <v>0</v>
      </c>
      <c r="N33" s="555">
        <f t="shared" si="14"/>
        <v>0</v>
      </c>
      <c r="O33" s="555">
        <f t="shared" si="14"/>
        <v>0</v>
      </c>
      <c r="P33" s="441"/>
      <c r="Q33" s="442"/>
      <c r="R33" s="189"/>
      <c r="S33" s="189"/>
      <c r="T33" s="189"/>
      <c r="U33" s="189"/>
      <c r="V33" s="189"/>
    </row>
    <row r="34" spans="1:22" ht="102" customHeight="1" thickTop="1" thickBot="1" x14ac:dyDescent="0.25">
      <c r="A34" s="193"/>
      <c r="B34" s="556" t="s">
        <v>1642</v>
      </c>
      <c r="C34" s="556" t="s">
        <v>1667</v>
      </c>
      <c r="D34" s="557" t="s">
        <v>1699</v>
      </c>
      <c r="E34" s="556" t="s">
        <v>374</v>
      </c>
      <c r="F34" s="556" t="s">
        <v>374</v>
      </c>
      <c r="G34" s="557" t="s">
        <v>1548</v>
      </c>
      <c r="H34" s="556" t="s">
        <v>1549</v>
      </c>
      <c r="I34" s="558">
        <v>9664770</v>
      </c>
      <c r="J34" s="558">
        <f>SUM(J35)</f>
        <v>9664770</v>
      </c>
      <c r="K34" s="558">
        <f t="shared" ref="K34:O34" si="15">SUM(K35)</f>
        <v>9664770</v>
      </c>
      <c r="L34" s="558">
        <f t="shared" si="15"/>
        <v>0</v>
      </c>
      <c r="M34" s="558">
        <f t="shared" si="15"/>
        <v>0</v>
      </c>
      <c r="N34" s="558">
        <f t="shared" si="15"/>
        <v>0</v>
      </c>
      <c r="O34" s="558">
        <f t="shared" si="15"/>
        <v>0</v>
      </c>
      <c r="P34" s="441"/>
      <c r="Q34" s="442"/>
      <c r="R34" s="189"/>
      <c r="S34" s="189"/>
      <c r="T34" s="189"/>
      <c r="U34" s="189"/>
      <c r="V34" s="189"/>
    </row>
    <row r="35" spans="1:22" ht="78.75" customHeight="1" thickTop="1" thickBot="1" x14ac:dyDescent="0.25">
      <c r="A35" s="193"/>
      <c r="B35" s="337" t="s">
        <v>374</v>
      </c>
      <c r="C35" s="337" t="s">
        <v>374</v>
      </c>
      <c r="D35" s="337" t="s">
        <v>374</v>
      </c>
      <c r="E35" s="511" t="s">
        <v>1544</v>
      </c>
      <c r="F35" s="512" t="s">
        <v>1543</v>
      </c>
      <c r="G35" s="511" t="s">
        <v>1548</v>
      </c>
      <c r="H35" s="337" t="s">
        <v>374</v>
      </c>
      <c r="I35" s="337" t="s">
        <v>374</v>
      </c>
      <c r="J35" s="513">
        <f>SUM(K35:O35)</f>
        <v>9664770</v>
      </c>
      <c r="K35" s="514">
        <v>9664770</v>
      </c>
      <c r="L35" s="190"/>
      <c r="M35" s="190"/>
      <c r="N35" s="190"/>
      <c r="O35" s="191"/>
      <c r="P35" s="441"/>
      <c r="Q35" s="442"/>
      <c r="R35" s="189"/>
      <c r="S35" s="189"/>
      <c r="T35" s="189"/>
      <c r="U35" s="189"/>
      <c r="V35" s="189"/>
    </row>
    <row r="36" spans="1:22" ht="78.75" customHeight="1" thickTop="1" thickBot="1" x14ac:dyDescent="0.25">
      <c r="A36" s="193"/>
      <c r="B36" s="556" t="s">
        <v>1643</v>
      </c>
      <c r="C36" s="556" t="s">
        <v>1680</v>
      </c>
      <c r="D36" s="556" t="s">
        <v>1700</v>
      </c>
      <c r="E36" s="556" t="s">
        <v>374</v>
      </c>
      <c r="F36" s="556" t="s">
        <v>374</v>
      </c>
      <c r="G36" s="557" t="s">
        <v>1547</v>
      </c>
      <c r="H36" s="556" t="s">
        <v>1549</v>
      </c>
      <c r="I36" s="558">
        <v>7999850</v>
      </c>
      <c r="J36" s="558">
        <f>SUM(J37)</f>
        <v>799985</v>
      </c>
      <c r="K36" s="558">
        <f t="shared" ref="K36" si="16">SUM(K37)</f>
        <v>799985</v>
      </c>
      <c r="L36" s="558">
        <f t="shared" ref="L36" si="17">SUM(L37)</f>
        <v>0</v>
      </c>
      <c r="M36" s="558">
        <f t="shared" ref="M36" si="18">SUM(M37)</f>
        <v>0</v>
      </c>
      <c r="N36" s="558">
        <f t="shared" ref="N36" si="19">SUM(N37)</f>
        <v>0</v>
      </c>
      <c r="O36" s="558">
        <f t="shared" ref="O36" si="20">SUM(O37)</f>
        <v>0</v>
      </c>
      <c r="P36" s="441"/>
      <c r="Q36" s="442"/>
      <c r="R36" s="189"/>
      <c r="S36" s="189"/>
      <c r="T36" s="189"/>
      <c r="U36" s="189"/>
      <c r="V36" s="189"/>
    </row>
    <row r="37" spans="1:22" ht="78.75" customHeight="1" thickTop="1" thickBot="1" x14ac:dyDescent="0.25">
      <c r="A37" s="193"/>
      <c r="B37" s="337" t="s">
        <v>374</v>
      </c>
      <c r="C37" s="337" t="s">
        <v>374</v>
      </c>
      <c r="D37" s="337" t="s">
        <v>374</v>
      </c>
      <c r="E37" s="511" t="s">
        <v>1495</v>
      </c>
      <c r="F37" s="547" t="s">
        <v>1493</v>
      </c>
      <c r="G37" s="511" t="s">
        <v>1547</v>
      </c>
      <c r="H37" s="337" t="s">
        <v>374</v>
      </c>
      <c r="I37" s="337" t="s">
        <v>374</v>
      </c>
      <c r="J37" s="513">
        <f>SUM(K37:O37)</f>
        <v>799985</v>
      </c>
      <c r="K37" s="544">
        <v>799985</v>
      </c>
      <c r="L37" s="190"/>
      <c r="M37" s="190"/>
      <c r="N37" s="190"/>
      <c r="O37" s="191"/>
      <c r="P37" s="441"/>
      <c r="Q37" s="442"/>
      <c r="R37" s="189"/>
      <c r="S37" s="189"/>
      <c r="T37" s="189"/>
      <c r="U37" s="189"/>
      <c r="V37" s="189"/>
    </row>
    <row r="38" spans="1:22" ht="78.75" customHeight="1" thickTop="1" thickBot="1" x14ac:dyDescent="0.25">
      <c r="A38" s="193"/>
      <c r="B38" s="556" t="s">
        <v>1644</v>
      </c>
      <c r="C38" s="561" t="s">
        <v>1681</v>
      </c>
      <c r="D38" s="556" t="s">
        <v>1701</v>
      </c>
      <c r="E38" s="556" t="s">
        <v>374</v>
      </c>
      <c r="F38" s="556" t="s">
        <v>374</v>
      </c>
      <c r="G38" s="557" t="s">
        <v>1578</v>
      </c>
      <c r="H38" s="556" t="s">
        <v>1596</v>
      </c>
      <c r="I38" s="558">
        <v>650000</v>
      </c>
      <c r="J38" s="558">
        <f>SUM(J39)</f>
        <v>500000</v>
      </c>
      <c r="K38" s="558">
        <f t="shared" ref="K38" si="21">SUM(K39)</f>
        <v>500000</v>
      </c>
      <c r="L38" s="558">
        <f t="shared" ref="L38" si="22">SUM(L39)</f>
        <v>0</v>
      </c>
      <c r="M38" s="558">
        <f t="shared" ref="M38" si="23">SUM(M39)</f>
        <v>0</v>
      </c>
      <c r="N38" s="558">
        <f t="shared" ref="N38" si="24">SUM(N39)</f>
        <v>0</v>
      </c>
      <c r="O38" s="558">
        <f t="shared" ref="O38" si="25">SUM(O39)</f>
        <v>0</v>
      </c>
      <c r="P38" s="441"/>
      <c r="Q38" s="442"/>
      <c r="R38" s="189"/>
      <c r="S38" s="189"/>
      <c r="T38" s="189"/>
      <c r="U38" s="189"/>
      <c r="V38" s="189"/>
    </row>
    <row r="39" spans="1:22" ht="78.75" customHeight="1" thickTop="1" thickBot="1" x14ac:dyDescent="0.25">
      <c r="A39" s="193"/>
      <c r="B39" s="337" t="s">
        <v>374</v>
      </c>
      <c r="C39" s="511" t="s">
        <v>374</v>
      </c>
      <c r="D39" s="511" t="s">
        <v>374</v>
      </c>
      <c r="E39" s="337" t="s">
        <v>1598</v>
      </c>
      <c r="F39" s="547" t="s">
        <v>1493</v>
      </c>
      <c r="G39" s="337" t="s">
        <v>1578</v>
      </c>
      <c r="H39" s="337" t="s">
        <v>374</v>
      </c>
      <c r="I39" s="337" t="s">
        <v>374</v>
      </c>
      <c r="J39" s="562">
        <f>SUM(K39:O39)</f>
        <v>500000</v>
      </c>
      <c r="K39" s="544">
        <v>500000</v>
      </c>
      <c r="L39" s="544"/>
      <c r="M39" s="544"/>
      <c r="N39" s="544"/>
      <c r="O39" s="563"/>
      <c r="P39" s="441"/>
      <c r="Q39" s="442"/>
      <c r="R39" s="189"/>
      <c r="S39" s="189"/>
      <c r="T39" s="189"/>
      <c r="U39" s="189"/>
      <c r="V39" s="189"/>
    </row>
    <row r="40" spans="1:22" ht="78.75" customHeight="1" thickTop="1" thickBot="1" x14ac:dyDescent="0.25">
      <c r="A40" s="193"/>
      <c r="B40" s="556" t="s">
        <v>1645</v>
      </c>
      <c r="C40" s="556" t="s">
        <v>1562</v>
      </c>
      <c r="D40" s="556" t="s">
        <v>1702</v>
      </c>
      <c r="E40" s="556" t="s">
        <v>374</v>
      </c>
      <c r="F40" s="556" t="s">
        <v>374</v>
      </c>
      <c r="G40" s="557" t="s">
        <v>1547</v>
      </c>
      <c r="H40" s="556" t="s">
        <v>1549</v>
      </c>
      <c r="I40" s="558">
        <v>45000000</v>
      </c>
      <c r="J40" s="558">
        <f>SUM(J41)</f>
        <v>45000000</v>
      </c>
      <c r="K40" s="558">
        <f t="shared" ref="K40" si="26">SUM(K41)</f>
        <v>45000000</v>
      </c>
      <c r="L40" s="558">
        <f t="shared" ref="L40" si="27">SUM(L41)</f>
        <v>0</v>
      </c>
      <c r="M40" s="558">
        <f t="shared" ref="M40" si="28">SUM(M41)</f>
        <v>0</v>
      </c>
      <c r="N40" s="558">
        <f t="shared" ref="N40" si="29">SUM(N41)</f>
        <v>0</v>
      </c>
      <c r="O40" s="558">
        <f t="shared" ref="O40" si="30">SUM(O41)</f>
        <v>0</v>
      </c>
      <c r="P40" s="441"/>
      <c r="Q40" s="442"/>
      <c r="R40" s="189"/>
      <c r="S40" s="189"/>
      <c r="T40" s="189"/>
      <c r="U40" s="189"/>
      <c r="V40" s="189"/>
    </row>
    <row r="41" spans="1:22" ht="78.75" customHeight="1" thickTop="1" thickBot="1" x14ac:dyDescent="0.25">
      <c r="A41" s="193"/>
      <c r="B41" s="337" t="s">
        <v>374</v>
      </c>
      <c r="C41" s="337" t="s">
        <v>374</v>
      </c>
      <c r="D41" s="337" t="s">
        <v>374</v>
      </c>
      <c r="E41" s="511" t="s">
        <v>1406</v>
      </c>
      <c r="F41" s="337" t="s">
        <v>1543</v>
      </c>
      <c r="G41" s="511" t="s">
        <v>1547</v>
      </c>
      <c r="H41" s="337" t="s">
        <v>374</v>
      </c>
      <c r="I41" s="337" t="s">
        <v>374</v>
      </c>
      <c r="J41" s="513">
        <f>SUM(K41:O41)</f>
        <v>45000000</v>
      </c>
      <c r="K41" s="544">
        <v>45000000</v>
      </c>
      <c r="L41" s="190"/>
      <c r="M41" s="190"/>
      <c r="N41" s="190"/>
      <c r="O41" s="191"/>
      <c r="P41" s="441"/>
      <c r="Q41" s="442"/>
      <c r="R41" s="189"/>
      <c r="S41" s="189"/>
      <c r="T41" s="189"/>
      <c r="U41" s="189"/>
      <c r="V41" s="189"/>
    </row>
    <row r="42" spans="1:22" ht="128.25" customHeight="1" thickTop="1" thickBot="1" x14ac:dyDescent="0.25">
      <c r="A42" s="193"/>
      <c r="B42" s="556" t="s">
        <v>1646</v>
      </c>
      <c r="C42" s="556" t="s">
        <v>1682</v>
      </c>
      <c r="D42" s="556" t="s">
        <v>1703</v>
      </c>
      <c r="E42" s="556" t="s">
        <v>374</v>
      </c>
      <c r="F42" s="556" t="s">
        <v>374</v>
      </c>
      <c r="G42" s="557" t="s">
        <v>1547</v>
      </c>
      <c r="H42" s="556" t="s">
        <v>1549</v>
      </c>
      <c r="I42" s="558">
        <v>28394601</v>
      </c>
      <c r="J42" s="558">
        <f>SUM(J43)</f>
        <v>5000000</v>
      </c>
      <c r="K42" s="558">
        <f t="shared" ref="K42" si="31">SUM(K43)</f>
        <v>5000000</v>
      </c>
      <c r="L42" s="558">
        <f t="shared" ref="L42" si="32">SUM(L43)</f>
        <v>0</v>
      </c>
      <c r="M42" s="558">
        <f t="shared" ref="M42" si="33">SUM(M43)</f>
        <v>0</v>
      </c>
      <c r="N42" s="558">
        <f t="shared" ref="N42" si="34">SUM(N43)</f>
        <v>0</v>
      </c>
      <c r="O42" s="558">
        <f t="shared" ref="O42" si="35">SUM(O43)</f>
        <v>0</v>
      </c>
      <c r="P42" s="441"/>
      <c r="Q42" s="442"/>
      <c r="R42" s="189"/>
      <c r="S42" s="189"/>
      <c r="T42" s="189"/>
      <c r="U42" s="189"/>
      <c r="V42" s="189"/>
    </row>
    <row r="43" spans="1:22" ht="78.75" customHeight="1" thickTop="1" thickBot="1" x14ac:dyDescent="0.25">
      <c r="A43" s="193"/>
      <c r="B43" s="337" t="s">
        <v>374</v>
      </c>
      <c r="C43" s="337" t="s">
        <v>374</v>
      </c>
      <c r="D43" s="337" t="s">
        <v>374</v>
      </c>
      <c r="E43" s="511" t="s">
        <v>1406</v>
      </c>
      <c r="F43" s="337" t="s">
        <v>1543</v>
      </c>
      <c r="G43" s="511" t="s">
        <v>1547</v>
      </c>
      <c r="H43" s="337" t="s">
        <v>374</v>
      </c>
      <c r="I43" s="337" t="s">
        <v>374</v>
      </c>
      <c r="J43" s="513">
        <f>SUM(K43:O43)</f>
        <v>5000000</v>
      </c>
      <c r="K43" s="544">
        <v>5000000</v>
      </c>
      <c r="L43" s="190"/>
      <c r="M43" s="190"/>
      <c r="N43" s="190"/>
      <c r="O43" s="191"/>
      <c r="P43" s="441"/>
      <c r="Q43" s="442"/>
      <c r="R43" s="189"/>
      <c r="S43" s="189"/>
      <c r="T43" s="189"/>
      <c r="U43" s="189"/>
      <c r="V43" s="189"/>
    </row>
    <row r="44" spans="1:22" ht="105.75" customHeight="1" thickTop="1" thickBot="1" x14ac:dyDescent="0.25">
      <c r="A44" s="193"/>
      <c r="B44" s="556" t="s">
        <v>1647</v>
      </c>
      <c r="C44" s="556" t="s">
        <v>1683</v>
      </c>
      <c r="D44" s="556" t="s">
        <v>1704</v>
      </c>
      <c r="E44" s="556" t="s">
        <v>374</v>
      </c>
      <c r="F44" s="556" t="s">
        <v>374</v>
      </c>
      <c r="G44" s="557" t="s">
        <v>1547</v>
      </c>
      <c r="H44" s="556" t="s">
        <v>1549</v>
      </c>
      <c r="I44" s="558">
        <v>87000000</v>
      </c>
      <c r="J44" s="558">
        <f>SUM(J45)</f>
        <v>1000000</v>
      </c>
      <c r="K44" s="558">
        <f t="shared" ref="K44" si="36">SUM(K45)</f>
        <v>1000000</v>
      </c>
      <c r="L44" s="558">
        <f t="shared" ref="L44" si="37">SUM(L45)</f>
        <v>0</v>
      </c>
      <c r="M44" s="558">
        <f t="shared" ref="M44" si="38">SUM(M45)</f>
        <v>0</v>
      </c>
      <c r="N44" s="558">
        <f t="shared" ref="N44" si="39">SUM(N45)</f>
        <v>0</v>
      </c>
      <c r="O44" s="558">
        <f t="shared" ref="O44" si="40">SUM(O45)</f>
        <v>0</v>
      </c>
      <c r="P44" s="441"/>
      <c r="Q44" s="442"/>
      <c r="R44" s="189"/>
      <c r="S44" s="189"/>
      <c r="T44" s="189"/>
      <c r="U44" s="189"/>
      <c r="V44" s="189"/>
    </row>
    <row r="45" spans="1:22" ht="78.75" customHeight="1" thickTop="1" thickBot="1" x14ac:dyDescent="0.25">
      <c r="A45" s="193"/>
      <c r="B45" s="337" t="s">
        <v>374</v>
      </c>
      <c r="C45" s="337" t="s">
        <v>374</v>
      </c>
      <c r="D45" s="337" t="s">
        <v>374</v>
      </c>
      <c r="E45" s="511" t="s">
        <v>1406</v>
      </c>
      <c r="F45" s="337" t="s">
        <v>1543</v>
      </c>
      <c r="G45" s="511" t="s">
        <v>1547</v>
      </c>
      <c r="H45" s="337" t="s">
        <v>374</v>
      </c>
      <c r="I45" s="337" t="s">
        <v>374</v>
      </c>
      <c r="J45" s="513">
        <f>SUM(K45:O45)</f>
        <v>1000000</v>
      </c>
      <c r="K45" s="544">
        <v>1000000</v>
      </c>
      <c r="L45" s="190"/>
      <c r="M45" s="190"/>
      <c r="N45" s="190"/>
      <c r="O45" s="191"/>
      <c r="P45" s="441"/>
      <c r="Q45" s="442"/>
      <c r="R45" s="189"/>
      <c r="S45" s="189"/>
      <c r="T45" s="189"/>
      <c r="U45" s="189"/>
      <c r="V45" s="189"/>
    </row>
    <row r="46" spans="1:22" ht="78.75" customHeight="1" thickTop="1" thickBot="1" x14ac:dyDescent="0.25">
      <c r="A46" s="193"/>
      <c r="B46" s="554" t="s">
        <v>385</v>
      </c>
      <c r="C46" s="554" t="s">
        <v>1593</v>
      </c>
      <c r="D46" s="554" t="s">
        <v>374</v>
      </c>
      <c r="E46" s="554" t="s">
        <v>374</v>
      </c>
      <c r="F46" s="554" t="s">
        <v>374</v>
      </c>
      <c r="G46" s="554" t="s">
        <v>1595</v>
      </c>
      <c r="H46" s="554" t="s">
        <v>374</v>
      </c>
      <c r="I46" s="554" t="s">
        <v>374</v>
      </c>
      <c r="J46" s="555">
        <f>J47</f>
        <v>5000000</v>
      </c>
      <c r="K46" s="555">
        <f t="shared" ref="K46:O46" si="41">K47</f>
        <v>5000000</v>
      </c>
      <c r="L46" s="555">
        <f t="shared" si="41"/>
        <v>0</v>
      </c>
      <c r="M46" s="555">
        <f t="shared" si="41"/>
        <v>0</v>
      </c>
      <c r="N46" s="555">
        <f t="shared" si="41"/>
        <v>0</v>
      </c>
      <c r="O46" s="555">
        <f t="shared" si="41"/>
        <v>0</v>
      </c>
      <c r="P46" s="441"/>
      <c r="Q46" s="442"/>
      <c r="R46" s="189"/>
      <c r="S46" s="189"/>
      <c r="T46" s="189"/>
      <c r="U46" s="189"/>
      <c r="V46" s="189"/>
    </row>
    <row r="47" spans="1:22" ht="63.75" customHeight="1" thickTop="1" thickBot="1" x14ac:dyDescent="0.25">
      <c r="A47" s="193"/>
      <c r="B47" s="556" t="s">
        <v>1648</v>
      </c>
      <c r="C47" s="556" t="s">
        <v>1684</v>
      </c>
      <c r="D47" s="557" t="s">
        <v>1705</v>
      </c>
      <c r="E47" s="556" t="s">
        <v>374</v>
      </c>
      <c r="F47" s="556" t="s">
        <v>374</v>
      </c>
      <c r="G47" s="557" t="s">
        <v>1578</v>
      </c>
      <c r="H47" s="556" t="s">
        <v>1577</v>
      </c>
      <c r="I47" s="558">
        <v>650000000</v>
      </c>
      <c r="J47" s="558">
        <f>SUM(J48)</f>
        <v>5000000</v>
      </c>
      <c r="K47" s="558">
        <f t="shared" ref="K47" si="42">SUM(K48)</f>
        <v>5000000</v>
      </c>
      <c r="L47" s="558">
        <f t="shared" ref="L47" si="43">SUM(L48)</f>
        <v>0</v>
      </c>
      <c r="M47" s="558">
        <f t="shared" ref="M47" si="44">SUM(M48)</f>
        <v>0</v>
      </c>
      <c r="N47" s="558">
        <f t="shared" ref="N47" si="45">SUM(N48)</f>
        <v>0</v>
      </c>
      <c r="O47" s="558">
        <f t="shared" ref="O47" si="46">SUM(O48)</f>
        <v>0</v>
      </c>
      <c r="P47" s="441"/>
      <c r="Q47" s="442"/>
      <c r="R47" s="189"/>
      <c r="S47" s="189"/>
      <c r="T47" s="189"/>
      <c r="U47" s="189"/>
      <c r="V47" s="189"/>
    </row>
    <row r="48" spans="1:22" ht="78.75" customHeight="1" thickTop="1" thickBot="1" x14ac:dyDescent="0.25">
      <c r="A48" s="193"/>
      <c r="B48" s="337" t="s">
        <v>374</v>
      </c>
      <c r="C48" s="337" t="s">
        <v>374</v>
      </c>
      <c r="D48" s="337" t="s">
        <v>374</v>
      </c>
      <c r="E48" s="337" t="s">
        <v>1591</v>
      </c>
      <c r="F48" s="337" t="s">
        <v>1592</v>
      </c>
      <c r="G48" s="511" t="s">
        <v>1578</v>
      </c>
      <c r="H48" s="337" t="s">
        <v>374</v>
      </c>
      <c r="I48" s="337" t="s">
        <v>374</v>
      </c>
      <c r="J48" s="513">
        <f>SUM(K48:O48)</f>
        <v>5000000</v>
      </c>
      <c r="K48" s="514">
        <v>5000000</v>
      </c>
      <c r="L48" s="190"/>
      <c r="M48" s="190"/>
      <c r="N48" s="190"/>
      <c r="O48" s="549"/>
      <c r="P48" s="441"/>
      <c r="Q48" s="442"/>
      <c r="R48" s="189"/>
      <c r="S48" s="189"/>
      <c r="T48" s="189"/>
      <c r="U48" s="189"/>
      <c r="V48" s="189"/>
    </row>
    <row r="49" spans="1:22" ht="63" customHeight="1" thickTop="1" thickBot="1" x14ac:dyDescent="0.25">
      <c r="A49" s="193"/>
      <c r="B49" s="554" t="s">
        <v>386</v>
      </c>
      <c r="C49" s="554" t="s">
        <v>1568</v>
      </c>
      <c r="D49" s="554" t="s">
        <v>374</v>
      </c>
      <c r="E49" s="554" t="s">
        <v>374</v>
      </c>
      <c r="F49" s="554" t="s">
        <v>374</v>
      </c>
      <c r="G49" s="554" t="s">
        <v>1569</v>
      </c>
      <c r="H49" s="554" t="s">
        <v>374</v>
      </c>
      <c r="I49" s="554" t="s">
        <v>374</v>
      </c>
      <c r="J49" s="555">
        <f t="shared" ref="J49:O49" si="47">J50+J52+J54+J56+J58+J62+J60</f>
        <v>1727391.2</v>
      </c>
      <c r="K49" s="555">
        <f t="shared" si="47"/>
        <v>1727391.2</v>
      </c>
      <c r="L49" s="555">
        <f t="shared" si="47"/>
        <v>0</v>
      </c>
      <c r="M49" s="555">
        <f t="shared" si="47"/>
        <v>0</v>
      </c>
      <c r="N49" s="555">
        <f t="shared" si="47"/>
        <v>0</v>
      </c>
      <c r="O49" s="555">
        <f t="shared" si="47"/>
        <v>0</v>
      </c>
      <c r="P49" s="441"/>
      <c r="Q49" s="442"/>
      <c r="R49" s="189"/>
      <c r="S49" s="189"/>
      <c r="T49" s="189"/>
      <c r="U49" s="189"/>
      <c r="V49" s="189"/>
    </row>
    <row r="50" spans="1:22" ht="75.75" customHeight="1" thickTop="1" thickBot="1" x14ac:dyDescent="0.25">
      <c r="A50" s="193"/>
      <c r="B50" s="556" t="s">
        <v>1649</v>
      </c>
      <c r="C50" s="556" t="s">
        <v>1668</v>
      </c>
      <c r="D50" s="557" t="s">
        <v>1706</v>
      </c>
      <c r="E50" s="556" t="s">
        <v>374</v>
      </c>
      <c r="F50" s="556" t="s">
        <v>374</v>
      </c>
      <c r="G50" s="557" t="s">
        <v>1569</v>
      </c>
      <c r="H50" s="556" t="s">
        <v>1601</v>
      </c>
      <c r="I50" s="558">
        <v>7612478</v>
      </c>
      <c r="J50" s="558">
        <f>SUM(J51)</f>
        <v>100000</v>
      </c>
      <c r="K50" s="558">
        <f t="shared" ref="K50" si="48">SUM(K51)</f>
        <v>100000</v>
      </c>
      <c r="L50" s="558">
        <f t="shared" ref="L50" si="49">SUM(L51)</f>
        <v>0</v>
      </c>
      <c r="M50" s="558">
        <f t="shared" ref="M50" si="50">SUM(M51)</f>
        <v>0</v>
      </c>
      <c r="N50" s="558">
        <f t="shared" ref="N50" si="51">SUM(N51)</f>
        <v>0</v>
      </c>
      <c r="O50" s="558">
        <f t="shared" ref="O50:O62" si="52">SUM(O51)</f>
        <v>0</v>
      </c>
      <c r="P50" s="441"/>
      <c r="Q50" s="442"/>
      <c r="R50" s="189"/>
      <c r="S50" s="189"/>
      <c r="T50" s="189"/>
      <c r="U50" s="189"/>
      <c r="V50" s="189"/>
    </row>
    <row r="51" spans="1:22" ht="63" customHeight="1" thickTop="1" thickBot="1" x14ac:dyDescent="0.25">
      <c r="A51" s="193"/>
      <c r="B51" s="337" t="s">
        <v>374</v>
      </c>
      <c r="C51" s="337" t="s">
        <v>374</v>
      </c>
      <c r="D51" s="337" t="s">
        <v>374</v>
      </c>
      <c r="E51" s="337" t="s">
        <v>1385</v>
      </c>
      <c r="F51" s="337" t="s">
        <v>1571</v>
      </c>
      <c r="G51" s="511" t="s">
        <v>1569</v>
      </c>
      <c r="H51" s="337" t="s">
        <v>374</v>
      </c>
      <c r="I51" s="337" t="s">
        <v>374</v>
      </c>
      <c r="J51" s="513">
        <f>SUM(K51:O51)</f>
        <v>100000</v>
      </c>
      <c r="K51" s="514">
        <v>100000</v>
      </c>
      <c r="L51" s="190"/>
      <c r="M51" s="190"/>
      <c r="N51" s="190"/>
      <c r="O51" s="549"/>
      <c r="P51" s="441"/>
      <c r="Q51" s="442"/>
      <c r="R51" s="189"/>
      <c r="S51" s="189"/>
      <c r="T51" s="189"/>
      <c r="U51" s="189"/>
      <c r="V51" s="189"/>
    </row>
    <row r="52" spans="1:22" ht="63" customHeight="1" thickTop="1" thickBot="1" x14ac:dyDescent="0.25">
      <c r="A52" s="193"/>
      <c r="B52" s="556" t="s">
        <v>1650</v>
      </c>
      <c r="C52" s="556" t="s">
        <v>1669</v>
      </c>
      <c r="D52" s="556" t="s">
        <v>1707</v>
      </c>
      <c r="E52" s="556" t="s">
        <v>374</v>
      </c>
      <c r="F52" s="557" t="s">
        <v>374</v>
      </c>
      <c r="G52" s="556" t="s">
        <v>1569</v>
      </c>
      <c r="H52" s="556" t="s">
        <v>1601</v>
      </c>
      <c r="I52" s="558">
        <v>2685966</v>
      </c>
      <c r="J52" s="558">
        <f>SUM(J53)</f>
        <v>100000</v>
      </c>
      <c r="K52" s="558">
        <f t="shared" ref="K52" si="53">SUM(K53)</f>
        <v>100000</v>
      </c>
      <c r="L52" s="558">
        <f t="shared" ref="L52" si="54">SUM(L53)</f>
        <v>0</v>
      </c>
      <c r="M52" s="558">
        <f t="shared" ref="M52" si="55">SUM(M53)</f>
        <v>0</v>
      </c>
      <c r="N52" s="558">
        <f t="shared" ref="N52" si="56">SUM(N53)</f>
        <v>0</v>
      </c>
      <c r="O52" s="556">
        <f t="shared" si="52"/>
        <v>0</v>
      </c>
      <c r="P52" s="441"/>
      <c r="Q52" s="442"/>
      <c r="R52" s="189"/>
      <c r="S52" s="189"/>
      <c r="T52" s="189"/>
      <c r="U52" s="189"/>
      <c r="V52" s="189"/>
    </row>
    <row r="53" spans="1:22" ht="63" customHeight="1" thickTop="1" thickBot="1" x14ac:dyDescent="0.25">
      <c r="A53" s="193"/>
      <c r="B53" s="337" t="s">
        <v>374</v>
      </c>
      <c r="C53" s="337" t="s">
        <v>374</v>
      </c>
      <c r="D53" s="337" t="s">
        <v>374</v>
      </c>
      <c r="E53" s="337" t="s">
        <v>1385</v>
      </c>
      <c r="F53" s="337" t="s">
        <v>1571</v>
      </c>
      <c r="G53" s="511" t="s">
        <v>1569</v>
      </c>
      <c r="H53" s="337" t="s">
        <v>374</v>
      </c>
      <c r="I53" s="337" t="s">
        <v>374</v>
      </c>
      <c r="J53" s="513">
        <f>SUM(K53:O53)</f>
        <v>100000</v>
      </c>
      <c r="K53" s="514">
        <v>100000</v>
      </c>
      <c r="L53" s="190"/>
      <c r="M53" s="190"/>
      <c r="N53" s="190"/>
      <c r="O53" s="549"/>
      <c r="P53" s="441"/>
      <c r="Q53" s="442"/>
      <c r="R53" s="189"/>
      <c r="S53" s="189"/>
      <c r="T53" s="189"/>
      <c r="U53" s="189"/>
      <c r="V53" s="189"/>
    </row>
    <row r="54" spans="1:22" ht="63" customHeight="1" thickTop="1" thickBot="1" x14ac:dyDescent="0.25">
      <c r="A54" s="193"/>
      <c r="B54" s="556" t="s">
        <v>1651</v>
      </c>
      <c r="C54" s="556" t="s">
        <v>1670</v>
      </c>
      <c r="D54" s="558" t="s">
        <v>1708</v>
      </c>
      <c r="E54" s="556" t="s">
        <v>374</v>
      </c>
      <c r="F54" s="557" t="s">
        <v>374</v>
      </c>
      <c r="G54" s="556" t="s">
        <v>1569</v>
      </c>
      <c r="H54" s="556" t="s">
        <v>1601</v>
      </c>
      <c r="I54" s="558">
        <v>150000000</v>
      </c>
      <c r="J54" s="558">
        <f>SUM(J55)</f>
        <v>200000</v>
      </c>
      <c r="K54" s="558">
        <f t="shared" ref="K54" si="57">SUM(K55)</f>
        <v>200000</v>
      </c>
      <c r="L54" s="558">
        <f t="shared" ref="L54" si="58">SUM(L55)</f>
        <v>0</v>
      </c>
      <c r="M54" s="558">
        <f t="shared" ref="M54" si="59">SUM(M55)</f>
        <v>0</v>
      </c>
      <c r="N54" s="558">
        <f t="shared" ref="N54" si="60">SUM(N55)</f>
        <v>0</v>
      </c>
      <c r="O54" s="556">
        <f t="shared" ref="O54" si="61">SUM(O55)</f>
        <v>0</v>
      </c>
      <c r="P54" s="441"/>
      <c r="Q54" s="442"/>
      <c r="R54" s="189"/>
      <c r="S54" s="189"/>
      <c r="T54" s="189"/>
      <c r="U54" s="189"/>
      <c r="V54" s="189"/>
    </row>
    <row r="55" spans="1:22" ht="63" customHeight="1" thickTop="1" thickBot="1" x14ac:dyDescent="0.25">
      <c r="A55" s="193"/>
      <c r="B55" s="337" t="s">
        <v>374</v>
      </c>
      <c r="C55" s="337" t="s">
        <v>374</v>
      </c>
      <c r="D55" s="337" t="s">
        <v>374</v>
      </c>
      <c r="E55" s="337" t="s">
        <v>1385</v>
      </c>
      <c r="F55" s="337" t="s">
        <v>1571</v>
      </c>
      <c r="G55" s="511" t="s">
        <v>1569</v>
      </c>
      <c r="H55" s="337" t="s">
        <v>374</v>
      </c>
      <c r="I55" s="337" t="s">
        <v>374</v>
      </c>
      <c r="J55" s="513">
        <f>SUM(K55:O55)</f>
        <v>200000</v>
      </c>
      <c r="K55" s="514">
        <v>200000</v>
      </c>
      <c r="L55" s="190"/>
      <c r="M55" s="190"/>
      <c r="N55" s="190"/>
      <c r="O55" s="549"/>
      <c r="P55" s="441"/>
      <c r="Q55" s="442"/>
      <c r="R55" s="189"/>
      <c r="S55" s="189"/>
      <c r="T55" s="189"/>
      <c r="U55" s="189"/>
      <c r="V55" s="189"/>
    </row>
    <row r="56" spans="1:22" ht="70.5" customHeight="1" thickTop="1" thickBot="1" x14ac:dyDescent="0.25">
      <c r="A56" s="193"/>
      <c r="B56" s="556" t="s">
        <v>1652</v>
      </c>
      <c r="C56" s="556" t="s">
        <v>1672</v>
      </c>
      <c r="D56" s="558" t="s">
        <v>1709</v>
      </c>
      <c r="E56" s="556" t="s">
        <v>374</v>
      </c>
      <c r="F56" s="557" t="s">
        <v>374</v>
      </c>
      <c r="G56" s="556" t="s">
        <v>1569</v>
      </c>
      <c r="H56" s="556" t="s">
        <v>1601</v>
      </c>
      <c r="I56" s="558">
        <v>50000000</v>
      </c>
      <c r="J56" s="558">
        <f>SUM(J57)</f>
        <v>200000</v>
      </c>
      <c r="K56" s="558">
        <f t="shared" ref="K56" si="62">SUM(K57)</f>
        <v>200000</v>
      </c>
      <c r="L56" s="558">
        <f t="shared" ref="L56" si="63">SUM(L57)</f>
        <v>0</v>
      </c>
      <c r="M56" s="558">
        <f t="shared" ref="M56" si="64">SUM(M57)</f>
        <v>0</v>
      </c>
      <c r="N56" s="558">
        <f t="shared" ref="N56" si="65">SUM(N57)</f>
        <v>0</v>
      </c>
      <c r="O56" s="556">
        <f t="shared" ref="O56" si="66">SUM(O57)</f>
        <v>0</v>
      </c>
      <c r="P56" s="441"/>
      <c r="Q56" s="442"/>
      <c r="R56" s="189"/>
      <c r="S56" s="189"/>
      <c r="T56" s="189"/>
      <c r="U56" s="189"/>
      <c r="V56" s="189"/>
    </row>
    <row r="57" spans="1:22" ht="63" customHeight="1" thickTop="1" thickBot="1" x14ac:dyDescent="0.25">
      <c r="A57" s="193"/>
      <c r="B57" s="337" t="s">
        <v>374</v>
      </c>
      <c r="C57" s="337" t="s">
        <v>374</v>
      </c>
      <c r="D57" s="337" t="s">
        <v>374</v>
      </c>
      <c r="E57" s="337" t="s">
        <v>1385</v>
      </c>
      <c r="F57" s="337" t="s">
        <v>1571</v>
      </c>
      <c r="G57" s="511" t="s">
        <v>1569</v>
      </c>
      <c r="H57" s="337" t="s">
        <v>374</v>
      </c>
      <c r="I57" s="337" t="s">
        <v>374</v>
      </c>
      <c r="J57" s="513">
        <f>SUM(K57:O57)</f>
        <v>200000</v>
      </c>
      <c r="K57" s="514">
        <v>200000</v>
      </c>
      <c r="L57" s="190"/>
      <c r="M57" s="190"/>
      <c r="N57" s="190"/>
      <c r="O57" s="549"/>
      <c r="P57" s="441"/>
      <c r="Q57" s="442"/>
      <c r="R57" s="189"/>
      <c r="S57" s="189"/>
      <c r="T57" s="189"/>
      <c r="U57" s="189"/>
      <c r="V57" s="189"/>
    </row>
    <row r="58" spans="1:22" ht="66" customHeight="1" thickTop="1" thickBot="1" x14ac:dyDescent="0.25">
      <c r="A58" s="193"/>
      <c r="B58" s="556" t="s">
        <v>1653</v>
      </c>
      <c r="C58" s="556" t="s">
        <v>1673</v>
      </c>
      <c r="D58" s="558" t="s">
        <v>1710</v>
      </c>
      <c r="E58" s="556" t="s">
        <v>374</v>
      </c>
      <c r="F58" s="557" t="s">
        <v>374</v>
      </c>
      <c r="G58" s="556" t="s">
        <v>1569</v>
      </c>
      <c r="H58" s="556" t="s">
        <v>1601</v>
      </c>
      <c r="I58" s="558">
        <v>100000000</v>
      </c>
      <c r="J58" s="558">
        <f>SUM(J59)</f>
        <v>200000</v>
      </c>
      <c r="K58" s="558">
        <f t="shared" ref="K58" si="67">SUM(K59)</f>
        <v>200000</v>
      </c>
      <c r="L58" s="558">
        <f t="shared" ref="L58" si="68">SUM(L59)</f>
        <v>0</v>
      </c>
      <c r="M58" s="558">
        <f t="shared" ref="M58" si="69">SUM(M59)</f>
        <v>0</v>
      </c>
      <c r="N58" s="558">
        <f t="shared" ref="N58" si="70">SUM(N59)</f>
        <v>0</v>
      </c>
      <c r="O58" s="556">
        <f t="shared" ref="O58" si="71">SUM(O59)</f>
        <v>0</v>
      </c>
      <c r="P58" s="441"/>
      <c r="Q58" s="442"/>
      <c r="R58" s="189"/>
      <c r="S58" s="189"/>
      <c r="T58" s="189"/>
      <c r="U58" s="189"/>
      <c r="V58" s="189"/>
    </row>
    <row r="59" spans="1:22" ht="63" customHeight="1" thickTop="1" thickBot="1" x14ac:dyDescent="0.25">
      <c r="A59" s="193"/>
      <c r="B59" s="337" t="s">
        <v>374</v>
      </c>
      <c r="C59" s="337" t="s">
        <v>374</v>
      </c>
      <c r="D59" s="337" t="s">
        <v>374</v>
      </c>
      <c r="E59" s="337" t="s">
        <v>1385</v>
      </c>
      <c r="F59" s="337" t="s">
        <v>1571</v>
      </c>
      <c r="G59" s="511" t="s">
        <v>1569</v>
      </c>
      <c r="H59" s="337" t="s">
        <v>374</v>
      </c>
      <c r="I59" s="337" t="s">
        <v>374</v>
      </c>
      <c r="J59" s="513">
        <f>SUM(K59:O59)</f>
        <v>200000</v>
      </c>
      <c r="K59" s="514">
        <v>200000</v>
      </c>
      <c r="L59" s="190"/>
      <c r="M59" s="190"/>
      <c r="N59" s="190"/>
      <c r="O59" s="549"/>
      <c r="P59" s="441"/>
      <c r="Q59" s="442"/>
      <c r="R59" s="189"/>
      <c r="S59" s="189"/>
      <c r="T59" s="189"/>
      <c r="U59" s="189"/>
      <c r="V59" s="189"/>
    </row>
    <row r="60" spans="1:22" ht="63" customHeight="1" thickTop="1" thickBot="1" x14ac:dyDescent="0.25">
      <c r="A60" s="193"/>
      <c r="B60" s="556" t="s">
        <v>1654</v>
      </c>
      <c r="C60" s="556" t="s">
        <v>1675</v>
      </c>
      <c r="D60" s="557" t="s">
        <v>1712</v>
      </c>
      <c r="E60" s="556" t="s">
        <v>374</v>
      </c>
      <c r="F60" s="556" t="s">
        <v>374</v>
      </c>
      <c r="G60" s="557" t="s">
        <v>1569</v>
      </c>
      <c r="H60" s="556" t="s">
        <v>1601</v>
      </c>
      <c r="I60" s="558">
        <v>26210000</v>
      </c>
      <c r="J60" s="558">
        <f>SUM(J61)</f>
        <v>427391.2</v>
      </c>
      <c r="K60" s="558">
        <f t="shared" ref="K60" si="72">SUM(K61)</f>
        <v>427391.2</v>
      </c>
      <c r="L60" s="558">
        <f t="shared" ref="L60" si="73">SUM(L61)</f>
        <v>0</v>
      </c>
      <c r="M60" s="558">
        <f t="shared" ref="M60" si="74">SUM(M61)</f>
        <v>0</v>
      </c>
      <c r="N60" s="558">
        <f t="shared" ref="N60" si="75">SUM(N61)</f>
        <v>0</v>
      </c>
      <c r="O60" s="558">
        <f t="shared" ref="O60" si="76">SUM(O61)</f>
        <v>0</v>
      </c>
      <c r="P60" s="441"/>
      <c r="Q60" s="442"/>
      <c r="R60" s="189"/>
      <c r="S60" s="189"/>
      <c r="T60" s="189"/>
      <c r="U60" s="189"/>
      <c r="V60" s="189"/>
    </row>
    <row r="61" spans="1:22" ht="63" customHeight="1" thickTop="1" thickBot="1" x14ac:dyDescent="0.25">
      <c r="A61" s="193"/>
      <c r="B61" s="337" t="s">
        <v>374</v>
      </c>
      <c r="C61" s="511" t="s">
        <v>374</v>
      </c>
      <c r="D61" s="511" t="s">
        <v>374</v>
      </c>
      <c r="E61" s="337" t="s">
        <v>1385</v>
      </c>
      <c r="F61" s="337" t="s">
        <v>1571</v>
      </c>
      <c r="G61" s="511" t="s">
        <v>1569</v>
      </c>
      <c r="H61" s="511" t="s">
        <v>374</v>
      </c>
      <c r="I61" s="511" t="s">
        <v>374</v>
      </c>
      <c r="J61" s="513">
        <f>SUM(K61:O61)</f>
        <v>427391.2</v>
      </c>
      <c r="K61" s="514">
        <v>427391.2</v>
      </c>
      <c r="L61" s="514"/>
      <c r="M61" s="514"/>
      <c r="N61" s="514"/>
      <c r="O61" s="551"/>
      <c r="P61" s="441"/>
      <c r="Q61" s="442"/>
      <c r="R61" s="189"/>
      <c r="S61" s="189"/>
      <c r="T61" s="189"/>
      <c r="U61" s="189"/>
      <c r="V61" s="189"/>
    </row>
    <row r="62" spans="1:22" ht="98.25" customHeight="1" thickTop="1" thickBot="1" x14ac:dyDescent="0.25">
      <c r="A62" s="193"/>
      <c r="B62" s="556" t="s">
        <v>1736</v>
      </c>
      <c r="C62" s="556" t="s">
        <v>1695</v>
      </c>
      <c r="D62" s="557" t="s">
        <v>1724</v>
      </c>
      <c r="E62" s="556" t="s">
        <v>374</v>
      </c>
      <c r="F62" s="557" t="s">
        <v>374</v>
      </c>
      <c r="G62" s="556" t="s">
        <v>1570</v>
      </c>
      <c r="H62" s="558" t="s">
        <v>1549</v>
      </c>
      <c r="I62" s="558">
        <v>2000000</v>
      </c>
      <c r="J62" s="558">
        <f>SUM(J63)</f>
        <v>500000</v>
      </c>
      <c r="K62" s="558">
        <f t="shared" ref="K62" si="77">SUM(K63)</f>
        <v>500000</v>
      </c>
      <c r="L62" s="558">
        <f t="shared" ref="L62" si="78">SUM(L63)</f>
        <v>0</v>
      </c>
      <c r="M62" s="558">
        <f t="shared" ref="M62" si="79">SUM(M63)</f>
        <v>0</v>
      </c>
      <c r="N62" s="558">
        <f t="shared" ref="N62" si="80">SUM(N63)</f>
        <v>0</v>
      </c>
      <c r="O62" s="556">
        <f t="shared" si="52"/>
        <v>0</v>
      </c>
      <c r="P62" s="441"/>
      <c r="Q62" s="442"/>
      <c r="R62" s="189"/>
      <c r="S62" s="189"/>
      <c r="T62" s="189"/>
      <c r="U62" s="189"/>
      <c r="V62" s="189"/>
    </row>
    <row r="63" spans="1:22" ht="58.5" customHeight="1" thickTop="1" thickBot="1" x14ac:dyDescent="0.25">
      <c r="A63" s="193"/>
      <c r="B63" s="337" t="s">
        <v>374</v>
      </c>
      <c r="C63" s="337" t="s">
        <v>374</v>
      </c>
      <c r="D63" s="337" t="s">
        <v>374</v>
      </c>
      <c r="E63" s="337" t="s">
        <v>1566</v>
      </c>
      <c r="F63" s="337" t="s">
        <v>1567</v>
      </c>
      <c r="G63" s="511" t="s">
        <v>1570</v>
      </c>
      <c r="H63" s="337" t="s">
        <v>374</v>
      </c>
      <c r="I63" s="337" t="s">
        <v>374</v>
      </c>
      <c r="J63" s="513">
        <f>SUM(K63:O63)</f>
        <v>500000</v>
      </c>
      <c r="K63" s="514">
        <v>500000</v>
      </c>
      <c r="L63" s="190"/>
      <c r="M63" s="190"/>
      <c r="N63" s="190"/>
      <c r="O63" s="191"/>
      <c r="P63" s="441"/>
      <c r="Q63" s="442"/>
      <c r="R63" s="189"/>
      <c r="S63" s="189"/>
      <c r="T63" s="189"/>
      <c r="U63" s="189"/>
      <c r="V63" s="189"/>
    </row>
    <row r="64" spans="1:22" ht="48.75" customHeight="1" thickTop="1" thickBot="1" x14ac:dyDescent="0.25">
      <c r="A64" s="193"/>
      <c r="B64" s="554" t="s">
        <v>387</v>
      </c>
      <c r="C64" s="554" t="s">
        <v>1572</v>
      </c>
      <c r="D64" s="554" t="s">
        <v>374</v>
      </c>
      <c r="E64" s="554" t="s">
        <v>374</v>
      </c>
      <c r="F64" s="554" t="s">
        <v>374</v>
      </c>
      <c r="G64" s="554" t="s">
        <v>1573</v>
      </c>
      <c r="H64" s="554" t="s">
        <v>374</v>
      </c>
      <c r="I64" s="554" t="s">
        <v>374</v>
      </c>
      <c r="J64" s="555">
        <f t="shared" ref="J64:O64" si="81">J65+J67+J69</f>
        <v>3500000</v>
      </c>
      <c r="K64" s="555">
        <f t="shared" si="81"/>
        <v>3500000</v>
      </c>
      <c r="L64" s="555">
        <f t="shared" si="81"/>
        <v>0</v>
      </c>
      <c r="M64" s="555">
        <f t="shared" si="81"/>
        <v>0</v>
      </c>
      <c r="N64" s="555">
        <f t="shared" si="81"/>
        <v>0</v>
      </c>
      <c r="O64" s="555">
        <f t="shared" si="81"/>
        <v>0</v>
      </c>
      <c r="P64" s="441"/>
      <c r="Q64" s="442"/>
      <c r="R64" s="189"/>
      <c r="S64" s="189"/>
      <c r="T64" s="189"/>
      <c r="U64" s="189"/>
      <c r="V64" s="189"/>
    </row>
    <row r="65" spans="1:22" ht="78.75" customHeight="1" thickTop="1" thickBot="1" x14ac:dyDescent="0.25">
      <c r="A65" s="193"/>
      <c r="B65" s="556" t="s">
        <v>1655</v>
      </c>
      <c r="C65" s="556" t="s">
        <v>1674</v>
      </c>
      <c r="D65" s="557" t="s">
        <v>1711</v>
      </c>
      <c r="E65" s="556" t="s">
        <v>374</v>
      </c>
      <c r="F65" s="556" t="s">
        <v>374</v>
      </c>
      <c r="G65" s="557" t="s">
        <v>1569</v>
      </c>
      <c r="H65" s="556" t="s">
        <v>1601</v>
      </c>
      <c r="I65" s="558">
        <v>40000000</v>
      </c>
      <c r="J65" s="558">
        <f>SUM(J66)</f>
        <v>200000</v>
      </c>
      <c r="K65" s="558">
        <f t="shared" ref="K65" si="82">SUM(K66)</f>
        <v>200000</v>
      </c>
      <c r="L65" s="558">
        <f t="shared" ref="L65" si="83">SUM(L66)</f>
        <v>0</v>
      </c>
      <c r="M65" s="558">
        <f t="shared" ref="M65" si="84">SUM(M66)</f>
        <v>0</v>
      </c>
      <c r="N65" s="558">
        <f t="shared" ref="N65" si="85">SUM(N66)</f>
        <v>0</v>
      </c>
      <c r="O65" s="558">
        <f t="shared" ref="O65" si="86">SUM(O66)</f>
        <v>0</v>
      </c>
      <c r="P65" s="441"/>
      <c r="Q65" s="442"/>
      <c r="R65" s="189"/>
      <c r="S65" s="189"/>
      <c r="T65" s="189"/>
      <c r="U65" s="189"/>
      <c r="V65" s="189"/>
    </row>
    <row r="66" spans="1:22" ht="78.75" customHeight="1" thickTop="1" thickBot="1" x14ac:dyDescent="0.25">
      <c r="A66" s="193"/>
      <c r="B66" s="337" t="s">
        <v>374</v>
      </c>
      <c r="C66" s="511" t="s">
        <v>374</v>
      </c>
      <c r="D66" s="511" t="s">
        <v>374</v>
      </c>
      <c r="E66" s="511" t="s">
        <v>1385</v>
      </c>
      <c r="F66" s="511" t="s">
        <v>1571</v>
      </c>
      <c r="G66" s="511" t="s">
        <v>1569</v>
      </c>
      <c r="H66" s="511" t="s">
        <v>374</v>
      </c>
      <c r="I66" s="511" t="s">
        <v>374</v>
      </c>
      <c r="J66" s="513">
        <f>SUM(K66:O66)</f>
        <v>200000</v>
      </c>
      <c r="K66" s="514">
        <v>200000</v>
      </c>
      <c r="L66" s="514"/>
      <c r="M66" s="514"/>
      <c r="N66" s="514"/>
      <c r="O66" s="551"/>
      <c r="P66" s="441"/>
      <c r="Q66" s="442"/>
      <c r="R66" s="189"/>
      <c r="S66" s="189"/>
      <c r="T66" s="189"/>
      <c r="U66" s="189"/>
      <c r="V66" s="189"/>
    </row>
    <row r="67" spans="1:22" ht="78.75" customHeight="1" thickTop="1" thickBot="1" x14ac:dyDescent="0.25">
      <c r="A67" s="193"/>
      <c r="B67" s="556" t="s">
        <v>1656</v>
      </c>
      <c r="C67" s="556" t="s">
        <v>1685</v>
      </c>
      <c r="D67" s="556" t="s">
        <v>1713</v>
      </c>
      <c r="E67" s="556" t="s">
        <v>374</v>
      </c>
      <c r="F67" s="556" t="s">
        <v>374</v>
      </c>
      <c r="G67" s="557" t="s">
        <v>1578</v>
      </c>
      <c r="H67" s="556" t="s">
        <v>1601</v>
      </c>
      <c r="I67" s="558">
        <v>84479280</v>
      </c>
      <c r="J67" s="558">
        <f>SUM(J68)</f>
        <v>300000</v>
      </c>
      <c r="K67" s="558">
        <f t="shared" ref="K67:K69" si="87">SUM(K68)</f>
        <v>300000</v>
      </c>
      <c r="L67" s="558">
        <f t="shared" ref="L67:L69" si="88">SUM(L68)</f>
        <v>0</v>
      </c>
      <c r="M67" s="558">
        <f t="shared" ref="M67:M69" si="89">SUM(M68)</f>
        <v>0</v>
      </c>
      <c r="N67" s="558">
        <f t="shared" ref="N67:N69" si="90">SUM(N68)</f>
        <v>0</v>
      </c>
      <c r="O67" s="558">
        <f t="shared" ref="O67:O69" si="91">SUM(O68)</f>
        <v>0</v>
      </c>
      <c r="P67" s="441"/>
      <c r="Q67" s="442"/>
      <c r="R67" s="189"/>
      <c r="S67" s="189"/>
      <c r="T67" s="189"/>
      <c r="U67" s="189"/>
      <c r="V67" s="189"/>
    </row>
    <row r="68" spans="1:22" ht="78.75" customHeight="1" thickTop="1" thickBot="1" x14ac:dyDescent="0.25">
      <c r="A68" s="193"/>
      <c r="B68" s="337" t="s">
        <v>374</v>
      </c>
      <c r="C68" s="337" t="s">
        <v>374</v>
      </c>
      <c r="D68" s="337" t="s">
        <v>374</v>
      </c>
      <c r="E68" s="337" t="s">
        <v>309</v>
      </c>
      <c r="F68" s="337" t="s">
        <v>1567</v>
      </c>
      <c r="G68" s="337" t="s">
        <v>1578</v>
      </c>
      <c r="H68" s="337" t="s">
        <v>374</v>
      </c>
      <c r="I68" s="337" t="s">
        <v>374</v>
      </c>
      <c r="J68" s="562">
        <f>SUM(K68:O68)</f>
        <v>300000</v>
      </c>
      <c r="K68" s="544">
        <v>300000</v>
      </c>
      <c r="L68" s="190"/>
      <c r="M68" s="190"/>
      <c r="N68" s="190"/>
      <c r="O68" s="550"/>
      <c r="P68" s="441"/>
      <c r="Q68" s="442"/>
      <c r="R68" s="189"/>
      <c r="S68" s="189"/>
      <c r="T68" s="189"/>
      <c r="U68" s="189"/>
      <c r="V68" s="189"/>
    </row>
    <row r="69" spans="1:22" ht="109.5" customHeight="1" thickTop="1" thickBot="1" x14ac:dyDescent="0.25">
      <c r="A69" s="193"/>
      <c r="B69" s="556" t="s">
        <v>1657</v>
      </c>
      <c r="C69" s="556" t="s">
        <v>1676</v>
      </c>
      <c r="D69" s="557" t="s">
        <v>1714</v>
      </c>
      <c r="E69" s="556" t="s">
        <v>374</v>
      </c>
      <c r="F69" s="556" t="s">
        <v>374</v>
      </c>
      <c r="G69" s="557" t="s">
        <v>1573</v>
      </c>
      <c r="H69" s="556" t="s">
        <v>1608</v>
      </c>
      <c r="I69" s="558">
        <v>91420733</v>
      </c>
      <c r="J69" s="558">
        <f>SUM(J70)</f>
        <v>3000000</v>
      </c>
      <c r="K69" s="558">
        <f t="shared" si="87"/>
        <v>3000000</v>
      </c>
      <c r="L69" s="558">
        <f t="shared" si="88"/>
        <v>0</v>
      </c>
      <c r="M69" s="558">
        <f t="shared" si="89"/>
        <v>0</v>
      </c>
      <c r="N69" s="558">
        <f t="shared" si="90"/>
        <v>0</v>
      </c>
      <c r="O69" s="558">
        <f t="shared" si="91"/>
        <v>0</v>
      </c>
      <c r="P69" s="441"/>
      <c r="Q69" s="442"/>
      <c r="R69" s="189"/>
      <c r="S69" s="189"/>
      <c r="T69" s="189"/>
      <c r="U69" s="189"/>
      <c r="V69" s="189"/>
    </row>
    <row r="70" spans="1:22" ht="78.75" customHeight="1" thickTop="1" thickBot="1" x14ac:dyDescent="0.25">
      <c r="A70" s="193"/>
      <c r="B70" s="337" t="s">
        <v>374</v>
      </c>
      <c r="C70" s="337" t="s">
        <v>374</v>
      </c>
      <c r="D70" s="337" t="s">
        <v>374</v>
      </c>
      <c r="E70" s="337" t="s">
        <v>1607</v>
      </c>
      <c r="F70" s="337" t="s">
        <v>1567</v>
      </c>
      <c r="G70" s="511" t="s">
        <v>1573</v>
      </c>
      <c r="H70" s="337" t="s">
        <v>374</v>
      </c>
      <c r="I70" s="337" t="s">
        <v>374</v>
      </c>
      <c r="J70" s="562">
        <f>SUM(K70:O70)</f>
        <v>3000000</v>
      </c>
      <c r="K70" s="544">
        <v>3000000</v>
      </c>
      <c r="L70" s="190"/>
      <c r="M70" s="190"/>
      <c r="N70" s="190"/>
      <c r="O70" s="550"/>
      <c r="P70" s="441"/>
      <c r="Q70" s="442"/>
      <c r="R70" s="189"/>
      <c r="S70" s="189"/>
      <c r="T70" s="189"/>
      <c r="U70" s="189"/>
      <c r="V70" s="189"/>
    </row>
    <row r="71" spans="1:22" ht="78.75" customHeight="1" thickTop="1" thickBot="1" x14ac:dyDescent="0.25">
      <c r="A71" s="193"/>
      <c r="B71" s="554" t="s">
        <v>388</v>
      </c>
      <c r="C71" s="554" t="s">
        <v>763</v>
      </c>
      <c r="D71" s="554" t="s">
        <v>374</v>
      </c>
      <c r="E71" s="554" t="s">
        <v>374</v>
      </c>
      <c r="F71" s="554" t="s">
        <v>374</v>
      </c>
      <c r="G71" s="554" t="s">
        <v>1578</v>
      </c>
      <c r="H71" s="554" t="s">
        <v>374</v>
      </c>
      <c r="I71" s="554" t="s">
        <v>374</v>
      </c>
      <c r="J71" s="555">
        <f t="shared" ref="J71:O71" si="92">J72+J74+J76</f>
        <v>20600000</v>
      </c>
      <c r="K71" s="555">
        <f t="shared" si="92"/>
        <v>20600000</v>
      </c>
      <c r="L71" s="555">
        <f t="shared" si="92"/>
        <v>0</v>
      </c>
      <c r="M71" s="555">
        <f t="shared" si="92"/>
        <v>0</v>
      </c>
      <c r="N71" s="555">
        <f t="shared" si="92"/>
        <v>0</v>
      </c>
      <c r="O71" s="555">
        <f t="shared" si="92"/>
        <v>0</v>
      </c>
      <c r="P71" s="441"/>
      <c r="Q71" s="442"/>
      <c r="R71" s="189"/>
      <c r="S71" s="189"/>
      <c r="T71" s="189"/>
      <c r="U71" s="189"/>
      <c r="V71" s="189"/>
    </row>
    <row r="72" spans="1:22" ht="78.75" customHeight="1" thickTop="1" thickBot="1" x14ac:dyDescent="0.25">
      <c r="A72" s="193"/>
      <c r="B72" s="556" t="s">
        <v>1658</v>
      </c>
      <c r="C72" s="556" t="s">
        <v>1579</v>
      </c>
      <c r="D72" s="556" t="s">
        <v>1715</v>
      </c>
      <c r="E72" s="556" t="s">
        <v>374</v>
      </c>
      <c r="F72" s="556" t="s">
        <v>374</v>
      </c>
      <c r="G72" s="557" t="s">
        <v>1569</v>
      </c>
      <c r="H72" s="556" t="s">
        <v>1577</v>
      </c>
      <c r="I72" s="558">
        <v>127379406</v>
      </c>
      <c r="J72" s="558">
        <f>SUM(J73)</f>
        <v>10000000</v>
      </c>
      <c r="K72" s="558">
        <f t="shared" ref="K72" si="93">SUM(K73)</f>
        <v>10000000</v>
      </c>
      <c r="L72" s="558">
        <f t="shared" ref="L72" si="94">SUM(L73)</f>
        <v>0</v>
      </c>
      <c r="M72" s="558">
        <f t="shared" ref="M72" si="95">SUM(M73)</f>
        <v>0</v>
      </c>
      <c r="N72" s="558">
        <f t="shared" ref="N72" si="96">SUM(N73)</f>
        <v>0</v>
      </c>
      <c r="O72" s="558">
        <f t="shared" ref="O72" si="97">SUM(O73)</f>
        <v>0</v>
      </c>
      <c r="P72" s="441"/>
      <c r="Q72" s="442"/>
      <c r="R72" s="189"/>
      <c r="S72" s="189"/>
      <c r="T72" s="189"/>
      <c r="U72" s="189"/>
      <c r="V72" s="189"/>
    </row>
    <row r="73" spans="1:22" ht="78.75" customHeight="1" thickTop="1" thickBot="1" x14ac:dyDescent="0.25">
      <c r="A73" s="193"/>
      <c r="B73" s="337" t="s">
        <v>374</v>
      </c>
      <c r="C73" s="511" t="s">
        <v>374</v>
      </c>
      <c r="D73" s="511" t="s">
        <v>374</v>
      </c>
      <c r="E73" s="511" t="s">
        <v>1575</v>
      </c>
      <c r="F73" s="511" t="s">
        <v>1574</v>
      </c>
      <c r="G73" s="511" t="s">
        <v>1569</v>
      </c>
      <c r="H73" s="511" t="s">
        <v>374</v>
      </c>
      <c r="I73" s="511" t="s">
        <v>374</v>
      </c>
      <c r="J73" s="513">
        <f>SUM(K73:O73)</f>
        <v>10000000</v>
      </c>
      <c r="K73" s="514">
        <v>10000000</v>
      </c>
      <c r="L73" s="514"/>
      <c r="M73" s="514"/>
      <c r="N73" s="514"/>
      <c r="O73" s="551"/>
      <c r="P73" s="441"/>
      <c r="Q73" s="442"/>
      <c r="R73" s="189"/>
      <c r="S73" s="189"/>
      <c r="T73" s="189"/>
      <c r="U73" s="189"/>
      <c r="V73" s="189"/>
    </row>
    <row r="74" spans="1:22" ht="78.75" customHeight="1" thickTop="1" thickBot="1" x14ac:dyDescent="0.25">
      <c r="A74" s="193"/>
      <c r="B74" s="556" t="s">
        <v>1659</v>
      </c>
      <c r="C74" s="556" t="s">
        <v>1686</v>
      </c>
      <c r="D74" s="556" t="s">
        <v>1716</v>
      </c>
      <c r="E74" s="556" t="s">
        <v>374</v>
      </c>
      <c r="F74" s="556" t="s">
        <v>374</v>
      </c>
      <c r="G74" s="557" t="s">
        <v>1578</v>
      </c>
      <c r="H74" s="556" t="s">
        <v>1599</v>
      </c>
      <c r="I74" s="558">
        <v>174899368</v>
      </c>
      <c r="J74" s="558">
        <f>SUM(J75)</f>
        <v>10000000</v>
      </c>
      <c r="K74" s="558">
        <f t="shared" ref="K74" si="98">SUM(K75)</f>
        <v>10000000</v>
      </c>
      <c r="L74" s="558">
        <f t="shared" ref="L74" si="99">SUM(L75)</f>
        <v>0</v>
      </c>
      <c r="M74" s="558">
        <f t="shared" ref="M74" si="100">SUM(M75)</f>
        <v>0</v>
      </c>
      <c r="N74" s="558">
        <f t="shared" ref="N74" si="101">SUM(N75)</f>
        <v>0</v>
      </c>
      <c r="O74" s="558">
        <f t="shared" ref="O74" si="102">SUM(O75)</f>
        <v>0</v>
      </c>
      <c r="P74" s="441"/>
      <c r="Q74" s="442"/>
      <c r="R74" s="189"/>
      <c r="S74" s="189"/>
      <c r="T74" s="189"/>
      <c r="U74" s="189"/>
      <c r="V74" s="189"/>
    </row>
    <row r="75" spans="1:22" ht="78.75" customHeight="1" thickTop="1" thickBot="1" x14ac:dyDescent="0.25">
      <c r="A75" s="193"/>
      <c r="B75" s="337" t="s">
        <v>374</v>
      </c>
      <c r="C75" s="337" t="s">
        <v>374</v>
      </c>
      <c r="D75" s="337" t="s">
        <v>374</v>
      </c>
      <c r="E75" s="337" t="s">
        <v>309</v>
      </c>
      <c r="F75" s="511" t="s">
        <v>1567</v>
      </c>
      <c r="G75" s="511" t="s">
        <v>1578</v>
      </c>
      <c r="H75" s="337" t="s">
        <v>374</v>
      </c>
      <c r="I75" s="337" t="s">
        <v>374</v>
      </c>
      <c r="J75" s="562">
        <f>SUM(K75:O75)</f>
        <v>10000000</v>
      </c>
      <c r="K75" s="544">
        <v>10000000</v>
      </c>
      <c r="L75" s="544"/>
      <c r="M75" s="544"/>
      <c r="N75" s="544"/>
      <c r="O75" s="549"/>
      <c r="P75" s="441"/>
      <c r="Q75" s="442"/>
      <c r="R75" s="189"/>
      <c r="S75" s="189"/>
      <c r="T75" s="189"/>
      <c r="U75" s="189"/>
      <c r="V75" s="189"/>
    </row>
    <row r="76" spans="1:22" ht="78.75" customHeight="1" thickTop="1" thickBot="1" x14ac:dyDescent="0.25">
      <c r="A76" s="193"/>
      <c r="B76" s="556" t="s">
        <v>1660</v>
      </c>
      <c r="C76" s="556" t="s">
        <v>1687</v>
      </c>
      <c r="D76" s="556" t="s">
        <v>1717</v>
      </c>
      <c r="E76" s="556" t="s">
        <v>374</v>
      </c>
      <c r="F76" s="556" t="s">
        <v>374</v>
      </c>
      <c r="G76" s="557" t="s">
        <v>1578</v>
      </c>
      <c r="H76" s="556" t="s">
        <v>1600</v>
      </c>
      <c r="I76" s="558">
        <v>192098922</v>
      </c>
      <c r="J76" s="558">
        <f>SUM(J77)</f>
        <v>600000</v>
      </c>
      <c r="K76" s="558">
        <f t="shared" ref="K76" si="103">SUM(K77)</f>
        <v>600000</v>
      </c>
      <c r="L76" s="558">
        <f t="shared" ref="L76" si="104">SUM(L77)</f>
        <v>0</v>
      </c>
      <c r="M76" s="558">
        <f t="shared" ref="M76" si="105">SUM(M77)</f>
        <v>0</v>
      </c>
      <c r="N76" s="558">
        <f t="shared" ref="N76" si="106">SUM(N77)</f>
        <v>0</v>
      </c>
      <c r="O76" s="558">
        <f t="shared" ref="O76" si="107">SUM(O77)</f>
        <v>0</v>
      </c>
      <c r="P76" s="441"/>
      <c r="Q76" s="442"/>
      <c r="R76" s="189"/>
      <c r="S76" s="189"/>
      <c r="T76" s="189"/>
      <c r="U76" s="189"/>
      <c r="V76" s="189"/>
    </row>
    <row r="77" spans="1:22" ht="78.75" customHeight="1" thickTop="1" thickBot="1" x14ac:dyDescent="0.25">
      <c r="A77" s="193"/>
      <c r="B77" s="337" t="s">
        <v>374</v>
      </c>
      <c r="C77" s="337" t="s">
        <v>374</v>
      </c>
      <c r="D77" s="337" t="s">
        <v>374</v>
      </c>
      <c r="E77" s="337" t="s">
        <v>309</v>
      </c>
      <c r="F77" s="337" t="s">
        <v>1567</v>
      </c>
      <c r="G77" s="337" t="s">
        <v>1578</v>
      </c>
      <c r="H77" s="337" t="s">
        <v>374</v>
      </c>
      <c r="I77" s="337" t="s">
        <v>374</v>
      </c>
      <c r="J77" s="562">
        <f>SUM(K77:O77)</f>
        <v>600000</v>
      </c>
      <c r="K77" s="544">
        <v>600000</v>
      </c>
      <c r="L77" s="190"/>
      <c r="M77" s="190"/>
      <c r="N77" s="190"/>
      <c r="O77" s="550"/>
      <c r="P77" s="441"/>
      <c r="Q77" s="442"/>
      <c r="R77" s="189"/>
      <c r="S77" s="189"/>
      <c r="T77" s="189"/>
      <c r="U77" s="189"/>
      <c r="V77" s="189"/>
    </row>
    <row r="78" spans="1:22" ht="78.75" customHeight="1" thickTop="1" thickBot="1" x14ac:dyDescent="0.25">
      <c r="A78" s="193"/>
      <c r="B78" s="554" t="s">
        <v>389</v>
      </c>
      <c r="C78" s="554" t="s">
        <v>1585</v>
      </c>
      <c r="D78" s="554" t="s">
        <v>374</v>
      </c>
      <c r="E78" s="554" t="s">
        <v>374</v>
      </c>
      <c r="F78" s="554" t="s">
        <v>374</v>
      </c>
      <c r="G78" s="554" t="s">
        <v>1548</v>
      </c>
      <c r="H78" s="554" t="s">
        <v>374</v>
      </c>
      <c r="I78" s="554" t="s">
        <v>374</v>
      </c>
      <c r="J78" s="555">
        <f t="shared" ref="J78:O78" si="108">J81+J79</f>
        <v>17000000</v>
      </c>
      <c r="K78" s="555">
        <f t="shared" si="108"/>
        <v>17000000</v>
      </c>
      <c r="L78" s="555">
        <f t="shared" si="108"/>
        <v>0</v>
      </c>
      <c r="M78" s="555">
        <f t="shared" si="108"/>
        <v>0</v>
      </c>
      <c r="N78" s="555">
        <f t="shared" si="108"/>
        <v>0</v>
      </c>
      <c r="O78" s="555">
        <f t="shared" si="108"/>
        <v>0</v>
      </c>
      <c r="P78" s="441"/>
      <c r="Q78" s="442"/>
      <c r="R78" s="189"/>
      <c r="S78" s="189"/>
      <c r="T78" s="189"/>
      <c r="U78" s="189"/>
      <c r="V78" s="189"/>
    </row>
    <row r="79" spans="1:22" ht="78.75" customHeight="1" thickTop="1" thickBot="1" x14ac:dyDescent="0.25">
      <c r="A79" s="193"/>
      <c r="B79" s="556" t="s">
        <v>1661</v>
      </c>
      <c r="C79" s="556" t="s">
        <v>1665</v>
      </c>
      <c r="D79" s="557" t="s">
        <v>1718</v>
      </c>
      <c r="E79" s="556" t="s">
        <v>374</v>
      </c>
      <c r="F79" s="556" t="s">
        <v>374</v>
      </c>
      <c r="G79" s="557" t="s">
        <v>1583</v>
      </c>
      <c r="H79" s="556" t="s">
        <v>1628</v>
      </c>
      <c r="I79" s="558">
        <v>34029512</v>
      </c>
      <c r="J79" s="558">
        <f>SUM(J80)</f>
        <v>7000000</v>
      </c>
      <c r="K79" s="558">
        <f t="shared" ref="K79:K81" si="109">SUM(K80)</f>
        <v>7000000</v>
      </c>
      <c r="L79" s="558">
        <f t="shared" ref="L79:L81" si="110">SUM(L80)</f>
        <v>0</v>
      </c>
      <c r="M79" s="558">
        <f t="shared" ref="M79:M81" si="111">SUM(M80)</f>
        <v>0</v>
      </c>
      <c r="N79" s="558">
        <f t="shared" ref="N79:N81" si="112">SUM(N80)</f>
        <v>0</v>
      </c>
      <c r="O79" s="558">
        <f t="shared" ref="O79:O81" si="113">SUM(O80)</f>
        <v>0</v>
      </c>
      <c r="P79" s="441"/>
      <c r="Q79" s="442"/>
      <c r="R79" s="189"/>
      <c r="S79" s="189"/>
      <c r="T79" s="189"/>
      <c r="U79" s="189"/>
      <c r="V79" s="189"/>
    </row>
    <row r="80" spans="1:22" ht="78.75" customHeight="1" thickTop="1" thickBot="1" x14ac:dyDescent="0.25">
      <c r="A80" s="193"/>
      <c r="B80" s="337" t="s">
        <v>374</v>
      </c>
      <c r="C80" s="511" t="s">
        <v>374</v>
      </c>
      <c r="D80" s="511" t="s">
        <v>374</v>
      </c>
      <c r="E80" s="511" t="s">
        <v>1402</v>
      </c>
      <c r="F80" s="337" t="s">
        <v>1580</v>
      </c>
      <c r="G80" s="511" t="s">
        <v>1583</v>
      </c>
      <c r="H80" s="511" t="s">
        <v>374</v>
      </c>
      <c r="I80" s="511" t="s">
        <v>374</v>
      </c>
      <c r="J80" s="513">
        <f>SUM(K80:O80)</f>
        <v>7000000</v>
      </c>
      <c r="K80" s="514">
        <v>7000000</v>
      </c>
      <c r="L80" s="514"/>
      <c r="M80" s="514"/>
      <c r="N80" s="514"/>
      <c r="O80" s="551"/>
      <c r="P80" s="441"/>
      <c r="Q80" s="442"/>
      <c r="R80" s="189"/>
      <c r="S80" s="189"/>
      <c r="T80" s="189"/>
      <c r="U80" s="189"/>
      <c r="V80" s="189"/>
    </row>
    <row r="81" spans="1:22" ht="78.75" customHeight="1" thickTop="1" thickBot="1" x14ac:dyDescent="0.25">
      <c r="A81" s="193"/>
      <c r="B81" s="556" t="s">
        <v>1662</v>
      </c>
      <c r="C81" s="556" t="s">
        <v>1688</v>
      </c>
      <c r="D81" s="556" t="s">
        <v>1719</v>
      </c>
      <c r="E81" s="556" t="s">
        <v>374</v>
      </c>
      <c r="F81" s="556" t="s">
        <v>374</v>
      </c>
      <c r="G81" s="557" t="s">
        <v>1578</v>
      </c>
      <c r="H81" s="556" t="s">
        <v>1584</v>
      </c>
      <c r="I81" s="558">
        <v>67943906</v>
      </c>
      <c r="J81" s="558">
        <f>SUM(J82)</f>
        <v>10000000</v>
      </c>
      <c r="K81" s="558">
        <f t="shared" si="109"/>
        <v>10000000</v>
      </c>
      <c r="L81" s="558">
        <f t="shared" si="110"/>
        <v>0</v>
      </c>
      <c r="M81" s="558">
        <f t="shared" si="111"/>
        <v>0</v>
      </c>
      <c r="N81" s="558">
        <f t="shared" si="112"/>
        <v>0</v>
      </c>
      <c r="O81" s="558">
        <f t="shared" si="113"/>
        <v>0</v>
      </c>
      <c r="P81" s="441"/>
      <c r="Q81" s="442"/>
      <c r="R81" s="189"/>
      <c r="S81" s="189"/>
      <c r="T81" s="189"/>
      <c r="U81" s="189"/>
      <c r="V81" s="189"/>
    </row>
    <row r="82" spans="1:22" ht="78.75" customHeight="1" thickTop="1" thickBot="1" x14ac:dyDescent="0.25">
      <c r="A82" s="193"/>
      <c r="B82" s="337" t="s">
        <v>374</v>
      </c>
      <c r="C82" s="511" t="s">
        <v>374</v>
      </c>
      <c r="D82" s="511" t="s">
        <v>374</v>
      </c>
      <c r="E82" s="511" t="s">
        <v>1388</v>
      </c>
      <c r="F82" s="337" t="s">
        <v>1580</v>
      </c>
      <c r="G82" s="511" t="s">
        <v>1578</v>
      </c>
      <c r="H82" s="511" t="s">
        <v>374</v>
      </c>
      <c r="I82" s="511" t="s">
        <v>374</v>
      </c>
      <c r="J82" s="513">
        <f>SUM(K82:O82)</f>
        <v>10000000</v>
      </c>
      <c r="K82" s="514">
        <v>10000000</v>
      </c>
      <c r="L82" s="514"/>
      <c r="M82" s="514"/>
      <c r="N82" s="514"/>
      <c r="O82" s="551"/>
      <c r="P82" s="441"/>
      <c r="Q82" s="442"/>
      <c r="R82" s="189"/>
      <c r="S82" s="189"/>
      <c r="T82" s="189"/>
      <c r="U82" s="189"/>
      <c r="V82" s="189"/>
    </row>
    <row r="83" spans="1:22" ht="48.75" customHeight="1" thickTop="1" thickBot="1" x14ac:dyDescent="0.25">
      <c r="A83" s="193"/>
      <c r="B83" s="340" t="s">
        <v>374</v>
      </c>
      <c r="C83" s="340" t="s">
        <v>374</v>
      </c>
      <c r="D83" s="340" t="s">
        <v>374</v>
      </c>
      <c r="E83" s="340" t="s">
        <v>374</v>
      </c>
      <c r="F83" s="340" t="s">
        <v>374</v>
      </c>
      <c r="G83" s="340" t="s">
        <v>374</v>
      </c>
      <c r="H83" s="340" t="s">
        <v>374</v>
      </c>
      <c r="I83" s="340" t="s">
        <v>384</v>
      </c>
      <c r="J83" s="340">
        <f t="shared" ref="J83:O83" si="114">J71+J64+J49+J33+J78+J12+J46+J30+J19</f>
        <v>134471906.19999999</v>
      </c>
      <c r="K83" s="340">
        <f t="shared" si="114"/>
        <v>134471906.19999999</v>
      </c>
      <c r="L83" s="340">
        <f t="shared" si="114"/>
        <v>0</v>
      </c>
      <c r="M83" s="340">
        <f t="shared" si="114"/>
        <v>0</v>
      </c>
      <c r="N83" s="340">
        <f t="shared" si="114"/>
        <v>0</v>
      </c>
      <c r="O83" s="340">
        <f t="shared" si="114"/>
        <v>0</v>
      </c>
      <c r="P83" s="315" t="b">
        <f>K83='d3'!P277+'d3'!P199+'d3'!P200+'d3'!P379+'d3'!P316+'d3'!P321+'d3'!P344+'d3'!P351+'d3'!P357+'d3'!P347+'d3'!P364+'d3'!P389+'d3'!P94+'d3'!P135</f>
        <v>1</v>
      </c>
      <c r="Q83" s="315" t="b">
        <f>K83='d7'!G241+'d7'!J186+'d7'!J187+'d7'!J188+'d7'!G346+'d7'!G289+'d7'!G293+'d7'!G322+'d7'!G323+'d7'!G326+'d7'!G329+'d7'!G325+'d7'!G335+'d7'!G336+'d7'!G353+'d7'!G107+'d7'!G106+'d7'!G137</f>
        <v>1</v>
      </c>
      <c r="R83" s="315"/>
      <c r="S83" s="189"/>
      <c r="T83" s="189"/>
      <c r="U83" s="189"/>
      <c r="V83" s="189"/>
    </row>
    <row r="84" spans="1:22" ht="30.75" customHeight="1" thickTop="1" thickBot="1" x14ac:dyDescent="0.25">
      <c r="B84" s="860" t="s">
        <v>1627</v>
      </c>
      <c r="C84" s="860"/>
      <c r="D84" s="860"/>
      <c r="E84" s="860"/>
      <c r="F84" s="860"/>
      <c r="G84" s="860"/>
      <c r="H84" s="860"/>
      <c r="I84" s="860"/>
      <c r="J84" s="860"/>
      <c r="K84" s="860"/>
      <c r="L84" s="860"/>
      <c r="M84" s="860"/>
      <c r="N84" s="860"/>
      <c r="O84" s="860"/>
      <c r="P84" s="315" t="b">
        <f>K83=K82+K80+K77+K75+K73+K70+K68+K61+K66+K63+K59+K57+K55+K53+K51+K48+K45+K43+K41+K39+K37+K35+K32+K29+K27+K25+K23+K21+K18+K16+K14</f>
        <v>1</v>
      </c>
      <c r="Q84"/>
      <c r="R84" s="342"/>
      <c r="S84" s="342"/>
      <c r="T84" s="342"/>
      <c r="U84" s="342"/>
      <c r="V84" s="342"/>
    </row>
    <row r="85" spans="1:22" ht="21.75" thickTop="1" thickBot="1" x14ac:dyDescent="0.25">
      <c r="E85" s="848"/>
      <c r="F85" s="848"/>
      <c r="G85" s="848"/>
      <c r="H85" s="848"/>
      <c r="I85" s="848"/>
      <c r="J85" s="848"/>
      <c r="K85" s="848"/>
      <c r="L85" s="848"/>
      <c r="M85" s="848"/>
      <c r="N85" s="848"/>
      <c r="O85" s="848"/>
      <c r="P85" s="315"/>
      <c r="Q85" s="247"/>
      <c r="R85" s="247"/>
      <c r="S85" s="247"/>
      <c r="T85" s="247"/>
      <c r="U85" s="247"/>
      <c r="V85" s="247"/>
    </row>
    <row r="86" spans="1:22" ht="15.75" thickTop="1" x14ac:dyDescent="0.25">
      <c r="D86" s="859" t="s">
        <v>1447</v>
      </c>
      <c r="E86" s="859"/>
      <c r="F86" s="244"/>
      <c r="G86" s="356"/>
      <c r="H86" s="256" t="s">
        <v>1448</v>
      </c>
      <c r="I86" s="251"/>
      <c r="J86" s="250"/>
      <c r="K86" s="250"/>
      <c r="L86" s="250"/>
      <c r="M86" s="250"/>
      <c r="N86" s="250"/>
      <c r="O86" s="248"/>
      <c r="P86" s="247"/>
      <c r="Q86" s="247"/>
      <c r="R86" s="247"/>
      <c r="S86" s="247"/>
      <c r="T86" s="247"/>
      <c r="U86" s="247"/>
      <c r="V86" s="247"/>
    </row>
    <row r="87" spans="1:22" ht="15" hidden="1" x14ac:dyDescent="0.25">
      <c r="D87" s="248" t="s">
        <v>1254</v>
      </c>
      <c r="E87" s="249"/>
      <c r="F87" s="444"/>
      <c r="G87" s="249"/>
      <c r="H87" s="248" t="s">
        <v>1255</v>
      </c>
      <c r="I87" s="251"/>
      <c r="J87" s="250"/>
      <c r="K87" s="250"/>
      <c r="L87" s="250"/>
      <c r="M87" s="250"/>
      <c r="N87" s="250"/>
      <c r="O87" s="248"/>
      <c r="P87" s="247"/>
      <c r="Q87" s="247"/>
      <c r="R87" s="247"/>
      <c r="S87" s="247"/>
      <c r="T87" s="247"/>
      <c r="U87" s="247"/>
      <c r="V87" s="247"/>
    </row>
    <row r="88" spans="1:22" ht="15" hidden="1" x14ac:dyDescent="0.25">
      <c r="D88" s="856" t="s">
        <v>1509</v>
      </c>
      <c r="E88" s="857"/>
      <c r="F88" s="444"/>
      <c r="G88" s="354"/>
      <c r="H88" s="350" t="s">
        <v>1508</v>
      </c>
      <c r="I88" s="251"/>
      <c r="J88" s="250"/>
      <c r="K88" s="250"/>
      <c r="L88" s="250"/>
      <c r="M88" s="250"/>
      <c r="N88" s="250"/>
      <c r="O88" s="248"/>
      <c r="P88" s="247"/>
      <c r="Q88" s="247"/>
      <c r="R88" s="247"/>
      <c r="S88" s="247"/>
      <c r="T88" s="247"/>
      <c r="U88" s="247"/>
      <c r="V88" s="247"/>
    </row>
    <row r="89" spans="1:22" ht="33.75" customHeight="1" x14ac:dyDescent="0.25">
      <c r="D89" s="251" t="s">
        <v>506</v>
      </c>
      <c r="E89" s="249"/>
      <c r="F89" s="444"/>
      <c r="G89" s="355"/>
      <c r="H89" s="248" t="s">
        <v>1175</v>
      </c>
      <c r="I89" s="248"/>
      <c r="J89" s="250"/>
      <c r="K89" s="250"/>
      <c r="L89" s="250"/>
      <c r="M89" s="250"/>
      <c r="N89" s="250"/>
      <c r="O89" s="248"/>
      <c r="P89" s="247"/>
      <c r="Q89" s="247"/>
      <c r="R89" s="247"/>
      <c r="S89" s="247"/>
      <c r="T89" s="247"/>
      <c r="U89" s="247"/>
      <c r="V89" s="247"/>
    </row>
    <row r="90" spans="1:22" ht="15" x14ac:dyDescent="0.2">
      <c r="D90" s="794"/>
      <c r="E90" s="858"/>
      <c r="F90" s="445"/>
      <c r="G90" s="445"/>
      <c r="H90" s="446"/>
    </row>
    <row r="99" spans="16:16" ht="90" x14ac:dyDescent="1.1499999999999999">
      <c r="P99" s="175"/>
    </row>
  </sheetData>
  <mergeCells count="25">
    <mergeCell ref="G7:K7"/>
    <mergeCell ref="B8:C8"/>
    <mergeCell ref="E1:O1"/>
    <mergeCell ref="B4:O4"/>
    <mergeCell ref="B5:O5"/>
    <mergeCell ref="B6:O6"/>
    <mergeCell ref="B7:C7"/>
    <mergeCell ref="N2:O3"/>
    <mergeCell ref="D88:E88"/>
    <mergeCell ref="D90:E90"/>
    <mergeCell ref="G9:G10"/>
    <mergeCell ref="H9:H10"/>
    <mergeCell ref="D86:E86"/>
    <mergeCell ref="B84:O84"/>
    <mergeCell ref="P21:P32"/>
    <mergeCell ref="Q21:Q32"/>
    <mergeCell ref="E85:O85"/>
    <mergeCell ref="B9:B10"/>
    <mergeCell ref="C9:C10"/>
    <mergeCell ref="D9:D10"/>
    <mergeCell ref="E9:E10"/>
    <mergeCell ref="F9:F10"/>
    <mergeCell ref="I9:I10"/>
    <mergeCell ref="J9:J10"/>
    <mergeCell ref="K9:O9"/>
  </mergeCells>
  <printOptions horizontalCentered="1"/>
  <pageMargins left="0.82677165354330717" right="0" top="0.31496062992125984" bottom="0.31496062992125984" header="0.23622047244094491" footer="0.19685039370078741"/>
  <pageSetup paperSize="9" scale="39" orientation="landscape" horizontalDpi="300" verticalDpi="300" r:id="rId1"/>
  <headerFooter alignWithMargins="0">
    <oddFooter>&amp;R&amp;P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52"/>
  <sheetViews>
    <sheetView view="pageBreakPreview" zoomScale="25" zoomScaleNormal="25" zoomScaleSheetLayoutView="25" zoomScalePageLayoutView="10" workbookViewId="0">
      <pane ySplit="14" topLeftCell="A393" activePane="bottomLeft" state="frozen"/>
      <selection activeCell="H66" sqref="H63:H66"/>
      <selection pane="bottomLeft" activeCell="I3" sqref="I3:J3"/>
    </sheetView>
  </sheetViews>
  <sheetFormatPr defaultColWidth="9.140625" defaultRowHeight="12.75" x14ac:dyDescent="0.2"/>
  <cols>
    <col min="1" max="1" width="48" style="176" customWidth="1"/>
    <col min="2" max="2" width="52.5703125" style="176" customWidth="1"/>
    <col min="3" max="3" width="65.7109375" style="176" customWidth="1"/>
    <col min="4" max="4" width="180" style="176" customWidth="1"/>
    <col min="5" max="5" width="190.42578125" style="226" customWidth="1"/>
    <col min="6" max="6" width="114" style="176" customWidth="1"/>
    <col min="7" max="7" width="55.42578125" style="176" customWidth="1"/>
    <col min="8" max="8" width="63.5703125" style="176" customWidth="1"/>
    <col min="9" max="9" width="62.140625" style="176" customWidth="1"/>
    <col min="10" max="10" width="70.28515625" style="226" customWidth="1"/>
    <col min="11" max="11" width="91.7109375" style="114" customWidth="1"/>
    <col min="12" max="12" width="87" style="114" customWidth="1"/>
    <col min="13" max="13" width="71.5703125" style="114" bestFit="1" customWidth="1"/>
    <col min="14" max="14" width="71.5703125" style="13" bestFit="1" customWidth="1"/>
    <col min="15" max="15" width="52.140625" style="13" bestFit="1" customWidth="1"/>
    <col min="16" max="16" width="9.140625" style="13"/>
    <col min="17" max="17" width="70.28515625" style="13" customWidth="1"/>
    <col min="18" max="16384" width="9.140625" style="13"/>
  </cols>
  <sheetData>
    <row r="1" spans="1:13" ht="45.75" x14ac:dyDescent="0.2">
      <c r="A1" s="73"/>
      <c r="B1" s="73"/>
      <c r="C1" s="73"/>
      <c r="D1" s="74"/>
      <c r="E1" s="75"/>
      <c r="F1" s="76"/>
      <c r="G1" s="75"/>
      <c r="H1" s="75"/>
      <c r="I1" s="757" t="s">
        <v>570</v>
      </c>
      <c r="J1" s="757"/>
    </row>
    <row r="2" spans="1:13" ht="45.75" x14ac:dyDescent="0.2">
      <c r="A2" s="74"/>
      <c r="B2" s="74"/>
      <c r="C2" s="74"/>
      <c r="D2" s="74"/>
      <c r="E2" s="75"/>
      <c r="F2" s="76"/>
      <c r="G2" s="75"/>
      <c r="H2" s="75"/>
      <c r="I2" s="757" t="s">
        <v>1739</v>
      </c>
      <c r="J2" s="760"/>
    </row>
    <row r="3" spans="1:13" ht="40.700000000000003" customHeight="1" x14ac:dyDescent="0.2">
      <c r="A3" s="74"/>
      <c r="B3" s="74"/>
      <c r="C3" s="74"/>
      <c r="D3" s="74"/>
      <c r="E3" s="75"/>
      <c r="F3" s="76"/>
      <c r="G3" s="75"/>
      <c r="H3" s="75"/>
      <c r="I3" s="757"/>
      <c r="J3" s="760"/>
    </row>
    <row r="4" spans="1:13" ht="45.75" hidden="1" x14ac:dyDescent="0.2">
      <c r="A4" s="74"/>
      <c r="B4" s="74"/>
      <c r="C4" s="74"/>
      <c r="D4" s="74"/>
      <c r="E4" s="75"/>
      <c r="F4" s="76"/>
      <c r="G4" s="75"/>
      <c r="H4" s="75"/>
      <c r="I4" s="74"/>
      <c r="J4" s="76"/>
    </row>
    <row r="5" spans="1:13" ht="45" x14ac:dyDescent="0.2">
      <c r="A5" s="761" t="s">
        <v>546</v>
      </c>
      <c r="B5" s="761"/>
      <c r="C5" s="761"/>
      <c r="D5" s="761"/>
      <c r="E5" s="761"/>
      <c r="F5" s="761"/>
      <c r="G5" s="761"/>
      <c r="H5" s="761"/>
      <c r="I5" s="761"/>
      <c r="J5" s="761"/>
    </row>
    <row r="6" spans="1:13" ht="45" x14ac:dyDescent="0.2">
      <c r="A6" s="761" t="s">
        <v>1032</v>
      </c>
      <c r="B6" s="761"/>
      <c r="C6" s="761"/>
      <c r="D6" s="761"/>
      <c r="E6" s="761"/>
      <c r="F6" s="761"/>
      <c r="G6" s="761"/>
      <c r="H6" s="761"/>
      <c r="I6" s="761"/>
      <c r="J6" s="761"/>
    </row>
    <row r="7" spans="1:13" ht="45" x14ac:dyDescent="0.2">
      <c r="A7" s="761" t="s">
        <v>1536</v>
      </c>
      <c r="B7" s="761"/>
      <c r="C7" s="761"/>
      <c r="D7" s="761"/>
      <c r="E7" s="761"/>
      <c r="F7" s="761"/>
      <c r="G7" s="761"/>
      <c r="H7" s="761"/>
      <c r="I7" s="761"/>
      <c r="J7" s="761"/>
    </row>
    <row r="8" spans="1:13" ht="45" x14ac:dyDescent="0.2">
      <c r="A8" s="761"/>
      <c r="B8" s="761"/>
      <c r="C8" s="761"/>
      <c r="D8" s="761"/>
      <c r="E8" s="761"/>
      <c r="F8" s="761"/>
      <c r="G8" s="761"/>
      <c r="H8" s="761"/>
      <c r="I8" s="761"/>
      <c r="J8" s="761"/>
    </row>
    <row r="9" spans="1:13" ht="45.75" x14ac:dyDescent="0.65">
      <c r="A9" s="762">
        <v>2256400000</v>
      </c>
      <c r="B9" s="763"/>
      <c r="C9" s="720"/>
      <c r="D9" s="720"/>
      <c r="E9" s="720"/>
      <c r="F9" s="720"/>
      <c r="G9" s="720"/>
      <c r="H9" s="720"/>
      <c r="I9" s="720"/>
      <c r="J9" s="720"/>
      <c r="K9" s="130"/>
      <c r="L9" s="130"/>
      <c r="M9" s="130"/>
    </row>
    <row r="10" spans="1:13" ht="45.75" x14ac:dyDescent="0.2">
      <c r="A10" s="767" t="s">
        <v>478</v>
      </c>
      <c r="B10" s="768"/>
      <c r="C10" s="720"/>
      <c r="D10" s="720"/>
      <c r="E10" s="720"/>
      <c r="F10" s="720"/>
      <c r="G10" s="720"/>
      <c r="H10" s="720"/>
      <c r="I10" s="720"/>
      <c r="J10" s="720"/>
      <c r="K10" s="130"/>
      <c r="L10" s="130"/>
      <c r="M10" s="130"/>
    </row>
    <row r="11" spans="1:13" ht="53.45" customHeight="1" thickBot="1" x14ac:dyDescent="0.25">
      <c r="A11" s="75"/>
      <c r="B11" s="75"/>
      <c r="C11" s="75"/>
      <c r="D11" s="75"/>
      <c r="E11" s="75"/>
      <c r="F11" s="76"/>
      <c r="G11" s="75"/>
      <c r="H11" s="75"/>
      <c r="I11" s="75"/>
      <c r="J11" s="409" t="s">
        <v>397</v>
      </c>
      <c r="K11" s="130"/>
      <c r="L11" s="130"/>
      <c r="M11" s="130"/>
    </row>
    <row r="12" spans="1:13" ht="104.25" customHeight="1" thickTop="1" thickBot="1" x14ac:dyDescent="0.25">
      <c r="A12" s="875" t="s">
        <v>479</v>
      </c>
      <c r="B12" s="875" t="s">
        <v>480</v>
      </c>
      <c r="C12" s="875" t="s">
        <v>383</v>
      </c>
      <c r="D12" s="875" t="s">
        <v>547</v>
      </c>
      <c r="E12" s="875" t="s">
        <v>483</v>
      </c>
      <c r="F12" s="875" t="s">
        <v>484</v>
      </c>
      <c r="G12" s="875" t="s">
        <v>376</v>
      </c>
      <c r="H12" s="875" t="s">
        <v>12</v>
      </c>
      <c r="I12" s="876" t="s">
        <v>52</v>
      </c>
      <c r="J12" s="765"/>
      <c r="K12" s="130"/>
      <c r="L12" s="130"/>
      <c r="M12" s="130"/>
    </row>
    <row r="13" spans="1:13" ht="238.5" customHeight="1" thickTop="1" thickBot="1" x14ac:dyDescent="0.25">
      <c r="A13" s="876"/>
      <c r="B13" s="765"/>
      <c r="C13" s="765"/>
      <c r="D13" s="876"/>
      <c r="E13" s="876"/>
      <c r="F13" s="876"/>
      <c r="G13" s="876"/>
      <c r="H13" s="876"/>
      <c r="I13" s="447" t="s">
        <v>377</v>
      </c>
      <c r="J13" s="447" t="s">
        <v>378</v>
      </c>
      <c r="K13" s="130"/>
      <c r="L13" s="130"/>
      <c r="M13" s="130"/>
    </row>
    <row r="14" spans="1:13" s="4" customFormat="1" ht="47.25" thickTop="1" thickBot="1" x14ac:dyDescent="0.25">
      <c r="A14" s="94" t="s">
        <v>2</v>
      </c>
      <c r="B14" s="94" t="s">
        <v>3</v>
      </c>
      <c r="C14" s="94" t="s">
        <v>14</v>
      </c>
      <c r="D14" s="94" t="s">
        <v>5</v>
      </c>
      <c r="E14" s="94" t="s">
        <v>385</v>
      </c>
      <c r="F14" s="94" t="s">
        <v>386</v>
      </c>
      <c r="G14" s="94" t="s">
        <v>387</v>
      </c>
      <c r="H14" s="94" t="s">
        <v>388</v>
      </c>
      <c r="I14" s="94" t="s">
        <v>389</v>
      </c>
      <c r="J14" s="94" t="s">
        <v>390</v>
      </c>
      <c r="K14" s="124"/>
      <c r="L14" s="124"/>
      <c r="M14" s="124"/>
    </row>
    <row r="15" spans="1:13" s="4" customFormat="1" ht="170.45" customHeight="1" thickTop="1" thickBot="1" x14ac:dyDescent="0.25">
      <c r="A15" s="535" t="s">
        <v>145</v>
      </c>
      <c r="B15" s="535"/>
      <c r="C15" s="535"/>
      <c r="D15" s="536" t="s">
        <v>147</v>
      </c>
      <c r="E15" s="536"/>
      <c r="F15" s="536"/>
      <c r="G15" s="537">
        <f>G16</f>
        <v>265900013</v>
      </c>
      <c r="H15" s="537">
        <f t="shared" ref="H15:J15" si="0">H16</f>
        <v>258795013</v>
      </c>
      <c r="I15" s="537">
        <f>I16</f>
        <v>7105000</v>
      </c>
      <c r="J15" s="537">
        <f t="shared" si="0"/>
        <v>0</v>
      </c>
      <c r="K15" s="559" t="b">
        <f>H16='d3'!E16-'d3'!E18+'d7'!H17+'d7'!H20+'d7'!H22+H21</f>
        <v>1</v>
      </c>
      <c r="L15" s="559" t="b">
        <f>I16='d3'!J16-'d3'!J18+I17+I20+I22+I21</f>
        <v>1</v>
      </c>
      <c r="M15" s="559" t="b">
        <f>J16='d3'!K16-'d3'!K18+J17+J20+J22+J21</f>
        <v>1</v>
      </c>
    </row>
    <row r="16" spans="1:13" s="4" customFormat="1" ht="170.45" customHeight="1" thickTop="1" thickBot="1" x14ac:dyDescent="0.25">
      <c r="A16" s="532" t="s">
        <v>146</v>
      </c>
      <c r="B16" s="532"/>
      <c r="C16" s="532"/>
      <c r="D16" s="533" t="s">
        <v>148</v>
      </c>
      <c r="E16" s="533"/>
      <c r="F16" s="533"/>
      <c r="G16" s="534">
        <f>SUM(G17:G61)</f>
        <v>265900013</v>
      </c>
      <c r="H16" s="534">
        <f>SUM(H17:H61)</f>
        <v>258795013</v>
      </c>
      <c r="I16" s="534">
        <f>SUM(I17:I61)</f>
        <v>7105000</v>
      </c>
      <c r="J16" s="534">
        <f>SUM(J17:J61)</f>
        <v>0</v>
      </c>
      <c r="K16" s="124"/>
      <c r="L16" s="124"/>
      <c r="M16" s="124"/>
    </row>
    <row r="17" spans="1:13" ht="271.5" customHeight="1" thickTop="1" thickBot="1" x14ac:dyDescent="0.25">
      <c r="A17" s="490" t="s">
        <v>229</v>
      </c>
      <c r="B17" s="490" t="s">
        <v>230</v>
      </c>
      <c r="C17" s="490" t="s">
        <v>231</v>
      </c>
      <c r="D17" s="490" t="s">
        <v>228</v>
      </c>
      <c r="E17" s="498" t="s">
        <v>1609</v>
      </c>
      <c r="F17" s="499" t="s">
        <v>823</v>
      </c>
      <c r="G17" s="499">
        <f t="shared" ref="G17:G38" si="1">H17+I17</f>
        <v>1000000</v>
      </c>
      <c r="H17" s="494">
        <v>1000000</v>
      </c>
      <c r="I17" s="499">
        <v>0</v>
      </c>
      <c r="J17" s="499">
        <v>0</v>
      </c>
      <c r="K17" s="195"/>
      <c r="L17" s="195"/>
      <c r="M17" s="195"/>
    </row>
    <row r="18" spans="1:13" ht="276" hidden="1" thickTop="1" thickBot="1" x14ac:dyDescent="0.25">
      <c r="A18" s="119" t="s">
        <v>229</v>
      </c>
      <c r="B18" s="119" t="s">
        <v>230</v>
      </c>
      <c r="C18" s="119" t="s">
        <v>231</v>
      </c>
      <c r="D18" s="119" t="s">
        <v>228</v>
      </c>
      <c r="E18" s="180" t="s">
        <v>1097</v>
      </c>
      <c r="F18" s="180" t="s">
        <v>825</v>
      </c>
      <c r="G18" s="180">
        <f t="shared" si="1"/>
        <v>0</v>
      </c>
      <c r="H18" s="197">
        <v>0</v>
      </c>
      <c r="I18" s="180">
        <v>0</v>
      </c>
      <c r="J18" s="180">
        <v>0</v>
      </c>
      <c r="K18" s="198"/>
      <c r="L18" s="198"/>
      <c r="M18" s="198"/>
    </row>
    <row r="19" spans="1:13" ht="184.5" hidden="1" thickTop="1" thickBot="1" x14ac:dyDescent="0.25">
      <c r="A19" s="39" t="s">
        <v>229</v>
      </c>
      <c r="B19" s="39" t="s">
        <v>230</v>
      </c>
      <c r="C19" s="39" t="s">
        <v>231</v>
      </c>
      <c r="D19" s="39" t="s">
        <v>228</v>
      </c>
      <c r="E19" s="199" t="s">
        <v>837</v>
      </c>
      <c r="F19" s="71" t="s">
        <v>838</v>
      </c>
      <c r="G19" s="71">
        <f t="shared" si="1"/>
        <v>0</v>
      </c>
      <c r="H19" s="200"/>
      <c r="I19" s="71"/>
      <c r="J19" s="71"/>
      <c r="K19" s="201"/>
      <c r="L19" s="141"/>
      <c r="M19" s="130"/>
    </row>
    <row r="20" spans="1:13" ht="184.5" hidden="1" thickTop="1" thickBot="1" x14ac:dyDescent="0.25">
      <c r="A20" s="119" t="s">
        <v>229</v>
      </c>
      <c r="B20" s="119" t="s">
        <v>230</v>
      </c>
      <c r="C20" s="119" t="s">
        <v>231</v>
      </c>
      <c r="D20" s="119" t="s">
        <v>228</v>
      </c>
      <c r="E20" s="196" t="s">
        <v>1047</v>
      </c>
      <c r="F20" s="180" t="s">
        <v>1046</v>
      </c>
      <c r="G20" s="180">
        <f t="shared" si="1"/>
        <v>0</v>
      </c>
      <c r="H20" s="197">
        <v>0</v>
      </c>
      <c r="I20" s="180">
        <v>0</v>
      </c>
      <c r="J20" s="180">
        <v>0</v>
      </c>
      <c r="K20" s="201"/>
      <c r="L20" s="141"/>
      <c r="M20" s="130"/>
    </row>
    <row r="21" spans="1:13" ht="184.5" hidden="1" thickTop="1" thickBot="1" x14ac:dyDescent="0.25">
      <c r="A21" s="119" t="s">
        <v>229</v>
      </c>
      <c r="B21" s="119" t="s">
        <v>230</v>
      </c>
      <c r="C21" s="119" t="s">
        <v>231</v>
      </c>
      <c r="D21" s="119" t="s">
        <v>228</v>
      </c>
      <c r="E21" s="196" t="s">
        <v>1252</v>
      </c>
      <c r="F21" s="180" t="s">
        <v>1253</v>
      </c>
      <c r="G21" s="180">
        <f t="shared" si="1"/>
        <v>0</v>
      </c>
      <c r="H21" s="197">
        <v>0</v>
      </c>
      <c r="I21" s="180">
        <v>0</v>
      </c>
      <c r="J21" s="180">
        <v>0</v>
      </c>
      <c r="K21" s="201"/>
      <c r="L21" s="141"/>
      <c r="M21" s="130"/>
    </row>
    <row r="22" spans="1:13" ht="184.5" hidden="1" thickTop="1" thickBot="1" x14ac:dyDescent="0.25">
      <c r="A22" s="119" t="s">
        <v>229</v>
      </c>
      <c r="B22" s="119" t="s">
        <v>230</v>
      </c>
      <c r="C22" s="119" t="s">
        <v>231</v>
      </c>
      <c r="D22" s="119" t="s">
        <v>228</v>
      </c>
      <c r="E22" s="196" t="s">
        <v>1386</v>
      </c>
      <c r="F22" s="180" t="s">
        <v>1409</v>
      </c>
      <c r="G22" s="180">
        <f t="shared" si="1"/>
        <v>0</v>
      </c>
      <c r="H22" s="197">
        <v>0</v>
      </c>
      <c r="I22" s="180"/>
      <c r="J22" s="180"/>
      <c r="K22" s="201"/>
      <c r="L22" s="141"/>
      <c r="M22" s="130"/>
    </row>
    <row r="23" spans="1:13" ht="276" hidden="1" thickTop="1" thickBot="1" x14ac:dyDescent="0.25">
      <c r="A23" s="119" t="s">
        <v>602</v>
      </c>
      <c r="B23" s="119" t="s">
        <v>355</v>
      </c>
      <c r="C23" s="119" t="s">
        <v>603</v>
      </c>
      <c r="D23" s="119" t="s">
        <v>604</v>
      </c>
      <c r="E23" s="196" t="s">
        <v>1157</v>
      </c>
      <c r="F23" s="180" t="s">
        <v>1158</v>
      </c>
      <c r="G23" s="180">
        <f t="shared" si="1"/>
        <v>0</v>
      </c>
      <c r="H23" s="197">
        <f>'d3'!E20</f>
        <v>0</v>
      </c>
      <c r="I23" s="180">
        <v>0</v>
      </c>
      <c r="J23" s="180">
        <v>0</v>
      </c>
      <c r="K23" s="201"/>
      <c r="L23" s="141"/>
      <c r="M23" s="130"/>
    </row>
    <row r="24" spans="1:13" ht="269.25" customHeight="1" thickTop="1" thickBot="1" x14ac:dyDescent="0.25">
      <c r="A24" s="94" t="s">
        <v>243</v>
      </c>
      <c r="B24" s="94" t="s">
        <v>43</v>
      </c>
      <c r="C24" s="94" t="s">
        <v>42</v>
      </c>
      <c r="D24" s="94" t="s">
        <v>244</v>
      </c>
      <c r="E24" s="526" t="s">
        <v>1558</v>
      </c>
      <c r="F24" s="180"/>
      <c r="G24" s="432">
        <f t="shared" si="1"/>
        <v>42113400</v>
      </c>
      <c r="H24" s="524">
        <f>1910000+40203400</f>
        <v>42113400</v>
      </c>
      <c r="I24" s="432">
        <v>0</v>
      </c>
      <c r="J24" s="432">
        <v>0</v>
      </c>
      <c r="K24" s="873" t="b">
        <f>H24+H27+H26+H29+H28+H25='d3'!E21</f>
        <v>1</v>
      </c>
      <c r="L24" s="873" t="b">
        <f>I24+I27+I26+I29+I28+I25='d3'!J21</f>
        <v>1</v>
      </c>
      <c r="M24" s="873" t="b">
        <f>J24+J27+J26+J29+J28+J25='d3'!K21</f>
        <v>1</v>
      </c>
    </row>
    <row r="25" spans="1:13" ht="183.75" customHeight="1" thickTop="1" thickBot="1" x14ac:dyDescent="0.25">
      <c r="A25" s="94" t="s">
        <v>243</v>
      </c>
      <c r="B25" s="94" t="s">
        <v>43</v>
      </c>
      <c r="C25" s="94" t="s">
        <v>42</v>
      </c>
      <c r="D25" s="94" t="s">
        <v>244</v>
      </c>
      <c r="E25" s="526" t="s">
        <v>1475</v>
      </c>
      <c r="F25" s="432" t="s">
        <v>1507</v>
      </c>
      <c r="G25" s="432">
        <f t="shared" ref="G25" si="2">H25+I25</f>
        <v>220000</v>
      </c>
      <c r="H25" s="524">
        <v>220000</v>
      </c>
      <c r="I25" s="432">
        <v>0</v>
      </c>
      <c r="J25" s="432">
        <v>0</v>
      </c>
      <c r="K25" s="873"/>
      <c r="L25" s="873"/>
      <c r="M25" s="873"/>
    </row>
    <row r="26" spans="1:13" ht="138.75" hidden="1" customHeight="1" thickTop="1" thickBot="1" x14ac:dyDescent="0.25">
      <c r="A26" s="119" t="s">
        <v>243</v>
      </c>
      <c r="B26" s="119" t="s">
        <v>43</v>
      </c>
      <c r="C26" s="119" t="s">
        <v>42</v>
      </c>
      <c r="D26" s="119" t="s">
        <v>244</v>
      </c>
      <c r="E26" s="196" t="s">
        <v>1300</v>
      </c>
      <c r="F26" s="180" t="s">
        <v>1309</v>
      </c>
      <c r="G26" s="180">
        <f t="shared" ref="G26" si="3">H26+I26</f>
        <v>0</v>
      </c>
      <c r="H26" s="197">
        <f>950000-100000-850000</f>
        <v>0</v>
      </c>
      <c r="I26" s="180">
        <v>0</v>
      </c>
      <c r="J26" s="180">
        <v>0</v>
      </c>
      <c r="K26" s="873"/>
      <c r="L26" s="873"/>
      <c r="M26" s="873"/>
    </row>
    <row r="27" spans="1:13" ht="184.7" customHeight="1" thickTop="1" thickBot="1" x14ac:dyDescent="0.25">
      <c r="A27" s="94" t="s">
        <v>243</v>
      </c>
      <c r="B27" s="94" t="s">
        <v>43</v>
      </c>
      <c r="C27" s="94" t="s">
        <v>42</v>
      </c>
      <c r="D27" s="94" t="s">
        <v>244</v>
      </c>
      <c r="E27" s="526" t="s">
        <v>1545</v>
      </c>
      <c r="F27" s="180"/>
      <c r="G27" s="432">
        <f t="shared" si="1"/>
        <v>2230856</v>
      </c>
      <c r="H27" s="524">
        <f>200000+2030856</f>
        <v>2230856</v>
      </c>
      <c r="I27" s="432">
        <v>0</v>
      </c>
      <c r="J27" s="432">
        <v>0</v>
      </c>
      <c r="K27" s="874"/>
      <c r="L27" s="874"/>
      <c r="M27" s="874"/>
    </row>
    <row r="28" spans="1:13" ht="184.7" hidden="1" customHeight="1" thickTop="1" thickBot="1" x14ac:dyDescent="0.25">
      <c r="A28" s="119" t="s">
        <v>243</v>
      </c>
      <c r="B28" s="119" t="s">
        <v>43</v>
      </c>
      <c r="C28" s="119" t="s">
        <v>42</v>
      </c>
      <c r="D28" s="119" t="s">
        <v>244</v>
      </c>
      <c r="E28" s="196" t="s">
        <v>1138</v>
      </c>
      <c r="F28" s="180" t="s">
        <v>890</v>
      </c>
      <c r="G28" s="180">
        <f t="shared" si="1"/>
        <v>0</v>
      </c>
      <c r="H28" s="197">
        <v>0</v>
      </c>
      <c r="I28" s="180">
        <v>0</v>
      </c>
      <c r="J28" s="180">
        <v>0</v>
      </c>
      <c r="K28" s="130"/>
      <c r="L28" s="130"/>
      <c r="M28" s="130"/>
    </row>
    <row r="29" spans="1:13" ht="184.5" hidden="1" thickTop="1" thickBot="1" x14ac:dyDescent="0.25">
      <c r="A29" s="119" t="s">
        <v>243</v>
      </c>
      <c r="B29" s="119" t="s">
        <v>43</v>
      </c>
      <c r="C29" s="119" t="s">
        <v>42</v>
      </c>
      <c r="D29" s="119" t="s">
        <v>244</v>
      </c>
      <c r="E29" s="180" t="s">
        <v>1301</v>
      </c>
      <c r="F29" s="142" t="s">
        <v>1077</v>
      </c>
      <c r="G29" s="180">
        <f>H29+I29</f>
        <v>0</v>
      </c>
      <c r="H29" s="180">
        <f>((((90000000-10000000+32000000-67690000+1000000-2000000+30000000)-23310000)-30000000)-7182000)-12818000</f>
        <v>0</v>
      </c>
      <c r="I29" s="180">
        <v>0</v>
      </c>
      <c r="J29" s="180">
        <v>0</v>
      </c>
      <c r="K29" s="130"/>
      <c r="L29" s="130"/>
      <c r="M29" s="130"/>
    </row>
    <row r="30" spans="1:13" ht="184.5" hidden="1" thickTop="1" thickBot="1" x14ac:dyDescent="0.25">
      <c r="A30" s="119" t="s">
        <v>1441</v>
      </c>
      <c r="B30" s="119" t="s">
        <v>1442</v>
      </c>
      <c r="C30" s="119" t="s">
        <v>202</v>
      </c>
      <c r="D30" s="282" t="s">
        <v>1443</v>
      </c>
      <c r="E30" s="196" t="s">
        <v>1112</v>
      </c>
      <c r="F30" s="180" t="s">
        <v>834</v>
      </c>
      <c r="G30" s="180">
        <f>H30+I30</f>
        <v>0</v>
      </c>
      <c r="H30" s="180">
        <f>'d3'!E24</f>
        <v>0</v>
      </c>
      <c r="I30" s="180">
        <f>'d3'!J24</f>
        <v>0</v>
      </c>
      <c r="J30" s="180">
        <f>'d3'!K24</f>
        <v>0</v>
      </c>
      <c r="K30" s="130"/>
      <c r="L30" s="130"/>
      <c r="M30" s="130"/>
    </row>
    <row r="31" spans="1:13" ht="198.75" customHeight="1" thickTop="1" thickBot="1" x14ac:dyDescent="0.25">
      <c r="A31" s="94" t="s">
        <v>1350</v>
      </c>
      <c r="B31" s="94" t="s">
        <v>324</v>
      </c>
      <c r="C31" s="94" t="s">
        <v>188</v>
      </c>
      <c r="D31" s="528" t="s">
        <v>1422</v>
      </c>
      <c r="E31" s="526" t="s">
        <v>1620</v>
      </c>
      <c r="F31" s="180"/>
      <c r="G31" s="432">
        <f>H31+I31</f>
        <v>5071246</v>
      </c>
      <c r="H31" s="432">
        <f>'d3'!E26-H32</f>
        <v>5071246</v>
      </c>
      <c r="I31" s="432">
        <f>'d3'!J26-I32</f>
        <v>0</v>
      </c>
      <c r="J31" s="432">
        <f>'d3'!K26-J32</f>
        <v>0</v>
      </c>
      <c r="K31" s="130"/>
      <c r="L31" s="130"/>
      <c r="M31" s="130"/>
    </row>
    <row r="32" spans="1:13" ht="174.75" hidden="1" customHeight="1" thickTop="1" thickBot="1" x14ac:dyDescent="0.25">
      <c r="A32" s="119" t="s">
        <v>1350</v>
      </c>
      <c r="B32" s="119" t="s">
        <v>324</v>
      </c>
      <c r="C32" s="119" t="s">
        <v>188</v>
      </c>
      <c r="D32" s="528" t="s">
        <v>1422</v>
      </c>
      <c r="E32" s="196" t="s">
        <v>1345</v>
      </c>
      <c r="F32" s="180" t="s">
        <v>1346</v>
      </c>
      <c r="G32" s="180">
        <f>H32+I32</f>
        <v>0</v>
      </c>
      <c r="H32" s="180"/>
      <c r="I32" s="180"/>
      <c r="J32" s="180"/>
      <c r="K32" s="130"/>
      <c r="L32" s="130"/>
      <c r="M32" s="130"/>
    </row>
    <row r="33" spans="1:13" ht="138.75" thickTop="1" thickBot="1" x14ac:dyDescent="0.25">
      <c r="A33" s="94" t="s">
        <v>235</v>
      </c>
      <c r="B33" s="94" t="s">
        <v>236</v>
      </c>
      <c r="C33" s="94" t="s">
        <v>237</v>
      </c>
      <c r="D33" s="94" t="s">
        <v>234</v>
      </c>
      <c r="E33" s="526" t="s">
        <v>1609</v>
      </c>
      <c r="F33" s="432" t="s">
        <v>823</v>
      </c>
      <c r="G33" s="432">
        <f t="shared" si="1"/>
        <v>11460060</v>
      </c>
      <c r="H33" s="432">
        <f>'d3'!E29</f>
        <v>11460060</v>
      </c>
      <c r="I33" s="432">
        <f>'d3'!J29</f>
        <v>0</v>
      </c>
      <c r="J33" s="432">
        <f>'d3'!K29</f>
        <v>0</v>
      </c>
      <c r="K33" s="493" t="b">
        <f>H33='d3'!E29</f>
        <v>1</v>
      </c>
      <c r="L33" s="527" t="b">
        <f>I33='d3'!J29</f>
        <v>1</v>
      </c>
      <c r="M33" s="602" t="b">
        <f>J33='d3'!K29</f>
        <v>1</v>
      </c>
    </row>
    <row r="34" spans="1:13" ht="138.75" hidden="1" thickTop="1" thickBot="1" x14ac:dyDescent="0.25">
      <c r="A34" s="39" t="s">
        <v>920</v>
      </c>
      <c r="B34" s="39" t="s">
        <v>921</v>
      </c>
      <c r="C34" s="39" t="s">
        <v>237</v>
      </c>
      <c r="D34" s="39" t="s">
        <v>922</v>
      </c>
      <c r="E34" s="199" t="s">
        <v>967</v>
      </c>
      <c r="F34" s="71" t="s">
        <v>823</v>
      </c>
      <c r="G34" s="180">
        <f t="shared" si="1"/>
        <v>0</v>
      </c>
      <c r="H34" s="180">
        <f>'d3'!E30</f>
        <v>0</v>
      </c>
      <c r="I34" s="180">
        <f>'d3'!J30</f>
        <v>0</v>
      </c>
      <c r="J34" s="180">
        <f>'d3'!K30</f>
        <v>0</v>
      </c>
      <c r="K34" s="195" t="b">
        <f>H34='d3'!E30</f>
        <v>1</v>
      </c>
      <c r="L34" s="202" t="b">
        <f>I34='d3'!J30</f>
        <v>1</v>
      </c>
      <c r="M34" s="203" t="b">
        <f>J34='d3'!K30</f>
        <v>1</v>
      </c>
    </row>
    <row r="35" spans="1:13" ht="168.75" customHeight="1" thickTop="1" thickBot="1" x14ac:dyDescent="0.25">
      <c r="A35" s="94" t="s">
        <v>1498</v>
      </c>
      <c r="B35" s="94" t="s">
        <v>250</v>
      </c>
      <c r="C35" s="94" t="s">
        <v>210</v>
      </c>
      <c r="D35" s="94" t="s">
        <v>249</v>
      </c>
      <c r="E35" s="432" t="s">
        <v>1622</v>
      </c>
      <c r="F35" s="180"/>
      <c r="G35" s="432">
        <f t="shared" si="1"/>
        <v>1087440</v>
      </c>
      <c r="H35" s="432">
        <f>'d3'!E32</f>
        <v>1087440</v>
      </c>
      <c r="I35" s="432">
        <f>'d3'!J32</f>
        <v>0</v>
      </c>
      <c r="J35" s="432">
        <f>'d3'!K32</f>
        <v>0</v>
      </c>
      <c r="K35" s="195"/>
      <c r="L35" s="202"/>
      <c r="M35" s="203"/>
    </row>
    <row r="36" spans="1:13" ht="138.75" hidden="1" thickTop="1" thickBot="1" x14ac:dyDescent="0.25">
      <c r="A36" s="119" t="s">
        <v>1224</v>
      </c>
      <c r="B36" s="119" t="s">
        <v>209</v>
      </c>
      <c r="C36" s="119" t="s">
        <v>210</v>
      </c>
      <c r="D36" s="119" t="s">
        <v>41</v>
      </c>
      <c r="E36" s="196" t="s">
        <v>1252</v>
      </c>
      <c r="F36" s="180" t="s">
        <v>1253</v>
      </c>
      <c r="G36" s="180">
        <f t="shared" si="1"/>
        <v>0</v>
      </c>
      <c r="H36" s="180">
        <v>0</v>
      </c>
      <c r="I36" s="180">
        <v>0</v>
      </c>
      <c r="J36" s="180">
        <v>0</v>
      </c>
      <c r="K36" s="195" t="b">
        <f>'d3'!E33='d7'!H36</f>
        <v>1</v>
      </c>
      <c r="L36" s="202" t="b">
        <f>I36='d3'!J33</f>
        <v>1</v>
      </c>
      <c r="M36" s="203" t="b">
        <f>J36='d3'!K33</f>
        <v>1</v>
      </c>
    </row>
    <row r="37" spans="1:13" ht="168.75" customHeight="1" thickTop="1" thickBot="1" x14ac:dyDescent="0.25">
      <c r="A37" s="94" t="s">
        <v>295</v>
      </c>
      <c r="B37" s="94" t="s">
        <v>296</v>
      </c>
      <c r="C37" s="94" t="s">
        <v>167</v>
      </c>
      <c r="D37" s="94" t="s">
        <v>434</v>
      </c>
      <c r="E37" s="526" t="s">
        <v>1545</v>
      </c>
      <c r="F37" s="432"/>
      <c r="G37" s="432">
        <f t="shared" si="1"/>
        <v>532970</v>
      </c>
      <c r="H37" s="432">
        <f>'d3'!E34</f>
        <v>532970</v>
      </c>
      <c r="I37" s="432">
        <f>'d3'!J34</f>
        <v>0</v>
      </c>
      <c r="J37" s="432">
        <f>'d3'!K34</f>
        <v>0</v>
      </c>
      <c r="K37" s="493" t="b">
        <f>H37='d3'!E34</f>
        <v>1</v>
      </c>
      <c r="L37" s="527" t="b">
        <f>I37='d3'!J34</f>
        <v>1</v>
      </c>
      <c r="M37" s="602" t="b">
        <f>J37='d3'!K34</f>
        <v>1</v>
      </c>
    </row>
    <row r="38" spans="1:13" ht="340.5" customHeight="1" thickTop="1" thickBot="1" x14ac:dyDescent="0.25">
      <c r="A38" s="94" t="s">
        <v>333</v>
      </c>
      <c r="B38" s="94" t="s">
        <v>332</v>
      </c>
      <c r="C38" s="94" t="s">
        <v>167</v>
      </c>
      <c r="D38" s="603" t="s">
        <v>1491</v>
      </c>
      <c r="E38" s="608" t="s">
        <v>1545</v>
      </c>
      <c r="F38" s="210"/>
      <c r="G38" s="546">
        <f t="shared" si="1"/>
        <v>7105000</v>
      </c>
      <c r="H38" s="546">
        <f>'d3'!E36</f>
        <v>0</v>
      </c>
      <c r="I38" s="546">
        <f>'d3'!J36</f>
        <v>7105000</v>
      </c>
      <c r="J38" s="546">
        <f>'d3'!K36</f>
        <v>0</v>
      </c>
      <c r="K38" s="493" t="b">
        <f>H38='d3'!E36</f>
        <v>1</v>
      </c>
      <c r="L38" s="527" t="b">
        <f>I38='d3'!J36</f>
        <v>1</v>
      </c>
      <c r="M38" s="602" t="b">
        <f>J38='d3'!K36</f>
        <v>1</v>
      </c>
    </row>
    <row r="39" spans="1:13" ht="198.75" customHeight="1" thickTop="1" thickBot="1" x14ac:dyDescent="0.25">
      <c r="A39" s="94" t="s">
        <v>876</v>
      </c>
      <c r="B39" s="94" t="s">
        <v>253</v>
      </c>
      <c r="C39" s="94" t="s">
        <v>167</v>
      </c>
      <c r="D39" s="94" t="s">
        <v>251</v>
      </c>
      <c r="E39" s="432" t="s">
        <v>1619</v>
      </c>
      <c r="F39" s="432"/>
      <c r="G39" s="432">
        <f t="shared" ref="G39:G48" si="4">H39+I39</f>
        <v>3553100</v>
      </c>
      <c r="H39" s="432">
        <f>'d3'!E37</f>
        <v>3553100</v>
      </c>
      <c r="I39" s="432">
        <f>'d3'!J37</f>
        <v>0</v>
      </c>
      <c r="J39" s="432">
        <f>'d3'!K37</f>
        <v>0</v>
      </c>
      <c r="K39" s="130"/>
      <c r="L39" s="130"/>
      <c r="M39" s="130"/>
    </row>
    <row r="40" spans="1:13" ht="132" customHeight="1" thickTop="1" thickBot="1" x14ac:dyDescent="0.25">
      <c r="A40" s="94" t="s">
        <v>1098</v>
      </c>
      <c r="B40" s="94" t="s">
        <v>1099</v>
      </c>
      <c r="C40" s="94" t="s">
        <v>1074</v>
      </c>
      <c r="D40" s="94" t="s">
        <v>1100</v>
      </c>
      <c r="E40" s="432" t="s">
        <v>1552</v>
      </c>
      <c r="F40" s="180"/>
      <c r="G40" s="432">
        <f t="shared" si="4"/>
        <v>47000000</v>
      </c>
      <c r="H40" s="432">
        <v>47000000</v>
      </c>
      <c r="I40" s="432">
        <v>0</v>
      </c>
      <c r="J40" s="432">
        <v>0</v>
      </c>
      <c r="K40" s="493" t="b">
        <f>H40+H42+H41='d3'!E40</f>
        <v>1</v>
      </c>
      <c r="L40" s="527" t="b">
        <f>I40+I42+I41='d3'!J40</f>
        <v>1</v>
      </c>
      <c r="M40" s="527" t="b">
        <f>J40+J42+J41='d3'!K40</f>
        <v>1</v>
      </c>
    </row>
    <row r="41" spans="1:13" ht="138.75" hidden="1" thickTop="1" thickBot="1" x14ac:dyDescent="0.25">
      <c r="A41" s="119" t="s">
        <v>1098</v>
      </c>
      <c r="B41" s="119" t="s">
        <v>1099</v>
      </c>
      <c r="C41" s="119" t="s">
        <v>1074</v>
      </c>
      <c r="D41" s="119" t="s">
        <v>1100</v>
      </c>
      <c r="E41" s="119" t="s">
        <v>1297</v>
      </c>
      <c r="F41" s="180" t="s">
        <v>1311</v>
      </c>
      <c r="G41" s="180">
        <f t="shared" ref="G41" si="5">H41+I41</f>
        <v>0</v>
      </c>
      <c r="H41" s="180">
        <v>0</v>
      </c>
      <c r="I41" s="180">
        <v>0</v>
      </c>
      <c r="J41" s="180">
        <v>0</v>
      </c>
      <c r="K41" s="198"/>
      <c r="L41" s="198"/>
      <c r="M41" s="198"/>
    </row>
    <row r="42" spans="1:13" ht="276" hidden="1" thickTop="1" thickBot="1" x14ac:dyDescent="0.25">
      <c r="A42" s="119" t="s">
        <v>1098</v>
      </c>
      <c r="B42" s="119" t="s">
        <v>1099</v>
      </c>
      <c r="C42" s="119" t="s">
        <v>1074</v>
      </c>
      <c r="D42" s="119" t="s">
        <v>1100</v>
      </c>
      <c r="E42" s="180" t="s">
        <v>1211</v>
      </c>
      <c r="F42" s="180" t="s">
        <v>825</v>
      </c>
      <c r="G42" s="180">
        <f t="shared" si="4"/>
        <v>0</v>
      </c>
      <c r="H42" s="180">
        <v>0</v>
      </c>
      <c r="I42" s="180">
        <v>0</v>
      </c>
      <c r="J42" s="180">
        <v>0</v>
      </c>
      <c r="K42" s="130"/>
      <c r="L42" s="130"/>
      <c r="M42" s="130"/>
    </row>
    <row r="43" spans="1:13" ht="150" customHeight="1" thickTop="1" thickBot="1" x14ac:dyDescent="0.25">
      <c r="A43" s="94" t="s">
        <v>1075</v>
      </c>
      <c r="B43" s="94" t="s">
        <v>1076</v>
      </c>
      <c r="C43" s="94" t="s">
        <v>1074</v>
      </c>
      <c r="D43" s="94" t="s">
        <v>1073</v>
      </c>
      <c r="E43" s="94" t="s">
        <v>1604</v>
      </c>
      <c r="F43" s="180"/>
      <c r="G43" s="432">
        <f t="shared" si="4"/>
        <v>500000</v>
      </c>
      <c r="H43" s="432">
        <f>(100000+200000)+200000</f>
        <v>500000</v>
      </c>
      <c r="I43" s="432">
        <v>0</v>
      </c>
      <c r="J43" s="432">
        <v>0</v>
      </c>
    </row>
    <row r="44" spans="1:13" ht="195.75" customHeight="1" thickTop="1" thickBot="1" x14ac:dyDescent="0.25">
      <c r="A44" s="94" t="s">
        <v>1075</v>
      </c>
      <c r="B44" s="94" t="s">
        <v>1076</v>
      </c>
      <c r="C44" s="94" t="s">
        <v>1074</v>
      </c>
      <c r="D44" s="94" t="s">
        <v>1073</v>
      </c>
      <c r="E44" s="432" t="s">
        <v>1621</v>
      </c>
      <c r="F44" s="180"/>
      <c r="G44" s="432">
        <f>H44+I44</f>
        <v>7477363</v>
      </c>
      <c r="H44" s="432">
        <v>7477363</v>
      </c>
      <c r="I44" s="432">
        <v>0</v>
      </c>
      <c r="J44" s="432">
        <v>0</v>
      </c>
      <c r="K44" s="493" t="b">
        <f>H43+H44+H45='d3'!E41</f>
        <v>1</v>
      </c>
      <c r="L44" s="527" t="b">
        <f>I43+I44+I45='d3'!J41</f>
        <v>1</v>
      </c>
      <c r="M44" s="527" t="b">
        <f>J43+J44+J45='d3'!K41</f>
        <v>1</v>
      </c>
    </row>
    <row r="45" spans="1:13" ht="282.75" customHeight="1" thickTop="1" thickBot="1" x14ac:dyDescent="0.25">
      <c r="A45" s="94" t="s">
        <v>1075</v>
      </c>
      <c r="B45" s="94" t="s">
        <v>1076</v>
      </c>
      <c r="C45" s="94" t="s">
        <v>1074</v>
      </c>
      <c r="D45" s="94" t="s">
        <v>1073</v>
      </c>
      <c r="E45" s="499" t="s">
        <v>1542</v>
      </c>
      <c r="F45" s="180"/>
      <c r="G45" s="432">
        <f>H45+I45</f>
        <v>120000</v>
      </c>
      <c r="H45" s="432">
        <v>120000</v>
      </c>
      <c r="I45" s="432">
        <v>0</v>
      </c>
      <c r="J45" s="432">
        <v>0</v>
      </c>
      <c r="K45" s="195"/>
      <c r="L45" s="202"/>
      <c r="M45" s="198"/>
    </row>
    <row r="46" spans="1:13" ht="201.75" customHeight="1" thickTop="1" thickBot="1" x14ac:dyDescent="0.25">
      <c r="A46" s="490" t="s">
        <v>238</v>
      </c>
      <c r="B46" s="490" t="s">
        <v>239</v>
      </c>
      <c r="C46" s="490" t="s">
        <v>240</v>
      </c>
      <c r="D46" s="490" t="s">
        <v>1395</v>
      </c>
      <c r="E46" s="499" t="s">
        <v>1408</v>
      </c>
      <c r="F46" s="499" t="s">
        <v>1312</v>
      </c>
      <c r="G46" s="499">
        <f t="shared" si="4"/>
        <v>12268778</v>
      </c>
      <c r="H46" s="499">
        <f>'d3'!E43</f>
        <v>12268778</v>
      </c>
      <c r="I46" s="499">
        <f>'d3'!J43</f>
        <v>0</v>
      </c>
      <c r="J46" s="499">
        <f>'d3'!K43</f>
        <v>0</v>
      </c>
      <c r="K46" s="493" t="b">
        <f>H46='d3'!E43</f>
        <v>1</v>
      </c>
      <c r="L46" s="527" t="b">
        <f>I46='d3'!J43</f>
        <v>1</v>
      </c>
      <c r="M46" s="602" t="b">
        <f>J46='d3'!K43</f>
        <v>1</v>
      </c>
    </row>
    <row r="47" spans="1:13" ht="204.75" customHeight="1" thickTop="1" thickBot="1" x14ac:dyDescent="0.25">
      <c r="A47" s="94" t="s">
        <v>241</v>
      </c>
      <c r="B47" s="94" t="s">
        <v>242</v>
      </c>
      <c r="C47" s="94" t="s">
        <v>43</v>
      </c>
      <c r="D47" s="94" t="s">
        <v>435</v>
      </c>
      <c r="E47" s="526" t="s">
        <v>1545</v>
      </c>
      <c r="F47" s="180"/>
      <c r="G47" s="432">
        <f t="shared" si="4"/>
        <v>1159800</v>
      </c>
      <c r="H47" s="524">
        <f>'d3'!E46</f>
        <v>1159800</v>
      </c>
      <c r="I47" s="432">
        <f>'d3'!J46</f>
        <v>0</v>
      </c>
      <c r="J47" s="432">
        <f>'d3'!K46</f>
        <v>0</v>
      </c>
      <c r="K47" s="493" t="b">
        <f>H47='d3'!E46</f>
        <v>1</v>
      </c>
      <c r="L47" s="527" t="b">
        <f>I47='d3'!J46</f>
        <v>1</v>
      </c>
      <c r="M47" s="527" t="b">
        <f>J47='d3'!K46</f>
        <v>1</v>
      </c>
    </row>
    <row r="48" spans="1:13" ht="138.75" hidden="1" thickTop="1" thickBot="1" x14ac:dyDescent="0.25">
      <c r="A48" s="119" t="s">
        <v>556</v>
      </c>
      <c r="B48" s="119" t="s">
        <v>356</v>
      </c>
      <c r="C48" s="119" t="s">
        <v>43</v>
      </c>
      <c r="D48" s="119" t="s">
        <v>357</v>
      </c>
      <c r="E48" s="196" t="s">
        <v>1386</v>
      </c>
      <c r="F48" s="180" t="s">
        <v>1409</v>
      </c>
      <c r="G48" s="180">
        <f t="shared" si="4"/>
        <v>0</v>
      </c>
      <c r="H48" s="197">
        <f>'d3'!E47</f>
        <v>0</v>
      </c>
      <c r="I48" s="180">
        <f>'d3'!J47</f>
        <v>0</v>
      </c>
      <c r="J48" s="180">
        <f>'d3'!K47</f>
        <v>0</v>
      </c>
      <c r="K48" s="195" t="b">
        <f>H48='d3'!E47</f>
        <v>1</v>
      </c>
      <c r="L48" s="202" t="b">
        <f>I48='d3'!J47</f>
        <v>1</v>
      </c>
      <c r="M48" s="202" t="b">
        <f>J48='d3'!K47</f>
        <v>1</v>
      </c>
    </row>
    <row r="49" spans="1:13" ht="186.75" customHeight="1" thickTop="1" thickBot="1" x14ac:dyDescent="0.25">
      <c r="A49" s="94" t="s">
        <v>501</v>
      </c>
      <c r="B49" s="94" t="s">
        <v>502</v>
      </c>
      <c r="C49" s="94" t="s">
        <v>43</v>
      </c>
      <c r="D49" s="94" t="s">
        <v>503</v>
      </c>
      <c r="E49" s="432" t="s">
        <v>1552</v>
      </c>
      <c r="F49" s="180"/>
      <c r="G49" s="432">
        <f t="shared" ref="G49:G61" si="6">H49+I49</f>
        <v>109057500</v>
      </c>
      <c r="H49" s="525">
        <f>47447078.28+67110421.72-4000000-1500000</f>
        <v>109057500</v>
      </c>
      <c r="I49" s="432">
        <v>0</v>
      </c>
      <c r="J49" s="432">
        <v>0</v>
      </c>
      <c r="K49" s="493" t="b">
        <f>H49+H51+H52+H50+H53+H54+H60+H55+H57+H59+H56+H61+H58='d3'!E48</f>
        <v>1</v>
      </c>
      <c r="L49" s="527" t="b">
        <f>I49+I51+I52+I50+I53+I54+I60+I57+I59+I55+I56+I61+I58='d3'!J48</f>
        <v>1</v>
      </c>
      <c r="M49" s="527" t="b">
        <f>J49+J51+J52+J50+J53+J54+J60+J57+J59+J55+J56+J61+J58='d3'!K48</f>
        <v>1</v>
      </c>
    </row>
    <row r="50" spans="1:13" ht="216.75" customHeight="1" thickTop="1" thickBot="1" x14ac:dyDescent="0.25">
      <c r="A50" s="94" t="s">
        <v>501</v>
      </c>
      <c r="B50" s="94" t="s">
        <v>502</v>
      </c>
      <c r="C50" s="94" t="s">
        <v>43</v>
      </c>
      <c r="D50" s="94" t="s">
        <v>503</v>
      </c>
      <c r="E50" s="499" t="s">
        <v>1671</v>
      </c>
      <c r="F50" s="499" t="s">
        <v>1469</v>
      </c>
      <c r="G50" s="499">
        <f>H50+I50</f>
        <v>4000000</v>
      </c>
      <c r="H50" s="499">
        <v>4000000</v>
      </c>
      <c r="I50" s="499">
        <v>0</v>
      </c>
      <c r="J50" s="499">
        <v>0</v>
      </c>
      <c r="K50" s="195"/>
      <c r="L50" s="202"/>
      <c r="M50" s="198"/>
    </row>
    <row r="51" spans="1:13" ht="360.75" customHeight="1" thickTop="1" thickBot="1" x14ac:dyDescent="0.25">
      <c r="A51" s="94" t="s">
        <v>501</v>
      </c>
      <c r="B51" s="94" t="s">
        <v>502</v>
      </c>
      <c r="C51" s="94" t="s">
        <v>43</v>
      </c>
      <c r="D51" s="94" t="s">
        <v>503</v>
      </c>
      <c r="E51" s="432" t="s">
        <v>1542</v>
      </c>
      <c r="F51" s="180"/>
      <c r="G51" s="432">
        <f t="shared" si="6"/>
        <v>1000000</v>
      </c>
      <c r="H51" s="432">
        <v>1000000</v>
      </c>
      <c r="I51" s="432">
        <v>0</v>
      </c>
      <c r="J51" s="432">
        <v>0</v>
      </c>
      <c r="K51" s="195"/>
      <c r="L51" s="202"/>
      <c r="M51" s="203"/>
    </row>
    <row r="52" spans="1:13" ht="263.25" customHeight="1" thickTop="1" thickBot="1" x14ac:dyDescent="0.25">
      <c r="A52" s="94" t="s">
        <v>501</v>
      </c>
      <c r="B52" s="94" t="s">
        <v>502</v>
      </c>
      <c r="C52" s="94" t="s">
        <v>43</v>
      </c>
      <c r="D52" s="94" t="s">
        <v>503</v>
      </c>
      <c r="E52" s="432" t="s">
        <v>1623</v>
      </c>
      <c r="F52" s="180"/>
      <c r="G52" s="432">
        <f t="shared" si="6"/>
        <v>3500000</v>
      </c>
      <c r="H52" s="432">
        <v>3500000</v>
      </c>
      <c r="I52" s="432">
        <v>0</v>
      </c>
      <c r="J52" s="432">
        <v>0</v>
      </c>
      <c r="K52" s="195"/>
      <c r="L52" s="202"/>
      <c r="M52" s="203"/>
    </row>
    <row r="53" spans="1:13" ht="276" thickTop="1" thickBot="1" x14ac:dyDescent="0.25">
      <c r="A53" s="94" t="s">
        <v>501</v>
      </c>
      <c r="B53" s="94" t="s">
        <v>502</v>
      </c>
      <c r="C53" s="94" t="s">
        <v>43</v>
      </c>
      <c r="D53" s="94" t="s">
        <v>503</v>
      </c>
      <c r="E53" s="432" t="s">
        <v>1505</v>
      </c>
      <c r="F53" s="432" t="s">
        <v>1470</v>
      </c>
      <c r="G53" s="432">
        <f t="shared" si="6"/>
        <v>3500000</v>
      </c>
      <c r="H53" s="432">
        <f>(0+2000000)+1500000</f>
        <v>3500000</v>
      </c>
      <c r="I53" s="432">
        <v>0</v>
      </c>
      <c r="J53" s="432">
        <v>0</v>
      </c>
      <c r="K53" s="195"/>
      <c r="L53" s="202"/>
      <c r="M53" s="203"/>
    </row>
    <row r="54" spans="1:13" ht="171.75" customHeight="1" thickTop="1" thickBot="1" x14ac:dyDescent="0.25">
      <c r="A54" s="94" t="s">
        <v>501</v>
      </c>
      <c r="B54" s="94" t="s">
        <v>502</v>
      </c>
      <c r="C54" s="94" t="s">
        <v>43</v>
      </c>
      <c r="D54" s="94" t="s">
        <v>503</v>
      </c>
      <c r="E54" s="432" t="s">
        <v>1506</v>
      </c>
      <c r="F54" s="432" t="s">
        <v>1496</v>
      </c>
      <c r="G54" s="432">
        <f>H54+I54</f>
        <v>1500000</v>
      </c>
      <c r="H54" s="432">
        <v>1500000</v>
      </c>
      <c r="I54" s="432">
        <v>0</v>
      </c>
      <c r="J54" s="432">
        <v>0</v>
      </c>
      <c r="K54" s="195"/>
      <c r="L54" s="202"/>
      <c r="M54" s="203"/>
    </row>
    <row r="55" spans="1:13" ht="230.25" hidden="1" thickTop="1" thickBot="1" x14ac:dyDescent="0.25">
      <c r="A55" s="119" t="s">
        <v>501</v>
      </c>
      <c r="B55" s="119" t="s">
        <v>502</v>
      </c>
      <c r="C55" s="119" t="s">
        <v>43</v>
      </c>
      <c r="D55" s="119" t="s">
        <v>503</v>
      </c>
      <c r="E55" s="180" t="s">
        <v>1333</v>
      </c>
      <c r="F55" s="180" t="s">
        <v>1352</v>
      </c>
      <c r="G55" s="180">
        <f t="shared" si="6"/>
        <v>0</v>
      </c>
      <c r="H55" s="180">
        <v>0</v>
      </c>
      <c r="I55" s="180">
        <v>0</v>
      </c>
      <c r="J55" s="180">
        <v>0</v>
      </c>
      <c r="K55" s="195"/>
      <c r="L55" s="202"/>
      <c r="M55" s="203"/>
    </row>
    <row r="56" spans="1:13" ht="184.5" hidden="1" thickTop="1" thickBot="1" x14ac:dyDescent="0.25">
      <c r="A56" s="119" t="s">
        <v>501</v>
      </c>
      <c r="B56" s="119" t="s">
        <v>502</v>
      </c>
      <c r="C56" s="119" t="s">
        <v>43</v>
      </c>
      <c r="D56" s="119" t="s">
        <v>503</v>
      </c>
      <c r="E56" s="180" t="s">
        <v>1225</v>
      </c>
      <c r="F56" s="180" t="s">
        <v>1226</v>
      </c>
      <c r="G56" s="180">
        <f t="shared" si="6"/>
        <v>0</v>
      </c>
      <c r="H56" s="180"/>
      <c r="I56" s="180"/>
      <c r="J56" s="180"/>
      <c r="K56" s="195"/>
      <c r="L56" s="202"/>
      <c r="M56" s="203"/>
    </row>
    <row r="57" spans="1:13" ht="184.5" hidden="1" thickTop="1" thickBot="1" x14ac:dyDescent="0.25">
      <c r="A57" s="119" t="s">
        <v>501</v>
      </c>
      <c r="B57" s="119" t="s">
        <v>502</v>
      </c>
      <c r="C57" s="119" t="s">
        <v>43</v>
      </c>
      <c r="D57" s="119" t="s">
        <v>503</v>
      </c>
      <c r="E57" s="180" t="s">
        <v>1332</v>
      </c>
      <c r="F57" s="180"/>
      <c r="G57" s="180">
        <f t="shared" si="6"/>
        <v>0</v>
      </c>
      <c r="H57" s="180">
        <v>0</v>
      </c>
      <c r="I57" s="180">
        <f>800000-800000</f>
        <v>0</v>
      </c>
      <c r="J57" s="180">
        <f>800000-800000</f>
        <v>0</v>
      </c>
      <c r="K57" s="195"/>
      <c r="L57" s="202"/>
      <c r="M57" s="203"/>
    </row>
    <row r="58" spans="1:13" ht="184.5" hidden="1" thickTop="1" thickBot="1" x14ac:dyDescent="0.25">
      <c r="A58" s="119" t="s">
        <v>501</v>
      </c>
      <c r="B58" s="119" t="s">
        <v>502</v>
      </c>
      <c r="C58" s="119" t="s">
        <v>43</v>
      </c>
      <c r="D58" s="119" t="s">
        <v>503</v>
      </c>
      <c r="E58" s="180" t="s">
        <v>1357</v>
      </c>
      <c r="F58" s="180" t="s">
        <v>1353</v>
      </c>
      <c r="G58" s="180">
        <f t="shared" si="6"/>
        <v>0</v>
      </c>
      <c r="H58" s="180">
        <v>0</v>
      </c>
      <c r="I58" s="180">
        <v>0</v>
      </c>
      <c r="J58" s="180">
        <v>0</v>
      </c>
      <c r="K58" s="195"/>
      <c r="L58" s="202"/>
      <c r="M58" s="203"/>
    </row>
    <row r="59" spans="1:13" ht="367.5" hidden="1" thickTop="1" thickBot="1" x14ac:dyDescent="0.25">
      <c r="A59" s="119" t="s">
        <v>501</v>
      </c>
      <c r="B59" s="119" t="s">
        <v>502</v>
      </c>
      <c r="C59" s="119" t="s">
        <v>43</v>
      </c>
      <c r="D59" s="119" t="s">
        <v>503</v>
      </c>
      <c r="E59" s="180" t="s">
        <v>1503</v>
      </c>
      <c r="F59" s="180" t="s">
        <v>1504</v>
      </c>
      <c r="G59" s="180">
        <f t="shared" si="6"/>
        <v>0</v>
      </c>
      <c r="H59" s="180">
        <v>0</v>
      </c>
      <c r="I59" s="180">
        <v>0</v>
      </c>
      <c r="J59" s="180">
        <v>0</v>
      </c>
      <c r="K59" s="195"/>
      <c r="L59" s="202"/>
      <c r="M59" s="203"/>
    </row>
    <row r="60" spans="1:13" ht="207.75" customHeight="1" thickTop="1" thickBot="1" x14ac:dyDescent="0.25">
      <c r="A60" s="94" t="s">
        <v>501</v>
      </c>
      <c r="B60" s="94" t="s">
        <v>502</v>
      </c>
      <c r="C60" s="94" t="s">
        <v>43</v>
      </c>
      <c r="D60" s="94" t="s">
        <v>503</v>
      </c>
      <c r="E60" s="432" t="s">
        <v>1624</v>
      </c>
      <c r="F60" s="180"/>
      <c r="G60" s="432">
        <f t="shared" si="6"/>
        <v>442500</v>
      </c>
      <c r="H60" s="432">
        <v>442500</v>
      </c>
      <c r="I60" s="432">
        <v>0</v>
      </c>
      <c r="J60" s="432">
        <v>0</v>
      </c>
      <c r="K60" s="195"/>
      <c r="L60" s="202"/>
      <c r="M60" s="203"/>
    </row>
    <row r="61" spans="1:13" ht="230.25" hidden="1" thickTop="1" thickBot="1" x14ac:dyDescent="0.25">
      <c r="A61" s="119" t="s">
        <v>501</v>
      </c>
      <c r="B61" s="119" t="s">
        <v>502</v>
      </c>
      <c r="C61" s="119" t="s">
        <v>43</v>
      </c>
      <c r="D61" s="119" t="s">
        <v>503</v>
      </c>
      <c r="E61" s="180" t="s">
        <v>1256</v>
      </c>
      <c r="F61" s="180" t="s">
        <v>1257</v>
      </c>
      <c r="G61" s="180">
        <f t="shared" si="6"/>
        <v>0</v>
      </c>
      <c r="H61" s="180"/>
      <c r="I61" s="180"/>
      <c r="J61" s="180"/>
      <c r="K61" s="195"/>
      <c r="L61" s="202"/>
      <c r="M61" s="203"/>
    </row>
    <row r="62" spans="1:13" ht="166.5" customHeight="1" thickTop="1" thickBot="1" x14ac:dyDescent="0.25">
      <c r="A62" s="535" t="s">
        <v>149</v>
      </c>
      <c r="B62" s="535"/>
      <c r="C62" s="535"/>
      <c r="D62" s="536" t="s">
        <v>0</v>
      </c>
      <c r="E62" s="536"/>
      <c r="F62" s="536"/>
      <c r="G62" s="537">
        <f>G63</f>
        <v>1921677156.8399999</v>
      </c>
      <c r="H62" s="537">
        <f t="shared" ref="H62:J62" si="7">H63</f>
        <v>1660213096.8399999</v>
      </c>
      <c r="I62" s="537">
        <f t="shared" si="7"/>
        <v>261464060</v>
      </c>
      <c r="J62" s="537">
        <f t="shared" si="7"/>
        <v>9379760</v>
      </c>
      <c r="K62" s="559" t="b">
        <f>H62='d3'!E50</f>
        <v>1</v>
      </c>
      <c r="L62" s="560" t="b">
        <f>I62='d3'!J50</f>
        <v>1</v>
      </c>
      <c r="M62" s="618" t="b">
        <f>J62='d3'!K49</f>
        <v>1</v>
      </c>
    </row>
    <row r="63" spans="1:13" ht="194.25" customHeight="1" thickTop="1" thickBot="1" x14ac:dyDescent="0.25">
      <c r="A63" s="532" t="s">
        <v>150</v>
      </c>
      <c r="B63" s="532"/>
      <c r="C63" s="532"/>
      <c r="D63" s="533" t="s">
        <v>1</v>
      </c>
      <c r="E63" s="533"/>
      <c r="F63" s="533"/>
      <c r="G63" s="534">
        <f>SUM(G64:G117)</f>
        <v>1921677156.8399999</v>
      </c>
      <c r="H63" s="534">
        <f>SUM(H64:H117)</f>
        <v>1660213096.8399999</v>
      </c>
      <c r="I63" s="534">
        <f>SUM(I64:I117)</f>
        <v>261464060</v>
      </c>
      <c r="J63" s="534">
        <f>SUM(J64:J117)</f>
        <v>9379760</v>
      </c>
      <c r="K63" s="130"/>
      <c r="L63" s="130"/>
      <c r="M63" s="130"/>
    </row>
    <row r="64" spans="1:13" ht="138.75" thickTop="1" thickBot="1" x14ac:dyDescent="0.25">
      <c r="A64" s="94" t="s">
        <v>195</v>
      </c>
      <c r="B64" s="94" t="s">
        <v>196</v>
      </c>
      <c r="C64" s="94" t="s">
        <v>198</v>
      </c>
      <c r="D64" s="94" t="s">
        <v>199</v>
      </c>
      <c r="E64" s="526" t="s">
        <v>1219</v>
      </c>
      <c r="F64" s="432" t="s">
        <v>1060</v>
      </c>
      <c r="G64" s="432">
        <f t="shared" ref="G64:G83" si="8">H64+I64</f>
        <v>882176987.03999996</v>
      </c>
      <c r="H64" s="432">
        <f>'d3'!E52-H65-H66</f>
        <v>767773417.03999996</v>
      </c>
      <c r="I64" s="432">
        <f>'d3'!J52-I65-I66</f>
        <v>114403570</v>
      </c>
      <c r="J64" s="432">
        <f>'d3'!K52-J65-J66</f>
        <v>0</v>
      </c>
      <c r="K64" s="493" t="b">
        <f>H64+H65+H66='d3'!E52</f>
        <v>1</v>
      </c>
      <c r="L64" s="527" t="b">
        <f>I64+I65+I66='d3'!J52</f>
        <v>1</v>
      </c>
      <c r="M64" s="527" t="b">
        <f>J64+J65+J66='d3'!K52</f>
        <v>1</v>
      </c>
    </row>
    <row r="65" spans="1:13" ht="138.75" hidden="1" thickTop="1" thickBot="1" x14ac:dyDescent="0.25">
      <c r="A65" s="119" t="s">
        <v>195</v>
      </c>
      <c r="B65" s="119" t="s">
        <v>196</v>
      </c>
      <c r="C65" s="119" t="s">
        <v>198</v>
      </c>
      <c r="D65" s="119" t="s">
        <v>199</v>
      </c>
      <c r="E65" s="196" t="s">
        <v>1345</v>
      </c>
      <c r="F65" s="180" t="s">
        <v>1346</v>
      </c>
      <c r="G65" s="180">
        <f>H65+I65</f>
        <v>0</v>
      </c>
      <c r="H65" s="180">
        <v>0</v>
      </c>
      <c r="I65" s="180">
        <v>0</v>
      </c>
      <c r="J65" s="180">
        <v>0</v>
      </c>
      <c r="K65" s="130"/>
      <c r="L65" s="130"/>
      <c r="M65" s="130"/>
    </row>
    <row r="66" spans="1:13" ht="276" hidden="1" thickTop="1" thickBot="1" x14ac:dyDescent="0.25">
      <c r="A66" s="119" t="s">
        <v>195</v>
      </c>
      <c r="B66" s="119" t="s">
        <v>196</v>
      </c>
      <c r="C66" s="119" t="s">
        <v>198</v>
      </c>
      <c r="D66" s="119" t="s">
        <v>199</v>
      </c>
      <c r="E66" s="180" t="s">
        <v>1211</v>
      </c>
      <c r="F66" s="180" t="s">
        <v>825</v>
      </c>
      <c r="G66" s="180">
        <f t="shared" si="8"/>
        <v>0</v>
      </c>
      <c r="H66" s="180"/>
      <c r="I66" s="180"/>
      <c r="J66" s="180"/>
      <c r="K66" s="130"/>
      <c r="L66" s="130"/>
      <c r="M66" s="130"/>
    </row>
    <row r="67" spans="1:13" ht="138.75" thickTop="1" thickBot="1" x14ac:dyDescent="0.25">
      <c r="A67" s="94" t="s">
        <v>618</v>
      </c>
      <c r="B67" s="94" t="s">
        <v>619</v>
      </c>
      <c r="C67" s="94" t="s">
        <v>201</v>
      </c>
      <c r="D67" s="94" t="s">
        <v>1143</v>
      </c>
      <c r="E67" s="526" t="s">
        <v>1219</v>
      </c>
      <c r="F67" s="432" t="s">
        <v>1060</v>
      </c>
      <c r="G67" s="432">
        <f t="shared" si="8"/>
        <v>661964007.88999999</v>
      </c>
      <c r="H67" s="432">
        <f>'d3'!E54-H68-H69-H70</f>
        <v>555303877.88999999</v>
      </c>
      <c r="I67" s="432">
        <f>'d3'!J54-I68-I69-I70</f>
        <v>106660130</v>
      </c>
      <c r="J67" s="432">
        <f>'d3'!K54-J68-J69-J70</f>
        <v>0</v>
      </c>
      <c r="K67" s="493" t="b">
        <f>H67+H68+H69+H70='d3'!E54</f>
        <v>1</v>
      </c>
      <c r="L67" s="527" t="b">
        <f>I67+I68+I69+I70='d3'!J54</f>
        <v>1</v>
      </c>
      <c r="M67" s="527" t="b">
        <f>J67+J68+J69='d3'!K54</f>
        <v>1</v>
      </c>
    </row>
    <row r="68" spans="1:13" ht="138.75" hidden="1" thickTop="1" thickBot="1" x14ac:dyDescent="0.25">
      <c r="A68" s="119" t="s">
        <v>618</v>
      </c>
      <c r="B68" s="119" t="s">
        <v>619</v>
      </c>
      <c r="C68" s="119" t="s">
        <v>201</v>
      </c>
      <c r="D68" s="94" t="s">
        <v>1143</v>
      </c>
      <c r="E68" s="196" t="s">
        <v>1345</v>
      </c>
      <c r="F68" s="180" t="s">
        <v>1346</v>
      </c>
      <c r="G68" s="180">
        <f t="shared" si="8"/>
        <v>0</v>
      </c>
      <c r="H68" s="180"/>
      <c r="I68" s="180"/>
      <c r="J68" s="180"/>
      <c r="K68" s="199"/>
      <c r="L68" s="130"/>
      <c r="M68" s="130"/>
    </row>
    <row r="69" spans="1:13" ht="138.75" hidden="1" thickTop="1" thickBot="1" x14ac:dyDescent="0.25">
      <c r="A69" s="39" t="s">
        <v>618</v>
      </c>
      <c r="B69" s="39" t="s">
        <v>619</v>
      </c>
      <c r="C69" s="39" t="s">
        <v>201</v>
      </c>
      <c r="D69" s="119" t="s">
        <v>1143</v>
      </c>
      <c r="E69" s="196" t="s">
        <v>1059</v>
      </c>
      <c r="F69" s="180" t="s">
        <v>1060</v>
      </c>
      <c r="G69" s="71">
        <f>H69+I69</f>
        <v>0</v>
      </c>
      <c r="H69" s="71">
        <v>0</v>
      </c>
      <c r="I69" s="71">
        <v>0</v>
      </c>
      <c r="J69" s="71">
        <v>0</v>
      </c>
      <c r="K69" s="130"/>
      <c r="L69" s="130"/>
      <c r="M69" s="130"/>
    </row>
    <row r="70" spans="1:13" ht="276" hidden="1" thickTop="1" thickBot="1" x14ac:dyDescent="0.25">
      <c r="A70" s="119" t="s">
        <v>618</v>
      </c>
      <c r="B70" s="119" t="s">
        <v>619</v>
      </c>
      <c r="C70" s="119" t="s">
        <v>201</v>
      </c>
      <c r="D70" s="119" t="s">
        <v>1143</v>
      </c>
      <c r="E70" s="180" t="s">
        <v>1211</v>
      </c>
      <c r="F70" s="180" t="s">
        <v>825</v>
      </c>
      <c r="G70" s="180">
        <f t="shared" si="8"/>
        <v>0</v>
      </c>
      <c r="H70" s="180"/>
      <c r="I70" s="180"/>
      <c r="J70" s="180"/>
      <c r="K70" s="130"/>
      <c r="L70" s="130"/>
      <c r="M70" s="130"/>
    </row>
    <row r="71" spans="1:13" ht="315" customHeight="1" thickTop="1" thickBot="1" x14ac:dyDescent="0.25">
      <c r="A71" s="94" t="s">
        <v>626</v>
      </c>
      <c r="B71" s="94" t="s">
        <v>627</v>
      </c>
      <c r="C71" s="94" t="s">
        <v>204</v>
      </c>
      <c r="D71" s="94" t="s">
        <v>1399</v>
      </c>
      <c r="E71" s="526" t="s">
        <v>1219</v>
      </c>
      <c r="F71" s="432" t="s">
        <v>1060</v>
      </c>
      <c r="G71" s="432">
        <f t="shared" si="8"/>
        <v>35139971.359999999</v>
      </c>
      <c r="H71" s="432">
        <f>'d3'!E55-H72</f>
        <v>34967271.359999999</v>
      </c>
      <c r="I71" s="432">
        <f>'d3'!J55-I72</f>
        <v>172700</v>
      </c>
      <c r="J71" s="432">
        <f>'d3'!K55-J72</f>
        <v>0</v>
      </c>
      <c r="K71" s="493" t="b">
        <f>H71+H72='d3'!E55</f>
        <v>1</v>
      </c>
      <c r="L71" s="493" t="b">
        <f>I71+I72='d3'!J55</f>
        <v>1</v>
      </c>
      <c r="M71" s="493" t="b">
        <f>J71+J72='d3'!K55</f>
        <v>1</v>
      </c>
    </row>
    <row r="72" spans="1:13" ht="184.5" hidden="1" thickTop="1" thickBot="1" x14ac:dyDescent="0.25">
      <c r="A72" s="39" t="s">
        <v>626</v>
      </c>
      <c r="B72" s="39" t="s">
        <v>627</v>
      </c>
      <c r="C72" s="39" t="s">
        <v>204</v>
      </c>
      <c r="D72" s="39" t="s">
        <v>485</v>
      </c>
      <c r="E72" s="199" t="s">
        <v>564</v>
      </c>
      <c r="F72" s="71" t="s">
        <v>400</v>
      </c>
      <c r="G72" s="71">
        <f t="shared" si="8"/>
        <v>0</v>
      </c>
      <c r="H72" s="71">
        <v>0</v>
      </c>
      <c r="I72" s="71"/>
      <c r="J72" s="71"/>
      <c r="K72" s="199" t="s">
        <v>544</v>
      </c>
      <c r="L72" s="130"/>
      <c r="M72" s="130"/>
    </row>
    <row r="73" spans="1:13" ht="195.75" customHeight="1" thickTop="1" thickBot="1" x14ac:dyDescent="0.25">
      <c r="A73" s="94" t="s">
        <v>937</v>
      </c>
      <c r="B73" s="94" t="s">
        <v>938</v>
      </c>
      <c r="C73" s="94" t="s">
        <v>204</v>
      </c>
      <c r="D73" s="94" t="s">
        <v>1625</v>
      </c>
      <c r="E73" s="526" t="s">
        <v>1219</v>
      </c>
      <c r="F73" s="432" t="s">
        <v>1060</v>
      </c>
      <c r="G73" s="432">
        <f t="shared" si="8"/>
        <v>24125444.43</v>
      </c>
      <c r="H73" s="432">
        <f>'d3'!E56</f>
        <v>24125444.43</v>
      </c>
      <c r="I73" s="432">
        <f>'d3'!J56</f>
        <v>0</v>
      </c>
      <c r="J73" s="432">
        <f>'d3'!K56</f>
        <v>0</v>
      </c>
      <c r="K73" s="205"/>
      <c r="L73" s="130"/>
      <c r="M73" s="130"/>
    </row>
    <row r="74" spans="1:13" ht="138.75" hidden="1" thickTop="1" thickBot="1" x14ac:dyDescent="0.25">
      <c r="A74" s="119" t="s">
        <v>633</v>
      </c>
      <c r="B74" s="119" t="s">
        <v>634</v>
      </c>
      <c r="C74" s="119" t="s">
        <v>201</v>
      </c>
      <c r="D74" s="119" t="s">
        <v>1144</v>
      </c>
      <c r="E74" s="196" t="s">
        <v>1219</v>
      </c>
      <c r="F74" s="180" t="s">
        <v>1060</v>
      </c>
      <c r="G74" s="180">
        <f t="shared" si="8"/>
        <v>0</v>
      </c>
      <c r="H74" s="180">
        <f>'d3'!E58</f>
        <v>0</v>
      </c>
      <c r="I74" s="180">
        <f>'d3'!J58</f>
        <v>0</v>
      </c>
      <c r="J74" s="180">
        <f>'d3'!K58</f>
        <v>0</v>
      </c>
      <c r="K74" s="205"/>
      <c r="L74" s="130"/>
      <c r="M74" s="130"/>
    </row>
    <row r="75" spans="1:13" ht="138.75" hidden="1" thickTop="1" thickBot="1" x14ac:dyDescent="0.25">
      <c r="A75" s="119" t="s">
        <v>1037</v>
      </c>
      <c r="B75" s="119" t="s">
        <v>1038</v>
      </c>
      <c r="C75" s="119" t="s">
        <v>204</v>
      </c>
      <c r="D75" s="119" t="s">
        <v>1145</v>
      </c>
      <c r="E75" s="196" t="s">
        <v>1219</v>
      </c>
      <c r="F75" s="180" t="s">
        <v>1060</v>
      </c>
      <c r="G75" s="180">
        <f t="shared" ref="G75" si="9">H75+I75</f>
        <v>0</v>
      </c>
      <c r="H75" s="180">
        <f>'d3'!E59</f>
        <v>0</v>
      </c>
      <c r="I75" s="180">
        <f>'d3'!J59</f>
        <v>0</v>
      </c>
      <c r="J75" s="180">
        <f>'d3'!K59</f>
        <v>0</v>
      </c>
      <c r="K75" s="205"/>
      <c r="L75" s="130"/>
      <c r="M75" s="130"/>
    </row>
    <row r="76" spans="1:13" ht="339.75" hidden="1" customHeight="1" thickTop="1" thickBot="1" x14ac:dyDescent="0.25">
      <c r="A76" s="119" t="s">
        <v>888</v>
      </c>
      <c r="B76" s="119" t="s">
        <v>889</v>
      </c>
      <c r="C76" s="119" t="s">
        <v>201</v>
      </c>
      <c r="D76" s="119" t="s">
        <v>1401</v>
      </c>
      <c r="E76" s="196" t="s">
        <v>1219</v>
      </c>
      <c r="F76" s="180" t="s">
        <v>1060</v>
      </c>
      <c r="G76" s="180">
        <f t="shared" si="8"/>
        <v>0</v>
      </c>
      <c r="H76" s="180">
        <f>'d3'!E61</f>
        <v>0</v>
      </c>
      <c r="I76" s="180">
        <f>'d3'!J61</f>
        <v>0</v>
      </c>
      <c r="J76" s="180">
        <f>'d3'!K61</f>
        <v>0</v>
      </c>
      <c r="K76" s="208"/>
      <c r="L76" s="130"/>
      <c r="M76" s="130"/>
    </row>
    <row r="77" spans="1:13" ht="204.75" customHeight="1" thickTop="1" thickBot="1" x14ac:dyDescent="0.25">
      <c r="A77" s="94" t="s">
        <v>635</v>
      </c>
      <c r="B77" s="94" t="s">
        <v>203</v>
      </c>
      <c r="C77" s="94" t="s">
        <v>178</v>
      </c>
      <c r="D77" s="94" t="s">
        <v>487</v>
      </c>
      <c r="E77" s="526" t="s">
        <v>1219</v>
      </c>
      <c r="F77" s="432" t="s">
        <v>1060</v>
      </c>
      <c r="G77" s="432">
        <f t="shared" si="8"/>
        <v>45187608.960000001</v>
      </c>
      <c r="H77" s="432">
        <f>'d3'!E62-H79-H78</f>
        <v>43519898.960000001</v>
      </c>
      <c r="I77" s="432">
        <f>'d3'!J62-I79-I78</f>
        <v>1667710</v>
      </c>
      <c r="J77" s="432">
        <f>'d3'!K62-J79-J78</f>
        <v>0</v>
      </c>
      <c r="K77" s="493" t="b">
        <f>H77+H79+H78='d3'!E62</f>
        <v>1</v>
      </c>
      <c r="L77" s="493" t="b">
        <f>I77+I79+I78='d3'!J62</f>
        <v>1</v>
      </c>
      <c r="M77" s="493" t="b">
        <f>J77+J79+J78='d3'!K62</f>
        <v>1</v>
      </c>
    </row>
    <row r="78" spans="1:13" ht="138.75" hidden="1" thickTop="1" thickBot="1" x14ac:dyDescent="0.25">
      <c r="A78" s="119" t="s">
        <v>635</v>
      </c>
      <c r="B78" s="119" t="s">
        <v>203</v>
      </c>
      <c r="C78" s="119" t="s">
        <v>178</v>
      </c>
      <c r="D78" s="119" t="s">
        <v>487</v>
      </c>
      <c r="E78" s="196" t="s">
        <v>1345</v>
      </c>
      <c r="F78" s="180" t="s">
        <v>1346</v>
      </c>
      <c r="G78" s="180">
        <f t="shared" si="8"/>
        <v>0</v>
      </c>
      <c r="H78" s="180"/>
      <c r="I78" s="180"/>
      <c r="J78" s="180"/>
      <c r="K78" s="198"/>
      <c r="L78" s="198"/>
      <c r="M78" s="198"/>
    </row>
    <row r="79" spans="1:13" ht="276" hidden="1" thickTop="1" thickBot="1" x14ac:dyDescent="0.25">
      <c r="A79" s="119" t="s">
        <v>635</v>
      </c>
      <c r="B79" s="119" t="s">
        <v>203</v>
      </c>
      <c r="C79" s="119" t="s">
        <v>178</v>
      </c>
      <c r="D79" s="119" t="s">
        <v>487</v>
      </c>
      <c r="E79" s="180" t="s">
        <v>1211</v>
      </c>
      <c r="F79" s="180" t="s">
        <v>825</v>
      </c>
      <c r="G79" s="180">
        <f t="shared" si="8"/>
        <v>0</v>
      </c>
      <c r="H79" s="180"/>
      <c r="I79" s="180"/>
      <c r="J79" s="180"/>
      <c r="K79" s="130"/>
      <c r="L79" s="130"/>
      <c r="M79" s="130"/>
    </row>
    <row r="80" spans="1:13" ht="189.75" customHeight="1" thickTop="1" thickBot="1" x14ac:dyDescent="0.25">
      <c r="A80" s="94" t="s">
        <v>636</v>
      </c>
      <c r="B80" s="94" t="s">
        <v>637</v>
      </c>
      <c r="C80" s="94" t="s">
        <v>206</v>
      </c>
      <c r="D80" s="94" t="s">
        <v>638</v>
      </c>
      <c r="E80" s="526" t="s">
        <v>1219</v>
      </c>
      <c r="F80" s="432" t="s">
        <v>1060</v>
      </c>
      <c r="G80" s="432">
        <f t="shared" si="8"/>
        <v>221323508.16</v>
      </c>
      <c r="H80" s="432">
        <f>'d3'!E64-H82-H81</f>
        <v>192470798.16</v>
      </c>
      <c r="I80" s="432">
        <f>'d3'!J64-I82-I81</f>
        <v>28852710</v>
      </c>
      <c r="J80" s="432">
        <f>'d3'!K64-J82-J81</f>
        <v>0</v>
      </c>
      <c r="K80" s="493" t="b">
        <f>H80+H82+H81='d3'!E64</f>
        <v>1</v>
      </c>
      <c r="L80" s="493" t="b">
        <f>I80+I82+I81='d3'!J64</f>
        <v>1</v>
      </c>
      <c r="M80" s="493" t="b">
        <f>J80+J82+J81='d3'!K64</f>
        <v>1</v>
      </c>
    </row>
    <row r="81" spans="1:13" ht="138.75" hidden="1" thickTop="1" thickBot="1" x14ac:dyDescent="0.25">
      <c r="A81" s="119" t="s">
        <v>636</v>
      </c>
      <c r="B81" s="119" t="s">
        <v>637</v>
      </c>
      <c r="C81" s="119" t="s">
        <v>206</v>
      </c>
      <c r="D81" s="119" t="s">
        <v>638</v>
      </c>
      <c r="E81" s="196" t="s">
        <v>1345</v>
      </c>
      <c r="F81" s="180" t="s">
        <v>1346</v>
      </c>
      <c r="G81" s="180">
        <f t="shared" si="8"/>
        <v>0</v>
      </c>
      <c r="H81" s="180"/>
      <c r="I81" s="180"/>
      <c r="J81" s="180"/>
      <c r="K81" s="198"/>
      <c r="L81" s="198"/>
      <c r="M81" s="198"/>
    </row>
    <row r="82" spans="1:13" ht="276" hidden="1" thickTop="1" thickBot="1" x14ac:dyDescent="0.25">
      <c r="A82" s="119" t="s">
        <v>636</v>
      </c>
      <c r="B82" s="119" t="s">
        <v>637</v>
      </c>
      <c r="C82" s="119" t="s">
        <v>206</v>
      </c>
      <c r="D82" s="119" t="s">
        <v>638</v>
      </c>
      <c r="E82" s="180" t="s">
        <v>1211</v>
      </c>
      <c r="F82" s="180" t="s">
        <v>825</v>
      </c>
      <c r="G82" s="180">
        <f t="shared" si="8"/>
        <v>0</v>
      </c>
      <c r="H82" s="180"/>
      <c r="I82" s="180"/>
      <c r="J82" s="180"/>
      <c r="K82" s="130"/>
      <c r="L82" s="130"/>
      <c r="M82" s="130"/>
    </row>
    <row r="83" spans="1:13" ht="174.75" hidden="1" customHeight="1" thickTop="1" thickBot="1" x14ac:dyDescent="0.25">
      <c r="A83" s="119" t="s">
        <v>640</v>
      </c>
      <c r="B83" s="119" t="s">
        <v>639</v>
      </c>
      <c r="C83" s="119" t="s">
        <v>206</v>
      </c>
      <c r="D83" s="119" t="s">
        <v>641</v>
      </c>
      <c r="E83" s="196" t="s">
        <v>1219</v>
      </c>
      <c r="F83" s="180" t="s">
        <v>1060</v>
      </c>
      <c r="G83" s="180">
        <f t="shared" si="8"/>
        <v>0</v>
      </c>
      <c r="H83" s="180">
        <f>'d3'!E65</f>
        <v>0</v>
      </c>
      <c r="I83" s="180">
        <f>'d3'!J65</f>
        <v>0</v>
      </c>
      <c r="J83" s="180">
        <f>'d3'!K65</f>
        <v>0</v>
      </c>
      <c r="K83" s="130"/>
      <c r="L83" s="130"/>
      <c r="M83" s="130"/>
    </row>
    <row r="84" spans="1:13" ht="138.75" thickTop="1" thickBot="1" x14ac:dyDescent="0.25">
      <c r="A84" s="94" t="s">
        <v>645</v>
      </c>
      <c r="B84" s="94" t="s">
        <v>646</v>
      </c>
      <c r="C84" s="94" t="s">
        <v>207</v>
      </c>
      <c r="D84" s="94" t="s">
        <v>489</v>
      </c>
      <c r="E84" s="526" t="s">
        <v>1219</v>
      </c>
      <c r="F84" s="432" t="s">
        <v>1060</v>
      </c>
      <c r="G84" s="432">
        <f t="shared" ref="G84" si="10">H84+I84</f>
        <v>29917649</v>
      </c>
      <c r="H84" s="432">
        <f>'d3'!E67</f>
        <v>29590169</v>
      </c>
      <c r="I84" s="432">
        <f>'d3'!J67</f>
        <v>327480</v>
      </c>
      <c r="J84" s="432">
        <f>'d3'!K67</f>
        <v>0</v>
      </c>
      <c r="K84" s="130"/>
      <c r="L84" s="130"/>
      <c r="M84" s="130"/>
    </row>
    <row r="85" spans="1:13" ht="138.75" thickTop="1" thickBot="1" x14ac:dyDescent="0.25">
      <c r="A85" s="94" t="s">
        <v>647</v>
      </c>
      <c r="B85" s="94" t="s">
        <v>648</v>
      </c>
      <c r="C85" s="94" t="s">
        <v>207</v>
      </c>
      <c r="D85" s="94" t="s">
        <v>331</v>
      </c>
      <c r="E85" s="526" t="s">
        <v>1219</v>
      </c>
      <c r="F85" s="432" t="s">
        <v>1060</v>
      </c>
      <c r="G85" s="432">
        <f>H85+I85</f>
        <v>2429910</v>
      </c>
      <c r="H85" s="432">
        <f>'d3'!E68-H86</f>
        <v>2429910</v>
      </c>
      <c r="I85" s="432">
        <f>'d3'!J68-I86</f>
        <v>0</v>
      </c>
      <c r="J85" s="432">
        <f>'d3'!K68-J86</f>
        <v>0</v>
      </c>
      <c r="K85" s="616" t="b">
        <f>H85+H86='d3'!E68</f>
        <v>1</v>
      </c>
      <c r="L85" s="617" t="b">
        <f>I85+I86='d3'!J68</f>
        <v>1</v>
      </c>
      <c r="M85" s="617" t="b">
        <f>J85+J86='d3'!K68</f>
        <v>1</v>
      </c>
    </row>
    <row r="86" spans="1:13" ht="230.25" hidden="1" customHeight="1" thickTop="1" thickBot="1" x14ac:dyDescent="0.25">
      <c r="A86" s="39" t="s">
        <v>647</v>
      </c>
      <c r="B86" s="39" t="s">
        <v>648</v>
      </c>
      <c r="C86" s="39" t="s">
        <v>207</v>
      </c>
      <c r="D86" s="39" t="s">
        <v>331</v>
      </c>
      <c r="E86" s="196" t="s">
        <v>1059</v>
      </c>
      <c r="F86" s="180" t="s">
        <v>1060</v>
      </c>
      <c r="G86" s="71">
        <f>H86+I86</f>
        <v>0</v>
      </c>
      <c r="H86" s="71"/>
      <c r="I86" s="71"/>
      <c r="J86" s="71"/>
      <c r="K86" s="199" t="s">
        <v>545</v>
      </c>
      <c r="L86" s="130"/>
      <c r="M86" s="130"/>
    </row>
    <row r="87" spans="1:13" ht="138.75" thickTop="1" thickBot="1" x14ac:dyDescent="0.25">
      <c r="A87" s="94" t="s">
        <v>651</v>
      </c>
      <c r="B87" s="94" t="s">
        <v>652</v>
      </c>
      <c r="C87" s="94" t="s">
        <v>207</v>
      </c>
      <c r="D87" s="94" t="s">
        <v>653</v>
      </c>
      <c r="E87" s="526" t="s">
        <v>1219</v>
      </c>
      <c r="F87" s="432" t="s">
        <v>1060</v>
      </c>
      <c r="G87" s="432">
        <f t="shared" ref="G87:G88" si="11">H87+I87</f>
        <v>1719840</v>
      </c>
      <c r="H87" s="432">
        <f>'d3'!E70</f>
        <v>1719840</v>
      </c>
      <c r="I87" s="432">
        <f>'d3'!J70</f>
        <v>0</v>
      </c>
      <c r="J87" s="432">
        <f>'d3'!K70</f>
        <v>0</v>
      </c>
      <c r="K87" s="130"/>
      <c r="L87" s="130"/>
      <c r="M87" s="130"/>
    </row>
    <row r="88" spans="1:13" ht="138.75" hidden="1" thickTop="1" thickBot="1" x14ac:dyDescent="0.25">
      <c r="A88" s="119" t="s">
        <v>654</v>
      </c>
      <c r="B88" s="119" t="s">
        <v>655</v>
      </c>
      <c r="C88" s="119" t="s">
        <v>207</v>
      </c>
      <c r="D88" s="119" t="s">
        <v>656</v>
      </c>
      <c r="E88" s="196" t="s">
        <v>1219</v>
      </c>
      <c r="F88" s="180" t="s">
        <v>1060</v>
      </c>
      <c r="G88" s="180">
        <f t="shared" si="11"/>
        <v>0</v>
      </c>
      <c r="H88" s="180">
        <f>'d3'!E71</f>
        <v>0</v>
      </c>
      <c r="I88" s="180">
        <f>'d3'!J71</f>
        <v>0</v>
      </c>
      <c r="J88" s="180">
        <f>'d3'!K71</f>
        <v>0</v>
      </c>
      <c r="K88" s="130"/>
      <c r="L88" s="130"/>
      <c r="M88" s="130"/>
    </row>
    <row r="89" spans="1:13" ht="138.75" thickTop="1" thickBot="1" x14ac:dyDescent="0.25">
      <c r="A89" s="94" t="s">
        <v>623</v>
      </c>
      <c r="B89" s="94" t="s">
        <v>624</v>
      </c>
      <c r="C89" s="94" t="s">
        <v>207</v>
      </c>
      <c r="D89" s="94" t="s">
        <v>625</v>
      </c>
      <c r="E89" s="526" t="s">
        <v>1219</v>
      </c>
      <c r="F89" s="432" t="s">
        <v>1060</v>
      </c>
      <c r="G89" s="432">
        <f t="shared" ref="G89:G90" si="12">H89+I89</f>
        <v>3647470</v>
      </c>
      <c r="H89" s="432">
        <f>'d3'!E72</f>
        <v>3647470</v>
      </c>
      <c r="I89" s="432">
        <f>'d3'!J72</f>
        <v>0</v>
      </c>
      <c r="J89" s="432">
        <f>'d3'!K72</f>
        <v>0</v>
      </c>
      <c r="K89" s="130"/>
      <c r="L89" s="130"/>
      <c r="M89" s="130"/>
    </row>
    <row r="90" spans="1:13" ht="184.5" hidden="1" thickTop="1" thickBot="1" x14ac:dyDescent="0.25">
      <c r="A90" s="119" t="s">
        <v>630</v>
      </c>
      <c r="B90" s="119" t="s">
        <v>631</v>
      </c>
      <c r="C90" s="119" t="s">
        <v>207</v>
      </c>
      <c r="D90" s="119" t="s">
        <v>1360</v>
      </c>
      <c r="E90" s="196" t="s">
        <v>1219</v>
      </c>
      <c r="F90" s="180" t="s">
        <v>1060</v>
      </c>
      <c r="G90" s="180">
        <f t="shared" si="12"/>
        <v>0</v>
      </c>
      <c r="H90" s="180">
        <f>'d3'!E74</f>
        <v>0</v>
      </c>
      <c r="I90" s="180">
        <f>'d3'!J74</f>
        <v>0</v>
      </c>
      <c r="J90" s="180">
        <f>'d3'!K74</f>
        <v>0</v>
      </c>
      <c r="K90" s="130"/>
      <c r="L90" s="130"/>
      <c r="M90" s="130"/>
    </row>
    <row r="91" spans="1:13" ht="184.5" hidden="1" thickTop="1" thickBot="1" x14ac:dyDescent="0.25">
      <c r="A91" s="119" t="s">
        <v>923</v>
      </c>
      <c r="B91" s="119" t="s">
        <v>924</v>
      </c>
      <c r="C91" s="119" t="s">
        <v>207</v>
      </c>
      <c r="D91" s="119" t="s">
        <v>1361</v>
      </c>
      <c r="E91" s="196" t="s">
        <v>1219</v>
      </c>
      <c r="F91" s="180" t="s">
        <v>1060</v>
      </c>
      <c r="G91" s="180">
        <f t="shared" ref="G91" si="13">H91+I91</f>
        <v>0</v>
      </c>
      <c r="H91" s="180">
        <f>'d3'!E75</f>
        <v>0</v>
      </c>
      <c r="I91" s="180">
        <f>'d3'!J75</f>
        <v>0</v>
      </c>
      <c r="J91" s="180">
        <f>'d3'!K75</f>
        <v>0</v>
      </c>
      <c r="K91" s="130"/>
      <c r="L91" s="130"/>
      <c r="M91" s="130"/>
    </row>
    <row r="92" spans="1:13" ht="276" hidden="1" thickTop="1" thickBot="1" x14ac:dyDescent="0.25">
      <c r="A92" s="119" t="s">
        <v>1434</v>
      </c>
      <c r="B92" s="119" t="s">
        <v>1436</v>
      </c>
      <c r="C92" s="119" t="s">
        <v>207</v>
      </c>
      <c r="D92" s="119" t="s">
        <v>1438</v>
      </c>
      <c r="E92" s="196" t="s">
        <v>1219</v>
      </c>
      <c r="F92" s="180" t="s">
        <v>1060</v>
      </c>
      <c r="G92" s="180">
        <f t="shared" ref="G92:G117" si="14">H92+I92</f>
        <v>0</v>
      </c>
      <c r="H92" s="180">
        <f>'d3'!E76</f>
        <v>0</v>
      </c>
      <c r="I92" s="180">
        <f>'d3'!J76</f>
        <v>0</v>
      </c>
      <c r="J92" s="180">
        <f>'d3'!K76</f>
        <v>0</v>
      </c>
      <c r="K92" s="130"/>
      <c r="L92" s="130"/>
      <c r="M92" s="130"/>
    </row>
    <row r="93" spans="1:13" ht="230.25" hidden="1" thickTop="1" thickBot="1" x14ac:dyDescent="0.25">
      <c r="A93" s="119" t="s">
        <v>1435</v>
      </c>
      <c r="B93" s="119" t="s">
        <v>1437</v>
      </c>
      <c r="C93" s="119" t="s">
        <v>207</v>
      </c>
      <c r="D93" s="119" t="s">
        <v>1439</v>
      </c>
      <c r="E93" s="196" t="s">
        <v>1219</v>
      </c>
      <c r="F93" s="180" t="s">
        <v>1060</v>
      </c>
      <c r="G93" s="180">
        <f t="shared" si="14"/>
        <v>0</v>
      </c>
      <c r="H93" s="180">
        <f>'d3'!E77</f>
        <v>0</v>
      </c>
      <c r="I93" s="180">
        <f>'d3'!J77</f>
        <v>0</v>
      </c>
      <c r="J93" s="180">
        <f>'d3'!K77</f>
        <v>0</v>
      </c>
      <c r="K93" s="130"/>
      <c r="L93" s="130"/>
      <c r="M93" s="130"/>
    </row>
    <row r="94" spans="1:13" ht="230.25" hidden="1" thickTop="1" thickBot="1" x14ac:dyDescent="0.25">
      <c r="A94" s="119" t="s">
        <v>621</v>
      </c>
      <c r="B94" s="119" t="s">
        <v>622</v>
      </c>
      <c r="C94" s="119" t="s">
        <v>207</v>
      </c>
      <c r="D94" s="119" t="s">
        <v>1430</v>
      </c>
      <c r="E94" s="196" t="s">
        <v>1219</v>
      </c>
      <c r="F94" s="180" t="s">
        <v>1060</v>
      </c>
      <c r="G94" s="180">
        <f t="shared" si="14"/>
        <v>0</v>
      </c>
      <c r="H94" s="180">
        <f>'d3'!E78</f>
        <v>0</v>
      </c>
      <c r="I94" s="180">
        <f>'d3'!J78</f>
        <v>0</v>
      </c>
      <c r="J94" s="180">
        <f>'d3'!K78</f>
        <v>0</v>
      </c>
      <c r="K94" s="130"/>
      <c r="L94" s="130"/>
      <c r="M94" s="130"/>
    </row>
    <row r="95" spans="1:13" ht="230.25" hidden="1" thickTop="1" thickBot="1" x14ac:dyDescent="0.25">
      <c r="A95" s="119" t="s">
        <v>891</v>
      </c>
      <c r="B95" s="119" t="s">
        <v>892</v>
      </c>
      <c r="C95" s="119" t="s">
        <v>207</v>
      </c>
      <c r="D95" s="119" t="s">
        <v>1258</v>
      </c>
      <c r="E95" s="196" t="s">
        <v>1219</v>
      </c>
      <c r="F95" s="180" t="s">
        <v>1060</v>
      </c>
      <c r="G95" s="180">
        <f t="shared" si="14"/>
        <v>0</v>
      </c>
      <c r="H95" s="180">
        <f>'d3'!E79</f>
        <v>0</v>
      </c>
      <c r="I95" s="180">
        <f>'d3'!J79</f>
        <v>0</v>
      </c>
      <c r="J95" s="180">
        <f>'d3'!K79</f>
        <v>0</v>
      </c>
      <c r="K95" s="130"/>
      <c r="L95" s="130"/>
      <c r="M95" s="130"/>
    </row>
    <row r="96" spans="1:13" ht="230.25" hidden="1" thickTop="1" thickBot="1" x14ac:dyDescent="0.25">
      <c r="A96" s="119" t="s">
        <v>940</v>
      </c>
      <c r="B96" s="119" t="s">
        <v>942</v>
      </c>
      <c r="C96" s="119" t="s">
        <v>207</v>
      </c>
      <c r="D96" s="119" t="s">
        <v>1130</v>
      </c>
      <c r="E96" s="196" t="s">
        <v>1219</v>
      </c>
      <c r="F96" s="180" t="s">
        <v>1060</v>
      </c>
      <c r="G96" s="180">
        <f t="shared" si="14"/>
        <v>0</v>
      </c>
      <c r="H96" s="180">
        <f>'d3'!E81</f>
        <v>0</v>
      </c>
      <c r="I96" s="180">
        <f>'d3'!J81</f>
        <v>0</v>
      </c>
      <c r="J96" s="180">
        <f>'d3'!K81</f>
        <v>0</v>
      </c>
      <c r="K96" s="130"/>
      <c r="L96" s="130"/>
      <c r="M96" s="130"/>
    </row>
    <row r="97" spans="1:13" ht="184.5" hidden="1" thickTop="1" thickBot="1" x14ac:dyDescent="0.25">
      <c r="A97" s="119" t="s">
        <v>977</v>
      </c>
      <c r="B97" s="119" t="s">
        <v>978</v>
      </c>
      <c r="C97" s="119" t="s">
        <v>207</v>
      </c>
      <c r="D97" s="119" t="s">
        <v>1334</v>
      </c>
      <c r="E97" s="196" t="s">
        <v>1219</v>
      </c>
      <c r="F97" s="180" t="s">
        <v>1060</v>
      </c>
      <c r="G97" s="180">
        <f t="shared" si="14"/>
        <v>0</v>
      </c>
      <c r="H97" s="180">
        <f>'d3'!E82</f>
        <v>0</v>
      </c>
      <c r="I97" s="180">
        <f>'d3'!J82</f>
        <v>0</v>
      </c>
      <c r="J97" s="180">
        <f>'d3'!K82</f>
        <v>0</v>
      </c>
      <c r="K97" s="130"/>
      <c r="L97" s="130"/>
      <c r="M97" s="130"/>
    </row>
    <row r="98" spans="1:13" ht="367.5" hidden="1" thickTop="1" thickBot="1" x14ac:dyDescent="0.25">
      <c r="A98" s="119" t="s">
        <v>1214</v>
      </c>
      <c r="B98" s="119" t="s">
        <v>1215</v>
      </c>
      <c r="C98" s="119" t="s">
        <v>207</v>
      </c>
      <c r="D98" s="119" t="s">
        <v>1417</v>
      </c>
      <c r="E98" s="180" t="s">
        <v>1211</v>
      </c>
      <c r="F98" s="180" t="s">
        <v>825</v>
      </c>
      <c r="G98" s="180">
        <f t="shared" si="14"/>
        <v>0</v>
      </c>
      <c r="H98" s="180">
        <f>'d3'!E84</f>
        <v>0</v>
      </c>
      <c r="I98" s="180">
        <f>'d3'!J84</f>
        <v>0</v>
      </c>
      <c r="J98" s="180">
        <f>'d3'!K84</f>
        <v>0</v>
      </c>
      <c r="K98" s="130"/>
      <c r="L98" s="130"/>
      <c r="M98" s="130"/>
    </row>
    <row r="99" spans="1:13" ht="276" hidden="1" thickTop="1" thickBot="1" x14ac:dyDescent="0.25">
      <c r="A99" s="119" t="s">
        <v>1216</v>
      </c>
      <c r="B99" s="119" t="s">
        <v>1217</v>
      </c>
      <c r="C99" s="119" t="s">
        <v>207</v>
      </c>
      <c r="D99" s="119" t="s">
        <v>1218</v>
      </c>
      <c r="E99" s="180" t="s">
        <v>1211</v>
      </c>
      <c r="F99" s="180" t="s">
        <v>825</v>
      </c>
      <c r="G99" s="180">
        <f t="shared" si="14"/>
        <v>0</v>
      </c>
      <c r="H99" s="180">
        <f>'d3'!E85</f>
        <v>0</v>
      </c>
      <c r="I99" s="180">
        <f>'d3'!J85</f>
        <v>0</v>
      </c>
      <c r="J99" s="180">
        <f>'d3'!K85</f>
        <v>0</v>
      </c>
      <c r="K99" s="130"/>
      <c r="L99" s="130"/>
      <c r="M99" s="130"/>
    </row>
    <row r="100" spans="1:13" ht="138.75" hidden="1" thickTop="1" thickBot="1" x14ac:dyDescent="0.25">
      <c r="A100" s="119" t="s">
        <v>1268</v>
      </c>
      <c r="B100" s="119" t="s">
        <v>1269</v>
      </c>
      <c r="C100" s="119" t="s">
        <v>207</v>
      </c>
      <c r="D100" s="119" t="s">
        <v>1273</v>
      </c>
      <c r="E100" s="196" t="s">
        <v>1219</v>
      </c>
      <c r="F100" s="180" t="s">
        <v>1060</v>
      </c>
      <c r="G100" s="180">
        <f t="shared" si="14"/>
        <v>0</v>
      </c>
      <c r="H100" s="180">
        <f>'d3'!E87</f>
        <v>0</v>
      </c>
      <c r="I100" s="180">
        <f>'d3'!J87</f>
        <v>0</v>
      </c>
      <c r="J100" s="180">
        <f>'d3'!K87</f>
        <v>0</v>
      </c>
      <c r="K100" s="130"/>
      <c r="L100" s="130"/>
      <c r="M100" s="130"/>
    </row>
    <row r="101" spans="1:13" ht="184.5" hidden="1" thickTop="1" thickBot="1" x14ac:dyDescent="0.25">
      <c r="A101" s="119" t="s">
        <v>1270</v>
      </c>
      <c r="B101" s="119" t="s">
        <v>1271</v>
      </c>
      <c r="C101" s="119" t="s">
        <v>207</v>
      </c>
      <c r="D101" s="119" t="s">
        <v>1272</v>
      </c>
      <c r="E101" s="196" t="s">
        <v>1219</v>
      </c>
      <c r="F101" s="180" t="s">
        <v>1060</v>
      </c>
      <c r="G101" s="180">
        <f t="shared" si="14"/>
        <v>0</v>
      </c>
      <c r="H101" s="180">
        <f>'d3'!E88</f>
        <v>0</v>
      </c>
      <c r="I101" s="180">
        <f>'d3'!J88</f>
        <v>0</v>
      </c>
      <c r="J101" s="180">
        <f>'d3'!K88</f>
        <v>0</v>
      </c>
      <c r="K101" s="130"/>
      <c r="L101" s="130"/>
      <c r="M101" s="130"/>
    </row>
    <row r="102" spans="1:13" ht="230.25" hidden="1" thickTop="1" thickBot="1" x14ac:dyDescent="0.25">
      <c r="A102" s="119" t="s">
        <v>1482</v>
      </c>
      <c r="B102" s="119" t="s">
        <v>1477</v>
      </c>
      <c r="C102" s="119" t="s">
        <v>207</v>
      </c>
      <c r="D102" s="119" t="s">
        <v>1476</v>
      </c>
      <c r="E102" s="196" t="s">
        <v>1219</v>
      </c>
      <c r="F102" s="180" t="s">
        <v>1060</v>
      </c>
      <c r="G102" s="180">
        <f t="shared" si="14"/>
        <v>0</v>
      </c>
      <c r="H102" s="180">
        <f>'d3'!E89</f>
        <v>0</v>
      </c>
      <c r="I102" s="180">
        <f>'d3'!J89</f>
        <v>0</v>
      </c>
      <c r="J102" s="180">
        <f>'d3'!K89</f>
        <v>0</v>
      </c>
      <c r="K102" s="130"/>
      <c r="L102" s="130"/>
      <c r="M102" s="130"/>
    </row>
    <row r="103" spans="1:13" ht="184.5" hidden="1" thickTop="1" thickBot="1" x14ac:dyDescent="0.25">
      <c r="A103" s="119" t="s">
        <v>1483</v>
      </c>
      <c r="B103" s="119" t="s">
        <v>1479</v>
      </c>
      <c r="C103" s="119" t="s">
        <v>207</v>
      </c>
      <c r="D103" s="119" t="s">
        <v>1478</v>
      </c>
      <c r="E103" s="196" t="s">
        <v>1219</v>
      </c>
      <c r="F103" s="180" t="s">
        <v>1060</v>
      </c>
      <c r="G103" s="180">
        <f t="shared" si="14"/>
        <v>0</v>
      </c>
      <c r="H103" s="180">
        <f>'d3'!E90</f>
        <v>0</v>
      </c>
      <c r="I103" s="180">
        <f>'d3'!J90</f>
        <v>0</v>
      </c>
      <c r="J103" s="180">
        <f>'d3'!K90</f>
        <v>0</v>
      </c>
      <c r="K103" s="130"/>
      <c r="L103" s="130"/>
      <c r="M103" s="130"/>
    </row>
    <row r="104" spans="1:13" ht="321.75" hidden="1" thickTop="1" thickBot="1" x14ac:dyDescent="0.25">
      <c r="A104" s="119" t="s">
        <v>1322</v>
      </c>
      <c r="B104" s="119" t="s">
        <v>1320</v>
      </c>
      <c r="C104" s="119" t="s">
        <v>207</v>
      </c>
      <c r="D104" s="119" t="s">
        <v>1323</v>
      </c>
      <c r="E104" s="196" t="s">
        <v>1219</v>
      </c>
      <c r="F104" s="180" t="s">
        <v>1060</v>
      </c>
      <c r="G104" s="180">
        <f t="shared" si="14"/>
        <v>0</v>
      </c>
      <c r="H104" s="180">
        <f>'d3'!E92</f>
        <v>0</v>
      </c>
      <c r="I104" s="180">
        <f>'d3'!J92</f>
        <v>0</v>
      </c>
      <c r="J104" s="180">
        <f>'d3'!K92</f>
        <v>0</v>
      </c>
      <c r="K104" s="130"/>
      <c r="L104" s="130"/>
      <c r="M104" s="130"/>
    </row>
    <row r="105" spans="1:13" ht="276" hidden="1" thickTop="1" thickBot="1" x14ac:dyDescent="0.25">
      <c r="A105" s="119" t="s">
        <v>1324</v>
      </c>
      <c r="B105" s="119" t="s">
        <v>1325</v>
      </c>
      <c r="C105" s="119" t="s">
        <v>207</v>
      </c>
      <c r="D105" s="119" t="s">
        <v>1326</v>
      </c>
      <c r="E105" s="196" t="s">
        <v>1219</v>
      </c>
      <c r="F105" s="180" t="s">
        <v>1060</v>
      </c>
      <c r="G105" s="180">
        <f>H105+I105</f>
        <v>0</v>
      </c>
      <c r="H105" s="180">
        <f>'d3'!E93</f>
        <v>0</v>
      </c>
      <c r="I105" s="180">
        <f>'d3'!J93</f>
        <v>0</v>
      </c>
      <c r="J105" s="180">
        <f>'d3'!K93</f>
        <v>0</v>
      </c>
      <c r="K105" s="130"/>
      <c r="L105" s="130"/>
      <c r="M105" s="130"/>
    </row>
    <row r="106" spans="1:13" ht="183.75" customHeight="1" thickTop="1" thickBot="1" x14ac:dyDescent="0.25">
      <c r="A106" s="94" t="s">
        <v>1402</v>
      </c>
      <c r="B106" s="94" t="s">
        <v>1389</v>
      </c>
      <c r="C106" s="94" t="s">
        <v>207</v>
      </c>
      <c r="D106" s="94" t="s">
        <v>1580</v>
      </c>
      <c r="E106" s="526" t="s">
        <v>1219</v>
      </c>
      <c r="F106" s="432" t="s">
        <v>1060</v>
      </c>
      <c r="G106" s="432">
        <f t="shared" si="14"/>
        <v>2379760</v>
      </c>
      <c r="H106" s="432">
        <v>0</v>
      </c>
      <c r="I106" s="432">
        <f>2252760+127000</f>
        <v>2379760</v>
      </c>
      <c r="J106" s="432">
        <f>2252760+127000</f>
        <v>2379760</v>
      </c>
      <c r="K106" s="877" t="b">
        <f>H106+H107='d3'!E94</f>
        <v>1</v>
      </c>
      <c r="L106" s="864" t="b">
        <f>I106+I107='d3'!J94</f>
        <v>1</v>
      </c>
      <c r="M106" s="864" t="b">
        <f>J106+J107='d3'!K94</f>
        <v>1</v>
      </c>
    </row>
    <row r="107" spans="1:13" ht="276" customHeight="1" thickTop="1" thickBot="1" x14ac:dyDescent="0.25">
      <c r="A107" s="94" t="s">
        <v>1402</v>
      </c>
      <c r="B107" s="94" t="s">
        <v>1389</v>
      </c>
      <c r="C107" s="94" t="s">
        <v>207</v>
      </c>
      <c r="D107" s="94" t="s">
        <v>1580</v>
      </c>
      <c r="E107" s="432" t="s">
        <v>1542</v>
      </c>
      <c r="F107" s="180"/>
      <c r="G107" s="432">
        <f t="shared" si="14"/>
        <v>7000000</v>
      </c>
      <c r="H107" s="432">
        <v>0</v>
      </c>
      <c r="I107" s="432">
        <v>7000000</v>
      </c>
      <c r="J107" s="432">
        <v>7000000</v>
      </c>
      <c r="K107" s="877"/>
      <c r="L107" s="864"/>
      <c r="M107" s="864"/>
    </row>
    <row r="108" spans="1:13" ht="138.75" hidden="1" thickTop="1" thickBot="1" x14ac:dyDescent="0.25">
      <c r="A108" s="119" t="s">
        <v>1365</v>
      </c>
      <c r="B108" s="119" t="s">
        <v>1366</v>
      </c>
      <c r="C108" s="119" t="s">
        <v>207</v>
      </c>
      <c r="D108" s="119" t="s">
        <v>1369</v>
      </c>
      <c r="E108" s="196" t="s">
        <v>1219</v>
      </c>
      <c r="F108" s="180" t="s">
        <v>1060</v>
      </c>
      <c r="G108" s="180">
        <f>H108+I108</f>
        <v>0</v>
      </c>
      <c r="H108" s="180">
        <f>'d3'!E96</f>
        <v>0</v>
      </c>
      <c r="I108" s="180">
        <f>'d3'!J96</f>
        <v>0</v>
      </c>
      <c r="J108" s="180">
        <f>'d3'!K96</f>
        <v>0</v>
      </c>
      <c r="K108" s="130"/>
      <c r="L108" s="130"/>
      <c r="M108" s="130"/>
    </row>
    <row r="109" spans="1:13" ht="138.75" hidden="1" thickTop="1" thickBot="1" x14ac:dyDescent="0.25">
      <c r="A109" s="119" t="s">
        <v>1431</v>
      </c>
      <c r="B109" s="119" t="s">
        <v>1432</v>
      </c>
      <c r="C109" s="119" t="s">
        <v>207</v>
      </c>
      <c r="D109" s="119" t="s">
        <v>1433</v>
      </c>
      <c r="E109" s="196" t="s">
        <v>1219</v>
      </c>
      <c r="F109" s="180" t="s">
        <v>1060</v>
      </c>
      <c r="G109" s="180">
        <f t="shared" si="14"/>
        <v>0</v>
      </c>
      <c r="H109" s="180">
        <f>'d3'!E97</f>
        <v>0</v>
      </c>
      <c r="I109" s="180">
        <f>'d3'!J97</f>
        <v>0</v>
      </c>
      <c r="J109" s="180">
        <f>'d3'!K97</f>
        <v>0</v>
      </c>
      <c r="K109" s="130"/>
      <c r="L109" s="130"/>
      <c r="M109" s="130"/>
    </row>
    <row r="110" spans="1:13" ht="220.5" customHeight="1" thickTop="1" thickBot="1" x14ac:dyDescent="0.25">
      <c r="A110" s="94" t="s">
        <v>423</v>
      </c>
      <c r="B110" s="94" t="s">
        <v>424</v>
      </c>
      <c r="C110" s="94" t="s">
        <v>182</v>
      </c>
      <c r="D110" s="94" t="s">
        <v>422</v>
      </c>
      <c r="E110" s="526" t="s">
        <v>1219</v>
      </c>
      <c r="F110" s="432" t="s">
        <v>1060</v>
      </c>
      <c r="G110" s="432">
        <f t="shared" si="14"/>
        <v>715000</v>
      </c>
      <c r="H110" s="432">
        <f>'d3'!E99</f>
        <v>715000</v>
      </c>
      <c r="I110" s="432">
        <f>'d3'!J99</f>
        <v>0</v>
      </c>
      <c r="J110" s="432">
        <f>'d3'!K99</f>
        <v>0</v>
      </c>
      <c r="K110" s="130"/>
      <c r="L110" s="130"/>
      <c r="M110" s="130"/>
    </row>
    <row r="111" spans="1:13" ht="138.75" hidden="1" thickTop="1" thickBot="1" x14ac:dyDescent="0.25">
      <c r="A111" s="119" t="s">
        <v>1117</v>
      </c>
      <c r="B111" s="119" t="s">
        <v>1086</v>
      </c>
      <c r="C111" s="119" t="s">
        <v>203</v>
      </c>
      <c r="D111" s="282" t="s">
        <v>1087</v>
      </c>
      <c r="E111" s="196" t="s">
        <v>1078</v>
      </c>
      <c r="F111" s="180" t="s">
        <v>1058</v>
      </c>
      <c r="G111" s="180">
        <f t="shared" si="14"/>
        <v>0</v>
      </c>
      <c r="H111" s="180">
        <f>'d3'!E100</f>
        <v>0</v>
      </c>
      <c r="I111" s="180">
        <f>'d3'!J100</f>
        <v>0</v>
      </c>
      <c r="J111" s="180">
        <f>'d3'!K100</f>
        <v>0</v>
      </c>
      <c r="K111" s="130"/>
      <c r="L111" s="130"/>
      <c r="M111" s="130"/>
    </row>
    <row r="112" spans="1:13" ht="230.25" thickTop="1" thickBot="1" x14ac:dyDescent="0.25">
      <c r="A112" s="94" t="s">
        <v>1629</v>
      </c>
      <c r="B112" s="94" t="s">
        <v>325</v>
      </c>
      <c r="C112" s="94" t="s">
        <v>188</v>
      </c>
      <c r="D112" s="528" t="s">
        <v>326</v>
      </c>
      <c r="E112" s="526" t="s">
        <v>1558</v>
      </c>
      <c r="F112" s="180"/>
      <c r="G112" s="432">
        <f t="shared" si="14"/>
        <v>950000</v>
      </c>
      <c r="H112" s="432">
        <v>950000</v>
      </c>
      <c r="I112" s="432">
        <v>0</v>
      </c>
      <c r="J112" s="432">
        <v>0</v>
      </c>
      <c r="K112" s="130"/>
      <c r="L112" s="130"/>
      <c r="M112" s="130"/>
    </row>
    <row r="113" spans="1:13" ht="230.25" hidden="1" thickTop="1" thickBot="1" x14ac:dyDescent="0.25">
      <c r="A113" s="119" t="s">
        <v>1452</v>
      </c>
      <c r="B113" s="119" t="s">
        <v>310</v>
      </c>
      <c r="C113" s="119" t="s">
        <v>300</v>
      </c>
      <c r="D113" s="119" t="s">
        <v>1292</v>
      </c>
      <c r="E113" s="196" t="s">
        <v>1206</v>
      </c>
      <c r="F113" s="180" t="s">
        <v>1177</v>
      </c>
      <c r="G113" s="180">
        <f t="shared" si="14"/>
        <v>0</v>
      </c>
      <c r="H113" s="180">
        <f>'d3'!E104</f>
        <v>0</v>
      </c>
      <c r="I113" s="180">
        <f>'d3'!J104</f>
        <v>0</v>
      </c>
      <c r="J113" s="180">
        <f>'d3'!K104</f>
        <v>0</v>
      </c>
      <c r="K113" s="130"/>
      <c r="L113" s="130"/>
      <c r="M113" s="130"/>
    </row>
    <row r="114" spans="1:13" ht="138.75" thickTop="1" thickBot="1" x14ac:dyDescent="0.25">
      <c r="A114" s="94" t="s">
        <v>1016</v>
      </c>
      <c r="B114" s="94" t="s">
        <v>209</v>
      </c>
      <c r="C114" s="94" t="s">
        <v>210</v>
      </c>
      <c r="D114" s="94" t="s">
        <v>41</v>
      </c>
      <c r="E114" s="526" t="s">
        <v>1219</v>
      </c>
      <c r="F114" s="432" t="s">
        <v>1060</v>
      </c>
      <c r="G114" s="432">
        <f t="shared" si="14"/>
        <v>3000000</v>
      </c>
      <c r="H114" s="432">
        <f>'d3'!E106</f>
        <v>3000000</v>
      </c>
      <c r="I114" s="432">
        <f>'d3'!J106</f>
        <v>0</v>
      </c>
      <c r="J114" s="432">
        <f>'d3'!K106</f>
        <v>0</v>
      </c>
      <c r="K114" s="130"/>
      <c r="L114" s="130"/>
      <c r="M114" s="130"/>
    </row>
    <row r="115" spans="1:13" ht="276" hidden="1" thickTop="1" thickBot="1" x14ac:dyDescent="0.25">
      <c r="A115" s="119" t="s">
        <v>1500</v>
      </c>
      <c r="B115" s="119" t="s">
        <v>504</v>
      </c>
      <c r="C115" s="119" t="s">
        <v>247</v>
      </c>
      <c r="D115" s="119" t="s">
        <v>505</v>
      </c>
      <c r="E115" s="180" t="s">
        <v>1211</v>
      </c>
      <c r="F115" s="180" t="s">
        <v>825</v>
      </c>
      <c r="G115" s="180">
        <f t="shared" si="14"/>
        <v>0</v>
      </c>
      <c r="H115" s="180">
        <f>'d3'!E109</f>
        <v>0</v>
      </c>
      <c r="I115" s="180">
        <f>'d3'!J109</f>
        <v>0</v>
      </c>
      <c r="J115" s="180">
        <f>'d3'!K109</f>
        <v>0</v>
      </c>
      <c r="K115" s="130"/>
      <c r="L115" s="130"/>
      <c r="M115" s="130"/>
    </row>
    <row r="116" spans="1:13" ht="138.75" hidden="1" thickTop="1" thickBot="1" x14ac:dyDescent="0.25">
      <c r="A116" s="119" t="s">
        <v>1111</v>
      </c>
      <c r="B116" s="119" t="s">
        <v>1076</v>
      </c>
      <c r="C116" s="119" t="s">
        <v>1074</v>
      </c>
      <c r="D116" s="119" t="s">
        <v>1073</v>
      </c>
      <c r="E116" s="119" t="s">
        <v>1205</v>
      </c>
      <c r="F116" s="180" t="s">
        <v>1149</v>
      </c>
      <c r="G116" s="180">
        <f t="shared" si="14"/>
        <v>0</v>
      </c>
      <c r="H116" s="180">
        <f>'d3'!E111</f>
        <v>0</v>
      </c>
      <c r="I116" s="180">
        <f>'d3'!J111</f>
        <v>0</v>
      </c>
      <c r="J116" s="180">
        <f>'d3'!K111</f>
        <v>0</v>
      </c>
      <c r="K116" s="130"/>
      <c r="L116" s="130"/>
      <c r="M116" s="130"/>
    </row>
    <row r="117" spans="1:13" ht="138.75" hidden="1" thickTop="1" thickBot="1" x14ac:dyDescent="0.25">
      <c r="A117" s="39" t="s">
        <v>960</v>
      </c>
      <c r="B117" s="39" t="s">
        <v>356</v>
      </c>
      <c r="C117" s="39" t="s">
        <v>43</v>
      </c>
      <c r="D117" s="39" t="s">
        <v>357</v>
      </c>
      <c r="E117" s="199" t="s">
        <v>563</v>
      </c>
      <c r="F117" s="71" t="s">
        <v>403</v>
      </c>
      <c r="G117" s="71">
        <f t="shared" si="14"/>
        <v>0</v>
      </c>
      <c r="H117" s="71">
        <f>'d3'!E114</f>
        <v>0</v>
      </c>
      <c r="I117" s="71">
        <f>'d3'!J114</f>
        <v>0</v>
      </c>
      <c r="J117" s="71">
        <f>'d3'!K114</f>
        <v>0</v>
      </c>
      <c r="K117" s="130"/>
      <c r="L117" s="130"/>
      <c r="M117" s="130"/>
    </row>
    <row r="118" spans="1:13" ht="170.45" customHeight="1" thickTop="1" thickBot="1" x14ac:dyDescent="0.25">
      <c r="A118" s="535" t="s">
        <v>151</v>
      </c>
      <c r="B118" s="535"/>
      <c r="C118" s="535"/>
      <c r="D118" s="536" t="s">
        <v>18</v>
      </c>
      <c r="E118" s="536"/>
      <c r="F118" s="536"/>
      <c r="G118" s="537">
        <f>G119</f>
        <v>147273130</v>
      </c>
      <c r="H118" s="537">
        <f t="shared" ref="H118:J118" si="15">H119</f>
        <v>132273130</v>
      </c>
      <c r="I118" s="537">
        <f t="shared" si="15"/>
        <v>15000000</v>
      </c>
      <c r="J118" s="537">
        <f t="shared" si="15"/>
        <v>15000000</v>
      </c>
      <c r="K118" s="559" t="b">
        <f>H118='d3'!E116-'d3'!E118+H120+H121</f>
        <v>1</v>
      </c>
      <c r="L118" s="559" t="b">
        <f>I118='d3'!J116-'d3'!J118+'d7'!I120+I121</f>
        <v>1</v>
      </c>
      <c r="M118" s="559" t="b">
        <f>J118='d3'!K116-'d3'!K118+'d7'!J120+J121</f>
        <v>1</v>
      </c>
    </row>
    <row r="119" spans="1:13" ht="170.45" customHeight="1" thickTop="1" thickBot="1" x14ac:dyDescent="0.25">
      <c r="A119" s="532" t="s">
        <v>152</v>
      </c>
      <c r="B119" s="532"/>
      <c r="C119" s="532"/>
      <c r="D119" s="533" t="s">
        <v>36</v>
      </c>
      <c r="E119" s="533"/>
      <c r="F119" s="533"/>
      <c r="G119" s="534">
        <f>SUM(G120:G145)</f>
        <v>147273130</v>
      </c>
      <c r="H119" s="534">
        <f>SUM(H120:H145)</f>
        <v>132273130</v>
      </c>
      <c r="I119" s="534">
        <f>SUM(I120:I145)</f>
        <v>15000000</v>
      </c>
      <c r="J119" s="534">
        <f>SUM(J120:J145)</f>
        <v>15000000</v>
      </c>
      <c r="K119" s="130"/>
      <c r="L119" s="130"/>
      <c r="M119" s="130"/>
    </row>
    <row r="120" spans="1:13" ht="138.75" hidden="1" customHeight="1" thickTop="1" thickBot="1" x14ac:dyDescent="0.25">
      <c r="A120" s="119" t="s">
        <v>408</v>
      </c>
      <c r="B120" s="119" t="s">
        <v>233</v>
      </c>
      <c r="C120" s="119" t="s">
        <v>231</v>
      </c>
      <c r="D120" s="119" t="s">
        <v>232</v>
      </c>
      <c r="E120" s="196" t="s">
        <v>1147</v>
      </c>
      <c r="F120" s="180" t="s">
        <v>1148</v>
      </c>
      <c r="G120" s="210">
        <f>H120+I120</f>
        <v>0</v>
      </c>
      <c r="H120" s="210"/>
      <c r="I120" s="210">
        <v>0</v>
      </c>
      <c r="J120" s="210">
        <v>0</v>
      </c>
      <c r="K120" s="130"/>
      <c r="L120" s="130"/>
      <c r="M120" s="130"/>
    </row>
    <row r="121" spans="1:13" ht="138.75" hidden="1" customHeight="1" thickTop="1" thickBot="1" x14ac:dyDescent="0.25">
      <c r="A121" s="119" t="s">
        <v>408</v>
      </c>
      <c r="B121" s="119" t="s">
        <v>233</v>
      </c>
      <c r="C121" s="119" t="s">
        <v>231</v>
      </c>
      <c r="D121" s="119" t="s">
        <v>232</v>
      </c>
      <c r="E121" s="196" t="s">
        <v>967</v>
      </c>
      <c r="F121" s="180" t="s">
        <v>823</v>
      </c>
      <c r="G121" s="210">
        <f>H121+I121</f>
        <v>0</v>
      </c>
      <c r="H121" s="210"/>
      <c r="I121" s="210">
        <v>0</v>
      </c>
      <c r="J121" s="210">
        <v>0</v>
      </c>
      <c r="K121" s="130"/>
      <c r="L121" s="130"/>
      <c r="M121" s="130"/>
    </row>
    <row r="122" spans="1:13" ht="276" hidden="1" thickTop="1" thickBot="1" x14ac:dyDescent="0.25">
      <c r="A122" s="119" t="s">
        <v>1133</v>
      </c>
      <c r="B122" s="119" t="s">
        <v>355</v>
      </c>
      <c r="C122" s="119" t="s">
        <v>603</v>
      </c>
      <c r="D122" s="119" t="s">
        <v>604</v>
      </c>
      <c r="E122" s="196" t="s">
        <v>1157</v>
      </c>
      <c r="F122" s="180" t="s">
        <v>1158</v>
      </c>
      <c r="G122" s="210">
        <f>H122+I122</f>
        <v>0</v>
      </c>
      <c r="H122" s="210">
        <f>'d3'!E119</f>
        <v>0</v>
      </c>
      <c r="I122" s="210">
        <f>'d3'!J119</f>
        <v>0</v>
      </c>
      <c r="J122" s="210">
        <f>'d3'!K119</f>
        <v>0</v>
      </c>
      <c r="K122" s="130"/>
      <c r="L122" s="130"/>
      <c r="M122" s="130"/>
    </row>
    <row r="123" spans="1:13" ht="276" thickTop="1" thickBot="1" x14ac:dyDescent="0.25">
      <c r="A123" s="490" t="s">
        <v>211</v>
      </c>
      <c r="B123" s="490" t="s">
        <v>208</v>
      </c>
      <c r="C123" s="490" t="s">
        <v>212</v>
      </c>
      <c r="D123" s="490" t="s">
        <v>19</v>
      </c>
      <c r="E123" s="499" t="s">
        <v>1403</v>
      </c>
      <c r="F123" s="499" t="s">
        <v>1313</v>
      </c>
      <c r="G123" s="495">
        <f>H123+I123</f>
        <v>51522956</v>
      </c>
      <c r="H123" s="495">
        <f>'d3'!E121-H124</f>
        <v>51522956</v>
      </c>
      <c r="I123" s="495">
        <f>'d3'!J121-I124</f>
        <v>0</v>
      </c>
      <c r="J123" s="495">
        <f>'d3'!K121-J124</f>
        <v>0</v>
      </c>
      <c r="K123" s="130"/>
      <c r="L123" s="130"/>
      <c r="M123" s="130"/>
    </row>
    <row r="124" spans="1:13" ht="138.75" hidden="1" thickTop="1" thickBot="1" x14ac:dyDescent="0.25">
      <c r="A124" s="119" t="s">
        <v>211</v>
      </c>
      <c r="B124" s="119" t="s">
        <v>208</v>
      </c>
      <c r="C124" s="119" t="s">
        <v>212</v>
      </c>
      <c r="D124" s="119" t="s">
        <v>19</v>
      </c>
      <c r="E124" s="196" t="s">
        <v>1345</v>
      </c>
      <c r="F124" s="180" t="s">
        <v>1346</v>
      </c>
      <c r="G124" s="180">
        <f t="shared" ref="G124" si="16">H124+I124</f>
        <v>0</v>
      </c>
      <c r="H124" s="180"/>
      <c r="I124" s="180"/>
      <c r="J124" s="180"/>
      <c r="K124" s="130"/>
      <c r="L124" s="130"/>
      <c r="M124" s="130"/>
    </row>
    <row r="125" spans="1:13" ht="276" thickTop="1" thickBot="1" x14ac:dyDescent="0.25">
      <c r="A125" s="490" t="s">
        <v>493</v>
      </c>
      <c r="B125" s="490" t="s">
        <v>496</v>
      </c>
      <c r="C125" s="490" t="s">
        <v>495</v>
      </c>
      <c r="D125" s="490" t="s">
        <v>494</v>
      </c>
      <c r="E125" s="499" t="s">
        <v>1403</v>
      </c>
      <c r="F125" s="499" t="s">
        <v>1313</v>
      </c>
      <c r="G125" s="495">
        <f>H125+I125</f>
        <v>10660700</v>
      </c>
      <c r="H125" s="495">
        <f>'d3'!E122</f>
        <v>10660700</v>
      </c>
      <c r="I125" s="495">
        <f>'d3'!J122</f>
        <v>0</v>
      </c>
      <c r="J125" s="495">
        <f>'d3'!K122</f>
        <v>0</v>
      </c>
      <c r="K125" s="130"/>
      <c r="L125" s="130"/>
      <c r="M125" s="130"/>
    </row>
    <row r="126" spans="1:13" ht="276" thickTop="1" thickBot="1" x14ac:dyDescent="0.25">
      <c r="A126" s="490" t="s">
        <v>213</v>
      </c>
      <c r="B126" s="490" t="s">
        <v>214</v>
      </c>
      <c r="C126" s="490" t="s">
        <v>215</v>
      </c>
      <c r="D126" s="490" t="s">
        <v>216</v>
      </c>
      <c r="E126" s="499" t="s">
        <v>1403</v>
      </c>
      <c r="F126" s="499" t="s">
        <v>1313</v>
      </c>
      <c r="G126" s="495">
        <f t="shared" ref="G126:G133" si="17">H126+I126</f>
        <v>12397450</v>
      </c>
      <c r="H126" s="495">
        <f>'d3'!E123</f>
        <v>12397450</v>
      </c>
      <c r="I126" s="495">
        <f>'d3'!J123</f>
        <v>0</v>
      </c>
      <c r="J126" s="495">
        <f>'d3'!K123</f>
        <v>0</v>
      </c>
      <c r="K126" s="130"/>
      <c r="L126" s="130"/>
      <c r="M126" s="130"/>
    </row>
    <row r="127" spans="1:13" ht="276" thickTop="1" thickBot="1" x14ac:dyDescent="0.25">
      <c r="A127" s="490" t="s">
        <v>217</v>
      </c>
      <c r="B127" s="490" t="s">
        <v>218</v>
      </c>
      <c r="C127" s="490" t="s">
        <v>219</v>
      </c>
      <c r="D127" s="490" t="s">
        <v>339</v>
      </c>
      <c r="E127" s="499" t="s">
        <v>1403</v>
      </c>
      <c r="F127" s="499" t="s">
        <v>1313</v>
      </c>
      <c r="G127" s="495">
        <f t="shared" si="17"/>
        <v>22841165</v>
      </c>
      <c r="H127" s="495">
        <f>'d3'!E124-H128</f>
        <v>22841165</v>
      </c>
      <c r="I127" s="495">
        <f>'d3'!J124-I128</f>
        <v>0</v>
      </c>
      <c r="J127" s="495">
        <f>'d3'!K124-J128</f>
        <v>0</v>
      </c>
      <c r="K127" s="130"/>
      <c r="L127" s="130"/>
      <c r="M127" s="130"/>
    </row>
    <row r="128" spans="1:13" ht="138.75" hidden="1" thickTop="1" thickBot="1" x14ac:dyDescent="0.25">
      <c r="A128" s="119" t="s">
        <v>217</v>
      </c>
      <c r="B128" s="119" t="s">
        <v>218</v>
      </c>
      <c r="C128" s="119" t="s">
        <v>219</v>
      </c>
      <c r="D128" s="119" t="s">
        <v>339</v>
      </c>
      <c r="E128" s="196" t="s">
        <v>1345</v>
      </c>
      <c r="F128" s="180" t="s">
        <v>1346</v>
      </c>
      <c r="G128" s="180">
        <f t="shared" si="17"/>
        <v>0</v>
      </c>
      <c r="H128" s="180"/>
      <c r="I128" s="180"/>
      <c r="J128" s="180"/>
      <c r="K128" s="130"/>
      <c r="L128" s="130"/>
      <c r="M128" s="130"/>
    </row>
    <row r="129" spans="1:13" ht="258" hidden="1" thickTop="1" thickBot="1" x14ac:dyDescent="0.25">
      <c r="A129" s="119" t="s">
        <v>220</v>
      </c>
      <c r="B129" s="119" t="s">
        <v>221</v>
      </c>
      <c r="C129" s="119" t="s">
        <v>222</v>
      </c>
      <c r="D129" s="119" t="s">
        <v>223</v>
      </c>
      <c r="E129" s="209" t="s">
        <v>1088</v>
      </c>
      <c r="F129" s="180" t="s">
        <v>836</v>
      </c>
      <c r="G129" s="210"/>
      <c r="H129" s="210"/>
      <c r="I129" s="210"/>
      <c r="J129" s="210"/>
      <c r="K129" s="130"/>
      <c r="L129" s="130"/>
      <c r="M129" s="130"/>
    </row>
    <row r="130" spans="1:13" ht="184.5" hidden="1" thickTop="1" thickBot="1" x14ac:dyDescent="0.25">
      <c r="A130" s="119" t="s">
        <v>220</v>
      </c>
      <c r="B130" s="119" t="s">
        <v>221</v>
      </c>
      <c r="C130" s="119" t="s">
        <v>222</v>
      </c>
      <c r="D130" s="119" t="s">
        <v>223</v>
      </c>
      <c r="E130" s="196" t="s">
        <v>1112</v>
      </c>
      <c r="F130" s="180" t="s">
        <v>834</v>
      </c>
      <c r="G130" s="180"/>
      <c r="H130" s="180"/>
      <c r="I130" s="180"/>
      <c r="J130" s="180"/>
      <c r="K130" s="130"/>
      <c r="L130" s="130"/>
      <c r="M130" s="130"/>
    </row>
    <row r="131" spans="1:13" ht="276" thickTop="1" thickBot="1" x14ac:dyDescent="0.25">
      <c r="A131" s="490" t="s">
        <v>224</v>
      </c>
      <c r="B131" s="490" t="s">
        <v>225</v>
      </c>
      <c r="C131" s="490" t="s">
        <v>340</v>
      </c>
      <c r="D131" s="490" t="s">
        <v>226</v>
      </c>
      <c r="E131" s="499" t="s">
        <v>1403</v>
      </c>
      <c r="F131" s="499" t="s">
        <v>1313</v>
      </c>
      <c r="G131" s="495">
        <f t="shared" si="17"/>
        <v>24390259</v>
      </c>
      <c r="H131" s="495">
        <f>'d3'!E127</f>
        <v>24390259</v>
      </c>
      <c r="I131" s="495">
        <f>'d3'!J127</f>
        <v>0</v>
      </c>
      <c r="J131" s="495">
        <f>'d3'!K127</f>
        <v>0</v>
      </c>
      <c r="K131" s="130"/>
      <c r="L131" s="130"/>
      <c r="M131" s="130"/>
    </row>
    <row r="132" spans="1:13" ht="258" hidden="1" thickTop="1" thickBot="1" x14ac:dyDescent="0.25">
      <c r="A132" s="39" t="s">
        <v>463</v>
      </c>
      <c r="B132" s="39" t="s">
        <v>464</v>
      </c>
      <c r="C132" s="39" t="s">
        <v>227</v>
      </c>
      <c r="D132" s="39" t="s">
        <v>465</v>
      </c>
      <c r="E132" s="211" t="s">
        <v>835</v>
      </c>
      <c r="F132" s="71" t="s">
        <v>836</v>
      </c>
      <c r="G132" s="212">
        <f t="shared" si="17"/>
        <v>0</v>
      </c>
      <c r="H132" s="212">
        <f>'d3'!E129</f>
        <v>0</v>
      </c>
      <c r="I132" s="212">
        <f>'d3'!J129</f>
        <v>0</v>
      </c>
      <c r="J132" s="212">
        <f>'d3'!K129</f>
        <v>0</v>
      </c>
      <c r="K132" s="130"/>
      <c r="L132" s="130"/>
      <c r="M132" s="130"/>
    </row>
    <row r="133" spans="1:13" s="5" customFormat="1" ht="286.5" customHeight="1" thickTop="1" thickBot="1" x14ac:dyDescent="0.25">
      <c r="A133" s="490" t="s">
        <v>316</v>
      </c>
      <c r="B133" s="490" t="s">
        <v>318</v>
      </c>
      <c r="C133" s="490" t="s">
        <v>227</v>
      </c>
      <c r="D133" s="507" t="s">
        <v>314</v>
      </c>
      <c r="E133" s="499" t="s">
        <v>1403</v>
      </c>
      <c r="F133" s="499" t="s">
        <v>1313</v>
      </c>
      <c r="G133" s="495">
        <f t="shared" si="17"/>
        <v>4771600</v>
      </c>
      <c r="H133" s="495">
        <f>'d3'!E131</f>
        <v>4771600</v>
      </c>
      <c r="I133" s="495">
        <f>'d3'!J131</f>
        <v>0</v>
      </c>
      <c r="J133" s="495">
        <f>'d3'!K131</f>
        <v>0</v>
      </c>
      <c r="K133" s="129"/>
      <c r="L133" s="129"/>
      <c r="M133" s="129"/>
    </row>
    <row r="134" spans="1:13" s="5" customFormat="1" ht="276" thickTop="1" thickBot="1" x14ac:dyDescent="0.25">
      <c r="A134" s="490" t="s">
        <v>317</v>
      </c>
      <c r="B134" s="490" t="s">
        <v>319</v>
      </c>
      <c r="C134" s="490" t="s">
        <v>227</v>
      </c>
      <c r="D134" s="507" t="s">
        <v>315</v>
      </c>
      <c r="E134" s="499" t="s">
        <v>1403</v>
      </c>
      <c r="F134" s="499" t="s">
        <v>1313</v>
      </c>
      <c r="G134" s="495">
        <f>H134+I134</f>
        <v>5500000</v>
      </c>
      <c r="H134" s="495">
        <f>1000000+4500000</f>
        <v>5500000</v>
      </c>
      <c r="I134" s="495">
        <v>0</v>
      </c>
      <c r="J134" s="495">
        <v>0</v>
      </c>
      <c r="K134" s="616" t="b">
        <f>H134+H135='d3'!E132</f>
        <v>1</v>
      </c>
      <c r="L134" s="617" t="b">
        <f>I134+I135='d3'!J132</f>
        <v>1</v>
      </c>
      <c r="M134" s="617" t="b">
        <f>J134+J135='d3'!K132</f>
        <v>1</v>
      </c>
    </row>
    <row r="135" spans="1:13" s="5" customFormat="1" ht="138.75" hidden="1" thickTop="1" thickBot="1" x14ac:dyDescent="0.25">
      <c r="A135" s="119" t="s">
        <v>317</v>
      </c>
      <c r="B135" s="119" t="s">
        <v>319</v>
      </c>
      <c r="C135" s="119" t="s">
        <v>227</v>
      </c>
      <c r="D135" s="282" t="s">
        <v>315</v>
      </c>
      <c r="E135" s="196" t="s">
        <v>1386</v>
      </c>
      <c r="F135" s="180" t="s">
        <v>1409</v>
      </c>
      <c r="G135" s="210">
        <f>H135+I135</f>
        <v>0</v>
      </c>
      <c r="H135" s="210"/>
      <c r="I135" s="210"/>
      <c r="J135" s="210"/>
      <c r="K135" s="129"/>
      <c r="L135" s="129"/>
      <c r="M135" s="129"/>
    </row>
    <row r="136" spans="1:13" s="5" customFormat="1" ht="276" hidden="1" thickTop="1" thickBot="1" x14ac:dyDescent="0.25">
      <c r="A136" s="119" t="s">
        <v>1339</v>
      </c>
      <c r="B136" s="119" t="s">
        <v>1340</v>
      </c>
      <c r="C136" s="119" t="s">
        <v>227</v>
      </c>
      <c r="D136" s="282" t="s">
        <v>1338</v>
      </c>
      <c r="E136" s="180" t="s">
        <v>1403</v>
      </c>
      <c r="F136" s="180" t="s">
        <v>1313</v>
      </c>
      <c r="G136" s="210">
        <f>H136+I136</f>
        <v>0</v>
      </c>
      <c r="H136" s="210">
        <f>'d3'!E134</f>
        <v>0</v>
      </c>
      <c r="I136" s="210">
        <f>'d3'!J134</f>
        <v>0</v>
      </c>
      <c r="J136" s="210">
        <f>'d3'!K134</f>
        <v>0</v>
      </c>
      <c r="K136" s="129"/>
      <c r="L136" s="129"/>
      <c r="M136" s="129"/>
    </row>
    <row r="137" spans="1:13" s="5" customFormat="1" ht="276" thickTop="1" thickBot="1" x14ac:dyDescent="0.25">
      <c r="A137" s="94" t="s">
        <v>1453</v>
      </c>
      <c r="B137" s="94" t="s">
        <v>1454</v>
      </c>
      <c r="C137" s="94" t="s">
        <v>227</v>
      </c>
      <c r="D137" s="94" t="s">
        <v>1634</v>
      </c>
      <c r="E137" s="499" t="s">
        <v>1403</v>
      </c>
      <c r="F137" s="499" t="s">
        <v>1313</v>
      </c>
      <c r="G137" s="495">
        <f>H137+I137</f>
        <v>15000000</v>
      </c>
      <c r="H137" s="495">
        <f>'d3'!E135</f>
        <v>0</v>
      </c>
      <c r="I137" s="495">
        <f>'d3'!J135</f>
        <v>15000000</v>
      </c>
      <c r="J137" s="495">
        <f>'d3'!K135</f>
        <v>15000000</v>
      </c>
      <c r="K137" s="129"/>
      <c r="L137" s="129"/>
      <c r="M137" s="129"/>
    </row>
    <row r="138" spans="1:13" s="5" customFormat="1" ht="276" hidden="1" thickTop="1" thickBot="1" x14ac:dyDescent="0.25">
      <c r="A138" s="119" t="s">
        <v>1481</v>
      </c>
      <c r="B138" s="119" t="s">
        <v>1442</v>
      </c>
      <c r="C138" s="119" t="s">
        <v>202</v>
      </c>
      <c r="D138" s="282" t="s">
        <v>1443</v>
      </c>
      <c r="E138" s="180" t="s">
        <v>1403</v>
      </c>
      <c r="F138" s="180" t="s">
        <v>1313</v>
      </c>
      <c r="G138" s="210">
        <f t="shared" ref="G138" si="18">H138+I138</f>
        <v>0</v>
      </c>
      <c r="H138" s="210">
        <f>'d3'!E138</f>
        <v>0</v>
      </c>
      <c r="I138" s="210">
        <f>'d3'!J138</f>
        <v>0</v>
      </c>
      <c r="J138" s="210">
        <f>'d3'!K138</f>
        <v>0</v>
      </c>
      <c r="K138" s="129"/>
      <c r="L138" s="129"/>
      <c r="M138" s="129"/>
    </row>
    <row r="139" spans="1:13" s="5" customFormat="1" ht="276" thickTop="1" thickBot="1" x14ac:dyDescent="0.25">
      <c r="A139" s="490" t="s">
        <v>1085</v>
      </c>
      <c r="B139" s="490" t="s">
        <v>1086</v>
      </c>
      <c r="C139" s="490" t="s">
        <v>203</v>
      </c>
      <c r="D139" s="507" t="s">
        <v>1464</v>
      </c>
      <c r="E139" s="499" t="s">
        <v>1403</v>
      </c>
      <c r="F139" s="499" t="s">
        <v>1313</v>
      </c>
      <c r="G139" s="495">
        <f t="shared" ref="G139:G142" si="19">H139+I139</f>
        <v>189000</v>
      </c>
      <c r="H139" s="495">
        <f>'d3'!E139</f>
        <v>189000</v>
      </c>
      <c r="I139" s="495">
        <f>'d3'!J139</f>
        <v>0</v>
      </c>
      <c r="J139" s="495">
        <f>'d3'!K139</f>
        <v>0</v>
      </c>
      <c r="K139" s="129"/>
      <c r="L139" s="129"/>
      <c r="M139" s="129"/>
    </row>
    <row r="140" spans="1:13" s="5" customFormat="1" ht="258" hidden="1" thickTop="1" thickBot="1" x14ac:dyDescent="0.25">
      <c r="A140" s="39" t="s">
        <v>982</v>
      </c>
      <c r="B140" s="39" t="s">
        <v>983</v>
      </c>
      <c r="C140" s="39" t="s">
        <v>167</v>
      </c>
      <c r="D140" s="39" t="s">
        <v>984</v>
      </c>
      <c r="E140" s="209" t="s">
        <v>1302</v>
      </c>
      <c r="F140" s="180"/>
      <c r="G140" s="71">
        <f t="shared" si="19"/>
        <v>0</v>
      </c>
      <c r="H140" s="71">
        <f>'d3'!E142</f>
        <v>0</v>
      </c>
      <c r="I140" s="71">
        <f>'d3'!J142</f>
        <v>0</v>
      </c>
      <c r="J140" s="71">
        <f>'d3'!K142</f>
        <v>0</v>
      </c>
      <c r="K140" s="129"/>
      <c r="L140" s="129"/>
      <c r="M140" s="129"/>
    </row>
    <row r="141" spans="1:13" s="5" customFormat="1" ht="276" hidden="1" thickTop="1" thickBot="1" x14ac:dyDescent="0.25">
      <c r="A141" s="119" t="s">
        <v>1132</v>
      </c>
      <c r="B141" s="119" t="s">
        <v>209</v>
      </c>
      <c r="C141" s="119" t="s">
        <v>210</v>
      </c>
      <c r="D141" s="119" t="s">
        <v>41</v>
      </c>
      <c r="E141" s="180" t="s">
        <v>1403</v>
      </c>
      <c r="F141" s="180" t="s">
        <v>1313</v>
      </c>
      <c r="G141" s="180">
        <f t="shared" si="19"/>
        <v>0</v>
      </c>
      <c r="H141" s="180">
        <f>'d3'!E144</f>
        <v>0</v>
      </c>
      <c r="I141" s="180">
        <f>'d3'!J144</f>
        <v>0</v>
      </c>
      <c r="J141" s="180">
        <f>'d3'!K144</f>
        <v>0</v>
      </c>
      <c r="K141" s="129"/>
      <c r="L141" s="129"/>
      <c r="M141" s="129"/>
    </row>
    <row r="142" spans="1:13" s="5" customFormat="1" ht="138.75" hidden="1" thickTop="1" thickBot="1" x14ac:dyDescent="0.25">
      <c r="A142" s="39" t="s">
        <v>427</v>
      </c>
      <c r="B142" s="39" t="s">
        <v>194</v>
      </c>
      <c r="C142" s="39" t="s">
        <v>167</v>
      </c>
      <c r="D142" s="39" t="s">
        <v>34</v>
      </c>
      <c r="E142" s="71" t="s">
        <v>428</v>
      </c>
      <c r="F142" s="71" t="s">
        <v>402</v>
      </c>
      <c r="G142" s="866">
        <f t="shared" si="19"/>
        <v>0</v>
      </c>
      <c r="H142" s="866">
        <v>0</v>
      </c>
      <c r="I142" s="866">
        <f>'d3'!J145-I144</f>
        <v>0</v>
      </c>
      <c r="J142" s="866">
        <f>'d3'!K145-J144</f>
        <v>0</v>
      </c>
      <c r="K142" s="129"/>
      <c r="L142" s="129"/>
      <c r="M142" s="129"/>
    </row>
    <row r="143" spans="1:13" s="5" customFormat="1" ht="258" hidden="1" thickTop="1" thickBot="1" x14ac:dyDescent="0.25">
      <c r="A143" s="39" t="s">
        <v>427</v>
      </c>
      <c r="B143" s="39" t="s">
        <v>194</v>
      </c>
      <c r="C143" s="39" t="s">
        <v>167</v>
      </c>
      <c r="D143" s="39" t="s">
        <v>34</v>
      </c>
      <c r="E143" s="211" t="s">
        <v>835</v>
      </c>
      <c r="F143" s="71" t="s">
        <v>836</v>
      </c>
      <c r="G143" s="867"/>
      <c r="H143" s="867"/>
      <c r="I143" s="867"/>
      <c r="J143" s="867"/>
      <c r="K143" s="129"/>
      <c r="L143" s="129"/>
      <c r="M143" s="129"/>
    </row>
    <row r="144" spans="1:13" s="5" customFormat="1" ht="138.75" hidden="1" thickTop="1" thickBot="1" x14ac:dyDescent="0.25">
      <c r="A144" s="39" t="s">
        <v>427</v>
      </c>
      <c r="B144" s="39" t="s">
        <v>194</v>
      </c>
      <c r="C144" s="39" t="s">
        <v>167</v>
      </c>
      <c r="D144" s="39" t="s">
        <v>34</v>
      </c>
      <c r="E144" s="199" t="s">
        <v>441</v>
      </c>
      <c r="F144" s="204" t="s">
        <v>442</v>
      </c>
      <c r="G144" s="71">
        <f>H144+I144</f>
        <v>0</v>
      </c>
      <c r="H144" s="71">
        <v>0</v>
      </c>
      <c r="I144" s="71"/>
      <c r="J144" s="71"/>
      <c r="K144" s="129"/>
      <c r="L144" s="129"/>
      <c r="M144" s="129"/>
    </row>
    <row r="145" spans="1:13" s="5" customFormat="1" ht="138.75" hidden="1" thickTop="1" thickBot="1" x14ac:dyDescent="0.25">
      <c r="A145" s="119" t="s">
        <v>497</v>
      </c>
      <c r="B145" s="119" t="s">
        <v>356</v>
      </c>
      <c r="C145" s="119" t="s">
        <v>43</v>
      </c>
      <c r="D145" s="119" t="s">
        <v>357</v>
      </c>
      <c r="E145" s="196" t="s">
        <v>1386</v>
      </c>
      <c r="F145" s="180" t="s">
        <v>1409</v>
      </c>
      <c r="G145" s="180">
        <f>H145+I145</f>
        <v>0</v>
      </c>
      <c r="H145" s="180">
        <f>'d3'!F148</f>
        <v>0</v>
      </c>
      <c r="I145" s="180">
        <f>'d3'!J148</f>
        <v>0</v>
      </c>
      <c r="J145" s="180">
        <f>'d3'!K148</f>
        <v>0</v>
      </c>
      <c r="K145" s="129"/>
      <c r="L145" s="129"/>
      <c r="M145" s="129"/>
    </row>
    <row r="146" spans="1:13" ht="170.45" customHeight="1" thickTop="1" thickBot="1" x14ac:dyDescent="0.25">
      <c r="A146" s="535" t="s">
        <v>153</v>
      </c>
      <c r="B146" s="535"/>
      <c r="C146" s="535"/>
      <c r="D146" s="536" t="s">
        <v>37</v>
      </c>
      <c r="E146" s="536"/>
      <c r="F146" s="536"/>
      <c r="G146" s="537">
        <f>G147</f>
        <v>574801330</v>
      </c>
      <c r="H146" s="537">
        <f t="shared" ref="H146:J146" si="20">H147</f>
        <v>508584222</v>
      </c>
      <c r="I146" s="537">
        <f t="shared" si="20"/>
        <v>66217108</v>
      </c>
      <c r="J146" s="537">
        <f t="shared" si="20"/>
        <v>51799985</v>
      </c>
      <c r="K146" s="559" t="b">
        <f>H146='d3'!E150-'d3'!E152-'d3'!E180-'d3'!E199+H148+H149+H150+H186</f>
        <v>1</v>
      </c>
      <c r="L146" s="560" t="b">
        <f>I146='d3'!J150-'d3'!J152-'d3'!J180-'d3'!J199+'d7'!I148+I149+I150+I186</f>
        <v>1</v>
      </c>
      <c r="M146" s="560" t="b">
        <f>J146='d3'!K150-'d3'!K152-'d3'!K180-'d3'!K199+'d7'!J148+J149+J150+J186</f>
        <v>1</v>
      </c>
    </row>
    <row r="147" spans="1:13" ht="178.5" customHeight="1" thickTop="1" thickBot="1" x14ac:dyDescent="0.25">
      <c r="A147" s="532" t="s">
        <v>154</v>
      </c>
      <c r="B147" s="532"/>
      <c r="C147" s="532"/>
      <c r="D147" s="533" t="s">
        <v>38</v>
      </c>
      <c r="E147" s="533"/>
      <c r="F147" s="533"/>
      <c r="G147" s="534">
        <f>SUM(G148:G191)</f>
        <v>574801330</v>
      </c>
      <c r="H147" s="534">
        <f>SUM(H148:H191)</f>
        <v>508584222</v>
      </c>
      <c r="I147" s="534">
        <f>SUM(I148:I191)</f>
        <v>66217108</v>
      </c>
      <c r="J147" s="534">
        <f>SUM(J148:J191)</f>
        <v>51799985</v>
      </c>
      <c r="K147" s="130"/>
      <c r="L147" s="45"/>
      <c r="M147" s="130"/>
    </row>
    <row r="148" spans="1:13" ht="138.75" hidden="1" thickTop="1" thickBot="1" x14ac:dyDescent="0.25">
      <c r="A148" s="119" t="s">
        <v>407</v>
      </c>
      <c r="B148" s="119" t="s">
        <v>233</v>
      </c>
      <c r="C148" s="119" t="s">
        <v>231</v>
      </c>
      <c r="D148" s="119" t="s">
        <v>232</v>
      </c>
      <c r="E148" s="196" t="s">
        <v>967</v>
      </c>
      <c r="F148" s="180" t="s">
        <v>823</v>
      </c>
      <c r="G148" s="180">
        <f t="shared" ref="G148:G190" si="21">H148+I148</f>
        <v>0</v>
      </c>
      <c r="H148" s="180">
        <v>0</v>
      </c>
      <c r="I148" s="180">
        <v>0</v>
      </c>
      <c r="J148" s="180">
        <v>0</v>
      </c>
      <c r="K148" s="130"/>
      <c r="L148" s="45"/>
      <c r="M148" s="130"/>
    </row>
    <row r="149" spans="1:13" ht="138.75" hidden="1" thickTop="1" thickBot="1" x14ac:dyDescent="0.25">
      <c r="A149" s="119" t="s">
        <v>407</v>
      </c>
      <c r="B149" s="119" t="s">
        <v>233</v>
      </c>
      <c r="C149" s="119" t="s">
        <v>231</v>
      </c>
      <c r="D149" s="119" t="s">
        <v>232</v>
      </c>
      <c r="E149" s="196" t="s">
        <v>1147</v>
      </c>
      <c r="F149" s="180" t="s">
        <v>1148</v>
      </c>
      <c r="G149" s="180">
        <f t="shared" si="21"/>
        <v>0</v>
      </c>
      <c r="H149" s="180">
        <v>0</v>
      </c>
      <c r="I149" s="180">
        <v>0</v>
      </c>
      <c r="J149" s="180">
        <v>0</v>
      </c>
      <c r="K149" s="130"/>
      <c r="L149" s="45"/>
      <c r="M149" s="130"/>
    </row>
    <row r="150" spans="1:13" ht="138.75" hidden="1" thickTop="1" thickBot="1" x14ac:dyDescent="0.25">
      <c r="A150" s="119" t="s">
        <v>407</v>
      </c>
      <c r="B150" s="119" t="s">
        <v>233</v>
      </c>
      <c r="C150" s="119" t="s">
        <v>231</v>
      </c>
      <c r="D150" s="119" t="s">
        <v>232</v>
      </c>
      <c r="E150" s="196" t="s">
        <v>1078</v>
      </c>
      <c r="F150" s="180" t="s">
        <v>1058</v>
      </c>
      <c r="G150" s="180">
        <f t="shared" ref="G150" si="22">H150+I150</f>
        <v>0</v>
      </c>
      <c r="H150" s="180">
        <v>0</v>
      </c>
      <c r="I150" s="180"/>
      <c r="J150" s="180"/>
      <c r="K150" s="130"/>
      <c r="L150" s="45"/>
      <c r="M150" s="130"/>
    </row>
    <row r="151" spans="1:13" ht="276" hidden="1" thickTop="1" thickBot="1" x14ac:dyDescent="0.25">
      <c r="A151" s="119" t="s">
        <v>606</v>
      </c>
      <c r="B151" s="119" t="s">
        <v>355</v>
      </c>
      <c r="C151" s="119" t="s">
        <v>603</v>
      </c>
      <c r="D151" s="119" t="s">
        <v>604</v>
      </c>
      <c r="E151" s="196" t="s">
        <v>1157</v>
      </c>
      <c r="F151" s="180" t="s">
        <v>1158</v>
      </c>
      <c r="G151" s="180">
        <f t="shared" si="21"/>
        <v>0</v>
      </c>
      <c r="H151" s="180">
        <f>'d3'!E153</f>
        <v>0</v>
      </c>
      <c r="I151" s="180">
        <f>'d3'!J153</f>
        <v>0</v>
      </c>
      <c r="J151" s="180">
        <f>'d3'!K153</f>
        <v>0</v>
      </c>
      <c r="K151" s="130"/>
      <c r="L151" s="45"/>
      <c r="M151" s="130"/>
    </row>
    <row r="152" spans="1:13" ht="93" thickTop="1" thickBot="1" x14ac:dyDescent="0.25">
      <c r="A152" s="490" t="s">
        <v>881</v>
      </c>
      <c r="B152" s="490" t="s">
        <v>43</v>
      </c>
      <c r="C152" s="490" t="s">
        <v>42</v>
      </c>
      <c r="D152" s="490" t="s">
        <v>244</v>
      </c>
      <c r="E152" s="498" t="s">
        <v>1555</v>
      </c>
      <c r="F152" s="180"/>
      <c r="G152" s="499">
        <f t="shared" si="21"/>
        <v>30000</v>
      </c>
      <c r="H152" s="499">
        <f>'d3'!E154</f>
        <v>30000</v>
      </c>
      <c r="I152" s="499">
        <f>'d3'!J154</f>
        <v>0</v>
      </c>
      <c r="J152" s="499">
        <f>'d3'!K154</f>
        <v>0</v>
      </c>
      <c r="K152" s="130"/>
      <c r="L152" s="45"/>
      <c r="M152" s="130"/>
    </row>
    <row r="153" spans="1:13" s="5" customFormat="1" ht="138.75" thickTop="1" thickBot="1" x14ac:dyDescent="0.25">
      <c r="A153" s="490" t="s">
        <v>265</v>
      </c>
      <c r="B153" s="490" t="s">
        <v>266</v>
      </c>
      <c r="C153" s="490" t="s">
        <v>202</v>
      </c>
      <c r="D153" s="496" t="s">
        <v>267</v>
      </c>
      <c r="E153" s="498" t="s">
        <v>1078</v>
      </c>
      <c r="F153" s="499" t="s">
        <v>1058</v>
      </c>
      <c r="G153" s="499">
        <f t="shared" si="21"/>
        <v>1050000</v>
      </c>
      <c r="H153" s="499">
        <f>'d3'!E157</f>
        <v>1050000</v>
      </c>
      <c r="I153" s="432">
        <f>'d3'!J157</f>
        <v>0</v>
      </c>
      <c r="J153" s="432">
        <f>'d3'!K157</f>
        <v>0</v>
      </c>
      <c r="K153" s="129"/>
      <c r="L153" s="129"/>
      <c r="M153" s="129"/>
    </row>
    <row r="154" spans="1:13" s="5" customFormat="1" ht="138.75" thickTop="1" thickBot="1" x14ac:dyDescent="0.25">
      <c r="A154" s="94" t="s">
        <v>268</v>
      </c>
      <c r="B154" s="94" t="s">
        <v>269</v>
      </c>
      <c r="C154" s="94" t="s">
        <v>203</v>
      </c>
      <c r="D154" s="490" t="s">
        <v>6</v>
      </c>
      <c r="E154" s="526" t="s">
        <v>1078</v>
      </c>
      <c r="F154" s="432" t="s">
        <v>1058</v>
      </c>
      <c r="G154" s="432">
        <f t="shared" si="21"/>
        <v>465500</v>
      </c>
      <c r="H154" s="432">
        <f>'d3'!F158</f>
        <v>465500</v>
      </c>
      <c r="I154" s="432">
        <f>'d3'!J158</f>
        <v>0</v>
      </c>
      <c r="J154" s="432">
        <f>'d3'!K158</f>
        <v>0</v>
      </c>
      <c r="K154" s="129"/>
      <c r="L154" s="129"/>
      <c r="M154" s="129"/>
    </row>
    <row r="155" spans="1:13" s="5" customFormat="1" ht="138.75" thickTop="1" thickBot="1" x14ac:dyDescent="0.25">
      <c r="A155" s="94" t="s">
        <v>271</v>
      </c>
      <c r="B155" s="94" t="s">
        <v>272</v>
      </c>
      <c r="C155" s="94" t="s">
        <v>203</v>
      </c>
      <c r="D155" s="94" t="s">
        <v>7</v>
      </c>
      <c r="E155" s="526" t="s">
        <v>1078</v>
      </c>
      <c r="F155" s="432" t="s">
        <v>1058</v>
      </c>
      <c r="G155" s="432">
        <f t="shared" si="21"/>
        <v>52100000</v>
      </c>
      <c r="H155" s="432">
        <f>'d3'!F159</f>
        <v>52100000</v>
      </c>
      <c r="I155" s="432">
        <f>'d3'!J159</f>
        <v>0</v>
      </c>
      <c r="J155" s="432">
        <f>'d3'!K159</f>
        <v>0</v>
      </c>
      <c r="K155" s="129"/>
      <c r="L155" s="129"/>
      <c r="M155" s="129"/>
    </row>
    <row r="156" spans="1:13" s="5" customFormat="1" ht="138.75" thickTop="1" thickBot="1" x14ac:dyDescent="0.25">
      <c r="A156" s="94" t="s">
        <v>273</v>
      </c>
      <c r="B156" s="94" t="s">
        <v>270</v>
      </c>
      <c r="C156" s="94" t="s">
        <v>203</v>
      </c>
      <c r="D156" s="94" t="s">
        <v>8</v>
      </c>
      <c r="E156" s="526" t="s">
        <v>1078</v>
      </c>
      <c r="F156" s="432" t="s">
        <v>1058</v>
      </c>
      <c r="G156" s="432">
        <f t="shared" si="21"/>
        <v>1500000</v>
      </c>
      <c r="H156" s="432">
        <f>'d3'!F160</f>
        <v>1500000</v>
      </c>
      <c r="I156" s="432">
        <f>'d3'!J160</f>
        <v>0</v>
      </c>
      <c r="J156" s="432">
        <f>'d3'!K160</f>
        <v>0</v>
      </c>
      <c r="K156" s="129"/>
      <c r="L156" s="129"/>
      <c r="M156" s="129"/>
    </row>
    <row r="157" spans="1:13" s="5" customFormat="1" ht="138.75" thickTop="1" thickBot="1" x14ac:dyDescent="0.25">
      <c r="A157" s="94" t="s">
        <v>274</v>
      </c>
      <c r="B157" s="94" t="s">
        <v>275</v>
      </c>
      <c r="C157" s="94" t="s">
        <v>203</v>
      </c>
      <c r="D157" s="94" t="s">
        <v>9</v>
      </c>
      <c r="E157" s="526" t="s">
        <v>1078</v>
      </c>
      <c r="F157" s="432" t="s">
        <v>1058</v>
      </c>
      <c r="G157" s="432">
        <f t="shared" si="21"/>
        <v>83700000</v>
      </c>
      <c r="H157" s="432">
        <f>'d3'!F161</f>
        <v>83700000</v>
      </c>
      <c r="I157" s="432">
        <f>'d3'!J161</f>
        <v>0</v>
      </c>
      <c r="J157" s="432">
        <f>'d3'!K161</f>
        <v>0</v>
      </c>
      <c r="K157" s="129"/>
      <c r="L157" s="129"/>
      <c r="M157" s="129"/>
    </row>
    <row r="158" spans="1:13" s="5" customFormat="1" ht="138.75" thickTop="1" thickBot="1" x14ac:dyDescent="0.25">
      <c r="A158" s="94" t="s">
        <v>466</v>
      </c>
      <c r="B158" s="94" t="s">
        <v>467</v>
      </c>
      <c r="C158" s="94" t="s">
        <v>203</v>
      </c>
      <c r="D158" s="94" t="s">
        <v>468</v>
      </c>
      <c r="E158" s="526" t="s">
        <v>1078</v>
      </c>
      <c r="F158" s="432" t="s">
        <v>1058</v>
      </c>
      <c r="G158" s="432">
        <f t="shared" si="21"/>
        <v>399986</v>
      </c>
      <c r="H158" s="432">
        <f>'d3'!E162</f>
        <v>399986</v>
      </c>
      <c r="I158" s="432">
        <f>'d3'!J162</f>
        <v>0</v>
      </c>
      <c r="J158" s="432">
        <f>'d3'!K162</f>
        <v>0</v>
      </c>
      <c r="K158" s="129"/>
      <c r="L158" s="129"/>
      <c r="M158" s="129"/>
    </row>
    <row r="159" spans="1:13" s="5" customFormat="1" ht="138.75" thickTop="1" thickBot="1" x14ac:dyDescent="0.25">
      <c r="A159" s="94" t="s">
        <v>882</v>
      </c>
      <c r="B159" s="94" t="s">
        <v>883</v>
      </c>
      <c r="C159" s="94" t="s">
        <v>203</v>
      </c>
      <c r="D159" s="94" t="s">
        <v>884</v>
      </c>
      <c r="E159" s="526" t="s">
        <v>1078</v>
      </c>
      <c r="F159" s="432" t="s">
        <v>1058</v>
      </c>
      <c r="G159" s="432">
        <f t="shared" ref="G159" si="23">H159+I159</f>
        <v>2200000</v>
      </c>
      <c r="H159" s="432">
        <f>'d3'!F163</f>
        <v>2200000</v>
      </c>
      <c r="I159" s="432">
        <f>'d3'!J163</f>
        <v>0</v>
      </c>
      <c r="J159" s="432">
        <f>'d3'!K163</f>
        <v>0</v>
      </c>
      <c r="K159" s="129"/>
      <c r="L159" s="129"/>
      <c r="M159" s="129"/>
    </row>
    <row r="160" spans="1:13" s="5" customFormat="1" ht="138.75" thickTop="1" thickBot="1" x14ac:dyDescent="0.25">
      <c r="A160" s="94" t="s">
        <v>469</v>
      </c>
      <c r="B160" s="94" t="s">
        <v>470</v>
      </c>
      <c r="C160" s="94" t="s">
        <v>202</v>
      </c>
      <c r="D160" s="94" t="s">
        <v>471</v>
      </c>
      <c r="E160" s="526" t="s">
        <v>1078</v>
      </c>
      <c r="F160" s="432" t="s">
        <v>1058</v>
      </c>
      <c r="G160" s="432">
        <f t="shared" si="21"/>
        <v>1146655</v>
      </c>
      <c r="H160" s="432">
        <f>'d3'!F164</f>
        <v>1146655</v>
      </c>
      <c r="I160" s="432">
        <f>'d3'!J164</f>
        <v>0</v>
      </c>
      <c r="J160" s="432">
        <f>'d3'!K164</f>
        <v>0</v>
      </c>
      <c r="K160" s="129"/>
      <c r="L160" s="129"/>
      <c r="M160" s="129"/>
    </row>
    <row r="161" spans="1:13" ht="184.5" thickTop="1" thickBot="1" x14ac:dyDescent="0.25">
      <c r="A161" s="94" t="s">
        <v>263</v>
      </c>
      <c r="B161" s="94" t="s">
        <v>261</v>
      </c>
      <c r="C161" s="94" t="s">
        <v>197</v>
      </c>
      <c r="D161" s="94" t="s">
        <v>17</v>
      </c>
      <c r="E161" s="526" t="s">
        <v>1078</v>
      </c>
      <c r="F161" s="432" t="s">
        <v>1058</v>
      </c>
      <c r="G161" s="432">
        <f t="shared" si="21"/>
        <v>69365635</v>
      </c>
      <c r="H161" s="432">
        <f>'d3'!E166-H162</f>
        <v>66612395</v>
      </c>
      <c r="I161" s="432">
        <f>'d3'!J166-I162</f>
        <v>2753240</v>
      </c>
      <c r="J161" s="432">
        <f>'d3'!K166-J162</f>
        <v>0</v>
      </c>
      <c r="K161" s="493" t="b">
        <f>H161+H162='d3'!E166</f>
        <v>1</v>
      </c>
      <c r="L161" s="493" t="b">
        <f>I161+I162='d3'!J166</f>
        <v>1</v>
      </c>
      <c r="M161" s="493" t="b">
        <f>J161+J162='d3'!K166</f>
        <v>1</v>
      </c>
    </row>
    <row r="162" spans="1:13" ht="184.5" hidden="1" thickTop="1" thickBot="1" x14ac:dyDescent="0.25">
      <c r="A162" s="119" t="s">
        <v>263</v>
      </c>
      <c r="B162" s="119" t="s">
        <v>261</v>
      </c>
      <c r="C162" s="119" t="s">
        <v>197</v>
      </c>
      <c r="D162" s="119" t="s">
        <v>17</v>
      </c>
      <c r="E162" s="196" t="s">
        <v>1345</v>
      </c>
      <c r="F162" s="180" t="s">
        <v>1346</v>
      </c>
      <c r="G162" s="180">
        <f t="shared" si="21"/>
        <v>0</v>
      </c>
      <c r="H162" s="180"/>
      <c r="I162" s="180"/>
      <c r="J162" s="180"/>
      <c r="K162" s="130"/>
      <c r="L162" s="130"/>
      <c r="M162" s="130"/>
    </row>
    <row r="163" spans="1:13" ht="138.75" thickTop="1" thickBot="1" x14ac:dyDescent="0.25">
      <c r="A163" s="94" t="s">
        <v>264</v>
      </c>
      <c r="B163" s="94" t="s">
        <v>262</v>
      </c>
      <c r="C163" s="94" t="s">
        <v>196</v>
      </c>
      <c r="D163" s="94" t="s">
        <v>446</v>
      </c>
      <c r="E163" s="526" t="s">
        <v>1078</v>
      </c>
      <c r="F163" s="432" t="s">
        <v>1058</v>
      </c>
      <c r="G163" s="432">
        <f t="shared" si="21"/>
        <v>18484464</v>
      </c>
      <c r="H163" s="432">
        <f>'d3'!E167-H164</f>
        <v>18484464</v>
      </c>
      <c r="I163" s="432">
        <f>'d3'!J167-I164</f>
        <v>0</v>
      </c>
      <c r="J163" s="432">
        <f>'d3'!K167-J164</f>
        <v>0</v>
      </c>
      <c r="K163" s="130"/>
      <c r="L163" s="130"/>
      <c r="M163" s="130"/>
    </row>
    <row r="164" spans="1:13" ht="138.75" hidden="1" thickTop="1" thickBot="1" x14ac:dyDescent="0.25">
      <c r="A164" s="119" t="s">
        <v>264</v>
      </c>
      <c r="B164" s="119" t="s">
        <v>262</v>
      </c>
      <c r="C164" s="119" t="s">
        <v>196</v>
      </c>
      <c r="D164" s="119" t="s">
        <v>446</v>
      </c>
      <c r="E164" s="196" t="s">
        <v>1207</v>
      </c>
      <c r="F164" s="180" t="s">
        <v>442</v>
      </c>
      <c r="G164" s="180">
        <f t="shared" si="21"/>
        <v>0</v>
      </c>
      <c r="H164" s="180"/>
      <c r="I164" s="180"/>
      <c r="J164" s="180"/>
      <c r="K164" s="130"/>
      <c r="L164" s="130"/>
      <c r="M164" s="130"/>
    </row>
    <row r="165" spans="1:13" ht="138.75" thickTop="1" thickBot="1" x14ac:dyDescent="0.25">
      <c r="A165" s="94" t="s">
        <v>1460</v>
      </c>
      <c r="B165" s="94" t="s">
        <v>1461</v>
      </c>
      <c r="C165" s="94" t="s">
        <v>182</v>
      </c>
      <c r="D165" s="94" t="s">
        <v>1459</v>
      </c>
      <c r="E165" s="526" t="s">
        <v>1078</v>
      </c>
      <c r="F165" s="432" t="s">
        <v>1058</v>
      </c>
      <c r="G165" s="432">
        <f t="shared" si="21"/>
        <v>35120</v>
      </c>
      <c r="H165" s="432">
        <f>'d3'!E169</f>
        <v>35120</v>
      </c>
      <c r="I165" s="432">
        <f>'d3'!J169</f>
        <v>0</v>
      </c>
      <c r="J165" s="432">
        <f>'d3'!K169</f>
        <v>0</v>
      </c>
      <c r="K165" s="130"/>
      <c r="L165" s="130"/>
      <c r="M165" s="130"/>
    </row>
    <row r="166" spans="1:13" ht="230.25" thickTop="1" thickBot="1" x14ac:dyDescent="0.25">
      <c r="A166" s="94" t="s">
        <v>1101</v>
      </c>
      <c r="B166" s="94" t="s">
        <v>181</v>
      </c>
      <c r="C166" s="94" t="s">
        <v>182</v>
      </c>
      <c r="D166" s="94" t="s">
        <v>1418</v>
      </c>
      <c r="E166" s="526" t="s">
        <v>1078</v>
      </c>
      <c r="F166" s="432" t="s">
        <v>1058</v>
      </c>
      <c r="G166" s="432">
        <f>H166+I166</f>
        <v>9835345</v>
      </c>
      <c r="H166" s="432">
        <f>'d3'!E171-H167</f>
        <v>9778945</v>
      </c>
      <c r="I166" s="432">
        <f>'d3'!J171-I167</f>
        <v>56400</v>
      </c>
      <c r="J166" s="432">
        <f>'d3'!K171-J167</f>
        <v>0</v>
      </c>
      <c r="K166" s="130"/>
      <c r="L166" s="130"/>
      <c r="M166" s="130"/>
    </row>
    <row r="167" spans="1:13" ht="230.25" hidden="1" thickTop="1" thickBot="1" x14ac:dyDescent="0.25">
      <c r="A167" s="119" t="s">
        <v>1101</v>
      </c>
      <c r="B167" s="119" t="s">
        <v>181</v>
      </c>
      <c r="C167" s="119" t="s">
        <v>182</v>
      </c>
      <c r="D167" s="94" t="s">
        <v>1418</v>
      </c>
      <c r="E167" s="196" t="s">
        <v>1345</v>
      </c>
      <c r="F167" s="180" t="s">
        <v>1346</v>
      </c>
      <c r="G167" s="180">
        <f>H167+I167</f>
        <v>0</v>
      </c>
      <c r="H167" s="180"/>
      <c r="I167" s="180"/>
      <c r="J167" s="180"/>
      <c r="K167" s="130"/>
      <c r="L167" s="130"/>
      <c r="M167" s="130"/>
    </row>
    <row r="168" spans="1:13" ht="184.5" thickTop="1" thickBot="1" x14ac:dyDescent="0.25">
      <c r="A168" s="94" t="s">
        <v>952</v>
      </c>
      <c r="B168" s="94" t="s">
        <v>953</v>
      </c>
      <c r="C168" s="94" t="s">
        <v>182</v>
      </c>
      <c r="D168" s="94" t="s">
        <v>1419</v>
      </c>
      <c r="E168" s="526" t="s">
        <v>1078</v>
      </c>
      <c r="F168" s="432" t="s">
        <v>1058</v>
      </c>
      <c r="G168" s="432">
        <f t="shared" si="21"/>
        <v>5162849</v>
      </c>
      <c r="H168" s="432">
        <f>'d3'!E172</f>
        <v>5162849</v>
      </c>
      <c r="I168" s="432">
        <f>'d3'!J172</f>
        <v>0</v>
      </c>
      <c r="J168" s="432">
        <f>'d3'!K172</f>
        <v>0</v>
      </c>
      <c r="K168" s="130"/>
      <c r="L168" s="130"/>
      <c r="M168" s="130"/>
    </row>
    <row r="169" spans="1:13" ht="230.25" thickTop="1" thickBot="1" x14ac:dyDescent="0.25">
      <c r="A169" s="94" t="s">
        <v>259</v>
      </c>
      <c r="B169" s="94" t="s">
        <v>260</v>
      </c>
      <c r="C169" s="94" t="s">
        <v>196</v>
      </c>
      <c r="D169" s="94" t="s">
        <v>1560</v>
      </c>
      <c r="E169" s="526" t="s">
        <v>1078</v>
      </c>
      <c r="F169" s="432" t="s">
        <v>1058</v>
      </c>
      <c r="G169" s="432">
        <f t="shared" si="21"/>
        <v>11007200</v>
      </c>
      <c r="H169" s="432">
        <f>'d3'!E173</f>
        <v>11007200</v>
      </c>
      <c r="I169" s="432">
        <f>'d3'!J173</f>
        <v>0</v>
      </c>
      <c r="J169" s="432">
        <f>'d3'!K173</f>
        <v>0</v>
      </c>
      <c r="K169" s="130"/>
      <c r="L169" s="130"/>
      <c r="M169" s="130"/>
    </row>
    <row r="170" spans="1:13" ht="189.75" customHeight="1" thickTop="1" thickBot="1" x14ac:dyDescent="0.25">
      <c r="A170" s="94" t="s">
        <v>472</v>
      </c>
      <c r="B170" s="94" t="s">
        <v>473</v>
      </c>
      <c r="C170" s="94" t="s">
        <v>196</v>
      </c>
      <c r="D170" s="94" t="s">
        <v>474</v>
      </c>
      <c r="E170" s="526" t="s">
        <v>1078</v>
      </c>
      <c r="F170" s="432" t="s">
        <v>1058</v>
      </c>
      <c r="G170" s="432">
        <f t="shared" si="21"/>
        <v>177006</v>
      </c>
      <c r="H170" s="432">
        <f>'d3'!E175</f>
        <v>177006</v>
      </c>
      <c r="I170" s="432">
        <f>'d3'!J175</f>
        <v>0</v>
      </c>
      <c r="J170" s="432">
        <f>'d3'!K175</f>
        <v>0</v>
      </c>
      <c r="K170" s="130"/>
      <c r="L170" s="130"/>
      <c r="M170" s="130"/>
    </row>
    <row r="171" spans="1:13" ht="258.75" customHeight="1" thickTop="1" thickBot="1" x14ac:dyDescent="0.25">
      <c r="A171" s="490" t="s">
        <v>342</v>
      </c>
      <c r="B171" s="490" t="s">
        <v>341</v>
      </c>
      <c r="C171" s="490" t="s">
        <v>50</v>
      </c>
      <c r="D171" s="490" t="s">
        <v>445</v>
      </c>
      <c r="E171" s="498" t="s">
        <v>1078</v>
      </c>
      <c r="F171" s="499" t="s">
        <v>1058</v>
      </c>
      <c r="G171" s="499">
        <f t="shared" si="21"/>
        <v>1541600</v>
      </c>
      <c r="H171" s="499">
        <v>1541600</v>
      </c>
      <c r="I171" s="499">
        <f>'d3'!J176-I172-I173</f>
        <v>0</v>
      </c>
      <c r="J171" s="499">
        <f>'d3'!K176-J172-J173</f>
        <v>0</v>
      </c>
      <c r="K171" s="493" t="b">
        <f>H171+H172+H173='d3'!E176</f>
        <v>1</v>
      </c>
      <c r="L171" s="493" t="b">
        <f>I171+I172+I173='d3'!J176</f>
        <v>1</v>
      </c>
      <c r="M171" s="493" t="b">
        <f>J171+J172+J173='d3'!K176</f>
        <v>1</v>
      </c>
    </row>
    <row r="172" spans="1:13" ht="232.5" customHeight="1" thickTop="1" thickBot="1" x14ac:dyDescent="0.25">
      <c r="A172" s="490" t="s">
        <v>342</v>
      </c>
      <c r="B172" s="490" t="s">
        <v>341</v>
      </c>
      <c r="C172" s="490" t="s">
        <v>50</v>
      </c>
      <c r="D172" s="490" t="s">
        <v>445</v>
      </c>
      <c r="E172" s="498" t="s">
        <v>1557</v>
      </c>
      <c r="F172" s="180"/>
      <c r="G172" s="499">
        <f t="shared" si="21"/>
        <v>1400000</v>
      </c>
      <c r="H172" s="499">
        <v>1400000</v>
      </c>
      <c r="I172" s="499">
        <v>0</v>
      </c>
      <c r="J172" s="499">
        <v>0</v>
      </c>
      <c r="K172" s="130"/>
      <c r="L172" s="130"/>
      <c r="M172" s="130"/>
    </row>
    <row r="173" spans="1:13" ht="230.25" thickTop="1" thickBot="1" x14ac:dyDescent="0.25">
      <c r="A173" s="490" t="s">
        <v>342</v>
      </c>
      <c r="B173" s="490" t="s">
        <v>341</v>
      </c>
      <c r="C173" s="490" t="s">
        <v>50</v>
      </c>
      <c r="D173" s="490" t="s">
        <v>445</v>
      </c>
      <c r="E173" s="498" t="s">
        <v>1558</v>
      </c>
      <c r="F173" s="180"/>
      <c r="G173" s="499">
        <f t="shared" si="21"/>
        <v>3840000</v>
      </c>
      <c r="H173" s="499">
        <v>3840000</v>
      </c>
      <c r="I173" s="499">
        <v>0</v>
      </c>
      <c r="J173" s="499">
        <v>0</v>
      </c>
      <c r="K173" s="130"/>
      <c r="L173" s="130"/>
      <c r="M173" s="130"/>
    </row>
    <row r="174" spans="1:13" ht="138.75" thickTop="1" thickBot="1" x14ac:dyDescent="0.25">
      <c r="A174" s="94" t="s">
        <v>320</v>
      </c>
      <c r="B174" s="94" t="s">
        <v>321</v>
      </c>
      <c r="C174" s="94" t="s">
        <v>202</v>
      </c>
      <c r="D174" s="94" t="s">
        <v>613</v>
      </c>
      <c r="E174" s="526" t="s">
        <v>1078</v>
      </c>
      <c r="F174" s="432" t="s">
        <v>1058</v>
      </c>
      <c r="G174" s="432">
        <f t="shared" si="21"/>
        <v>800000</v>
      </c>
      <c r="H174" s="432">
        <v>800000</v>
      </c>
      <c r="I174" s="432">
        <f>'d3'!J178</f>
        <v>0</v>
      </c>
      <c r="J174" s="432">
        <f>'d3'!K178</f>
        <v>0</v>
      </c>
      <c r="K174" s="493" t="b">
        <f>H174+H175='d3'!E178</f>
        <v>1</v>
      </c>
      <c r="L174" s="493" t="b">
        <f>I174+I175='d3'!J178</f>
        <v>1</v>
      </c>
      <c r="M174" s="493" t="b">
        <f>J174+J175='d3'!K178</f>
        <v>1</v>
      </c>
    </row>
    <row r="175" spans="1:13" ht="138.75" thickTop="1" thickBot="1" x14ac:dyDescent="0.25">
      <c r="A175" s="94" t="s">
        <v>320</v>
      </c>
      <c r="B175" s="94" t="s">
        <v>321</v>
      </c>
      <c r="C175" s="94" t="s">
        <v>202</v>
      </c>
      <c r="D175" s="94" t="s">
        <v>613</v>
      </c>
      <c r="E175" s="498" t="s">
        <v>1557</v>
      </c>
      <c r="F175" s="180"/>
      <c r="G175" s="432">
        <f t="shared" si="21"/>
        <v>700000</v>
      </c>
      <c r="H175" s="432">
        <v>700000</v>
      </c>
      <c r="I175" s="432">
        <v>0</v>
      </c>
      <c r="J175" s="432">
        <v>0</v>
      </c>
      <c r="K175" s="130"/>
      <c r="L175" s="130"/>
      <c r="M175" s="130"/>
    </row>
    <row r="176" spans="1:13" ht="138.75" thickTop="1" thickBot="1" x14ac:dyDescent="0.25">
      <c r="A176" s="94" t="s">
        <v>420</v>
      </c>
      <c r="B176" s="94" t="s">
        <v>365</v>
      </c>
      <c r="C176" s="94" t="s">
        <v>366</v>
      </c>
      <c r="D176" s="94" t="s">
        <v>364</v>
      </c>
      <c r="E176" s="526" t="s">
        <v>1299</v>
      </c>
      <c r="F176" s="432" t="s">
        <v>1331</v>
      </c>
      <c r="G176" s="432">
        <f t="shared" si="21"/>
        <v>117000</v>
      </c>
      <c r="H176" s="432">
        <f>'d3'!E179</f>
        <v>117000</v>
      </c>
      <c r="I176" s="432">
        <f>'d3'!J179</f>
        <v>0</v>
      </c>
      <c r="J176" s="432">
        <f>'d3'!K179</f>
        <v>0</v>
      </c>
      <c r="K176" s="130"/>
      <c r="L176" s="130"/>
      <c r="M176" s="130"/>
    </row>
    <row r="177" spans="1:14" ht="138.75" thickTop="1" thickBot="1" x14ac:dyDescent="0.25">
      <c r="A177" s="94" t="s">
        <v>1089</v>
      </c>
      <c r="B177" s="94" t="s">
        <v>1086</v>
      </c>
      <c r="C177" s="94" t="s">
        <v>203</v>
      </c>
      <c r="D177" s="528" t="s">
        <v>1464</v>
      </c>
      <c r="E177" s="526" t="s">
        <v>1078</v>
      </c>
      <c r="F177" s="432" t="s">
        <v>1058</v>
      </c>
      <c r="G177" s="432">
        <f>H177+I177</f>
        <v>5714410</v>
      </c>
      <c r="H177" s="524">
        <f>'d3'!E195</f>
        <v>5714410</v>
      </c>
      <c r="I177" s="432">
        <f>'d3'!J195</f>
        <v>0</v>
      </c>
      <c r="J177" s="432">
        <f>'d3'!K195</f>
        <v>0</v>
      </c>
      <c r="K177" s="130"/>
      <c r="L177" s="130"/>
      <c r="M177" s="130"/>
    </row>
    <row r="178" spans="1:14" ht="138.75" thickTop="1" thickBot="1" x14ac:dyDescent="0.25">
      <c r="A178" s="94" t="s">
        <v>322</v>
      </c>
      <c r="B178" s="94" t="s">
        <v>324</v>
      </c>
      <c r="C178" s="94" t="s">
        <v>188</v>
      </c>
      <c r="D178" s="528" t="s">
        <v>1422</v>
      </c>
      <c r="E178" s="526" t="s">
        <v>1078</v>
      </c>
      <c r="F178" s="432" t="s">
        <v>1058</v>
      </c>
      <c r="G178" s="432">
        <f t="shared" si="21"/>
        <v>57743455</v>
      </c>
      <c r="H178" s="524">
        <f>'d3'!E197-H179</f>
        <v>46135972</v>
      </c>
      <c r="I178" s="432">
        <f>'d3'!J197-I179</f>
        <v>11607483</v>
      </c>
      <c r="J178" s="432">
        <f>'d3'!K197-J179</f>
        <v>0</v>
      </c>
      <c r="L178" s="130"/>
      <c r="M178" s="130"/>
    </row>
    <row r="179" spans="1:14" ht="138.75" hidden="1" thickTop="1" thickBot="1" x14ac:dyDescent="0.25">
      <c r="A179" s="119" t="s">
        <v>322</v>
      </c>
      <c r="B179" s="119" t="s">
        <v>324</v>
      </c>
      <c r="C179" s="119" t="s">
        <v>188</v>
      </c>
      <c r="D179" s="282" t="s">
        <v>1422</v>
      </c>
      <c r="E179" s="196" t="s">
        <v>1345</v>
      </c>
      <c r="F179" s="180" t="s">
        <v>1346</v>
      </c>
      <c r="G179" s="180">
        <f>H179+I179</f>
        <v>0</v>
      </c>
      <c r="H179" s="197"/>
      <c r="I179" s="180"/>
      <c r="J179" s="180"/>
      <c r="K179" s="130"/>
      <c r="L179" s="130"/>
      <c r="M179" s="130"/>
    </row>
    <row r="180" spans="1:14" ht="138.75" thickTop="1" thickBot="1" x14ac:dyDescent="0.25">
      <c r="A180" s="94" t="s">
        <v>323</v>
      </c>
      <c r="B180" s="94" t="s">
        <v>325</v>
      </c>
      <c r="C180" s="94" t="s">
        <v>188</v>
      </c>
      <c r="D180" s="528" t="s">
        <v>326</v>
      </c>
      <c r="E180" s="526" t="s">
        <v>1078</v>
      </c>
      <c r="F180" s="432" t="s">
        <v>1058</v>
      </c>
      <c r="G180" s="432">
        <f>H180+I180</f>
        <v>30592720</v>
      </c>
      <c r="H180" s="432">
        <f>30342720+250000</f>
        <v>30592720</v>
      </c>
      <c r="I180" s="432">
        <v>0</v>
      </c>
      <c r="J180" s="432">
        <v>0</v>
      </c>
      <c r="K180" s="877" t="b">
        <f>H180+H182+H183+H184+H185+H181='d3'!E198</f>
        <v>1</v>
      </c>
      <c r="L180" s="877" t="b">
        <f>I180+I182+I183+I184+I185+I181='d3'!J198</f>
        <v>1</v>
      </c>
      <c r="M180" s="877" t="b">
        <f>J180+J182+J183+J184+J185+J181='d3'!K198</f>
        <v>1</v>
      </c>
    </row>
    <row r="181" spans="1:14" ht="276" thickTop="1" thickBot="1" x14ac:dyDescent="0.25">
      <c r="A181" s="94" t="s">
        <v>323</v>
      </c>
      <c r="B181" s="94" t="s">
        <v>325</v>
      </c>
      <c r="C181" s="94" t="s">
        <v>188</v>
      </c>
      <c r="D181" s="528" t="s">
        <v>326</v>
      </c>
      <c r="E181" s="499" t="s">
        <v>1542</v>
      </c>
      <c r="F181" s="180"/>
      <c r="G181" s="432">
        <f t="shared" si="21"/>
        <v>2000000</v>
      </c>
      <c r="H181" s="432">
        <v>2000000</v>
      </c>
      <c r="I181" s="432">
        <v>0</v>
      </c>
      <c r="J181" s="432">
        <v>0</v>
      </c>
      <c r="K181" s="877"/>
      <c r="L181" s="877"/>
      <c r="M181" s="877"/>
    </row>
    <row r="182" spans="1:14" ht="93" thickTop="1" thickBot="1" x14ac:dyDescent="0.25">
      <c r="A182" s="94" t="s">
        <v>323</v>
      </c>
      <c r="B182" s="94" t="s">
        <v>325</v>
      </c>
      <c r="C182" s="94" t="s">
        <v>188</v>
      </c>
      <c r="D182" s="528" t="s">
        <v>326</v>
      </c>
      <c r="E182" s="432" t="s">
        <v>1559</v>
      </c>
      <c r="F182" s="180"/>
      <c r="G182" s="432">
        <f t="shared" si="21"/>
        <v>64000</v>
      </c>
      <c r="H182" s="432">
        <v>64000</v>
      </c>
      <c r="I182" s="432">
        <v>0</v>
      </c>
      <c r="J182" s="432">
        <v>0</v>
      </c>
      <c r="K182" s="881"/>
      <c r="L182" s="881"/>
      <c r="M182" s="881"/>
      <c r="N182" s="195"/>
    </row>
    <row r="183" spans="1:14" ht="186.75" customHeight="1" thickTop="1" thickBot="1" x14ac:dyDescent="0.25">
      <c r="A183" s="94" t="s">
        <v>323</v>
      </c>
      <c r="B183" s="94" t="s">
        <v>325</v>
      </c>
      <c r="C183" s="94" t="s">
        <v>188</v>
      </c>
      <c r="D183" s="528" t="s">
        <v>326</v>
      </c>
      <c r="E183" s="526" t="s">
        <v>1557</v>
      </c>
      <c r="F183" s="180"/>
      <c r="G183" s="432">
        <f t="shared" si="21"/>
        <v>96268400</v>
      </c>
      <c r="H183" s="432">
        <v>96268400</v>
      </c>
      <c r="I183" s="432">
        <v>0</v>
      </c>
      <c r="J183" s="432">
        <v>0</v>
      </c>
      <c r="K183" s="881"/>
      <c r="L183" s="881"/>
      <c r="M183" s="881"/>
    </row>
    <row r="184" spans="1:14" ht="177.75" customHeight="1" thickTop="1" thickBot="1" x14ac:dyDescent="0.25">
      <c r="A184" s="94" t="s">
        <v>323</v>
      </c>
      <c r="B184" s="94" t="s">
        <v>325</v>
      </c>
      <c r="C184" s="94" t="s">
        <v>188</v>
      </c>
      <c r="D184" s="528" t="s">
        <v>326</v>
      </c>
      <c r="E184" s="526" t="s">
        <v>1440</v>
      </c>
      <c r="F184" s="432" t="s">
        <v>1274</v>
      </c>
      <c r="G184" s="432">
        <f t="shared" si="21"/>
        <v>1660000</v>
      </c>
      <c r="H184" s="432">
        <v>1660000</v>
      </c>
      <c r="I184" s="432">
        <v>0</v>
      </c>
      <c r="J184" s="432">
        <v>0</v>
      </c>
      <c r="K184" s="13"/>
      <c r="L184" s="13"/>
      <c r="M184" s="13"/>
    </row>
    <row r="185" spans="1:14" ht="230.25" thickTop="1" thickBot="1" x14ac:dyDescent="0.25">
      <c r="A185" s="94" t="s">
        <v>323</v>
      </c>
      <c r="B185" s="94" t="s">
        <v>325</v>
      </c>
      <c r="C185" s="94" t="s">
        <v>188</v>
      </c>
      <c r="D185" s="528" t="s">
        <v>326</v>
      </c>
      <c r="E185" s="526" t="s">
        <v>1558</v>
      </c>
      <c r="F185" s="180"/>
      <c r="G185" s="432">
        <f t="shared" si="21"/>
        <v>63400000</v>
      </c>
      <c r="H185" s="432">
        <f>25800000+37600000</f>
        <v>63400000</v>
      </c>
      <c r="I185" s="432">
        <v>0</v>
      </c>
      <c r="J185" s="432">
        <v>0</v>
      </c>
      <c r="K185" s="13"/>
      <c r="L185" s="13"/>
      <c r="M185" s="13"/>
    </row>
    <row r="186" spans="1:14" ht="184.5" thickTop="1" thickBot="1" x14ac:dyDescent="0.25">
      <c r="A186" s="94" t="s">
        <v>1495</v>
      </c>
      <c r="B186" s="94" t="s">
        <v>1494</v>
      </c>
      <c r="C186" s="94" t="s">
        <v>182</v>
      </c>
      <c r="D186" s="528" t="s">
        <v>1493</v>
      </c>
      <c r="E186" s="432" t="s">
        <v>1559</v>
      </c>
      <c r="F186" s="432"/>
      <c r="G186" s="432">
        <f t="shared" si="21"/>
        <v>799985</v>
      </c>
      <c r="H186" s="432">
        <v>0</v>
      </c>
      <c r="I186" s="432">
        <v>799985</v>
      </c>
      <c r="J186" s="432">
        <v>799985</v>
      </c>
      <c r="K186" s="13"/>
      <c r="L186" s="13"/>
      <c r="M186" s="13"/>
    </row>
    <row r="187" spans="1:14" ht="229.5" customHeight="1" thickTop="1" thickBot="1" x14ac:dyDescent="0.25">
      <c r="A187" s="94" t="s">
        <v>1406</v>
      </c>
      <c r="B187" s="94" t="s">
        <v>1407</v>
      </c>
      <c r="C187" s="94" t="s">
        <v>188</v>
      </c>
      <c r="D187" s="94" t="s">
        <v>1543</v>
      </c>
      <c r="E187" s="526" t="s">
        <v>1078</v>
      </c>
      <c r="F187" s="432" t="s">
        <v>1058</v>
      </c>
      <c r="G187" s="432">
        <f t="shared" si="21"/>
        <v>6000000</v>
      </c>
      <c r="H187" s="432">
        <v>0</v>
      </c>
      <c r="I187" s="432">
        <v>6000000</v>
      </c>
      <c r="J187" s="432">
        <v>6000000</v>
      </c>
      <c r="K187" s="493" t="b">
        <f>H187+H188='d3'!E200</f>
        <v>1</v>
      </c>
      <c r="L187" s="493" t="b">
        <f>I187+I188='d3'!J200</f>
        <v>1</v>
      </c>
      <c r="M187" s="493" t="b">
        <f>J187+J188='d3'!K200</f>
        <v>1</v>
      </c>
    </row>
    <row r="188" spans="1:14" ht="232.5" customHeight="1" thickTop="1" thickBot="1" x14ac:dyDescent="0.25">
      <c r="A188" s="94" t="s">
        <v>1406</v>
      </c>
      <c r="B188" s="94" t="s">
        <v>1407</v>
      </c>
      <c r="C188" s="94" t="s">
        <v>188</v>
      </c>
      <c r="D188" s="94" t="s">
        <v>1543</v>
      </c>
      <c r="E188" s="526" t="s">
        <v>1557</v>
      </c>
      <c r="F188" s="180"/>
      <c r="G188" s="432">
        <f t="shared" si="21"/>
        <v>45000000</v>
      </c>
      <c r="H188" s="432">
        <v>0</v>
      </c>
      <c r="I188" s="432">
        <v>45000000</v>
      </c>
      <c r="J188" s="432">
        <v>45000000</v>
      </c>
      <c r="K188" s="130"/>
      <c r="L188" s="130"/>
      <c r="M188" s="130"/>
    </row>
    <row r="189" spans="1:14" ht="230.25" hidden="1" thickTop="1" thickBot="1" x14ac:dyDescent="0.25">
      <c r="A189" s="119" t="s">
        <v>1000</v>
      </c>
      <c r="B189" s="119" t="s">
        <v>1001</v>
      </c>
      <c r="C189" s="119" t="s">
        <v>334</v>
      </c>
      <c r="D189" s="282" t="s">
        <v>1002</v>
      </c>
      <c r="E189" s="196" t="s">
        <v>1298</v>
      </c>
      <c r="F189" s="180" t="s">
        <v>833</v>
      </c>
      <c r="G189" s="180">
        <f t="shared" si="21"/>
        <v>0</v>
      </c>
      <c r="H189" s="180"/>
      <c r="I189" s="180"/>
      <c r="J189" s="180"/>
      <c r="K189" s="130"/>
      <c r="L189" s="130"/>
      <c r="M189" s="130"/>
    </row>
    <row r="190" spans="1:14" ht="138.75" thickTop="1" thickBot="1" x14ac:dyDescent="0.25">
      <c r="A190" s="94" t="s">
        <v>1166</v>
      </c>
      <c r="B190" s="94" t="s">
        <v>209</v>
      </c>
      <c r="C190" s="94" t="s">
        <v>210</v>
      </c>
      <c r="D190" s="94" t="s">
        <v>41</v>
      </c>
      <c r="E190" s="526" t="s">
        <v>1078</v>
      </c>
      <c r="F190" s="432" t="s">
        <v>1058</v>
      </c>
      <c r="G190" s="432">
        <f t="shared" si="21"/>
        <v>500000</v>
      </c>
      <c r="H190" s="546">
        <f>'d3'!E207</f>
        <v>500000</v>
      </c>
      <c r="I190" s="546">
        <f>'d3'!J207</f>
        <v>0</v>
      </c>
      <c r="J190" s="546">
        <f>'d3'!K207</f>
        <v>0</v>
      </c>
      <c r="K190" s="130"/>
      <c r="L190" s="130"/>
      <c r="M190" s="130"/>
    </row>
    <row r="191" spans="1:14" ht="230.25" hidden="1" thickTop="1" thickBot="1" x14ac:dyDescent="0.7">
      <c r="A191" s="119" t="s">
        <v>415</v>
      </c>
      <c r="B191" s="119" t="s">
        <v>332</v>
      </c>
      <c r="C191" s="119" t="s">
        <v>167</v>
      </c>
      <c r="D191" s="145" t="s">
        <v>432</v>
      </c>
      <c r="E191" s="119" t="s">
        <v>1054</v>
      </c>
      <c r="F191" s="119" t="s">
        <v>1055</v>
      </c>
      <c r="G191" s="210">
        <f>H191+I191</f>
        <v>0</v>
      </c>
      <c r="H191" s="210"/>
      <c r="I191" s="210"/>
      <c r="J191" s="210"/>
      <c r="K191" s="130"/>
      <c r="L191" s="130"/>
      <c r="M191" s="130"/>
    </row>
    <row r="192" spans="1:14" ht="136.5" customHeight="1" thickTop="1" thickBot="1" x14ac:dyDescent="0.25">
      <c r="A192" s="535">
        <v>1000000</v>
      </c>
      <c r="B192" s="535"/>
      <c r="C192" s="535"/>
      <c r="D192" s="536" t="s">
        <v>24</v>
      </c>
      <c r="E192" s="536"/>
      <c r="F192" s="536"/>
      <c r="G192" s="537">
        <f>G193</f>
        <v>226007891</v>
      </c>
      <c r="H192" s="537">
        <f t="shared" ref="H192:J192" si="24">H193</f>
        <v>209935141</v>
      </c>
      <c r="I192" s="537">
        <f t="shared" si="24"/>
        <v>16072750</v>
      </c>
      <c r="J192" s="537">
        <f t="shared" si="24"/>
        <v>0</v>
      </c>
      <c r="K192" s="559" t="b">
        <f>H192='d3'!E212</f>
        <v>1</v>
      </c>
      <c r="L192" s="560" t="b">
        <f>I192='d3'!J212</f>
        <v>1</v>
      </c>
      <c r="M192" s="560" t="b">
        <f>J192='d3'!K212</f>
        <v>1</v>
      </c>
    </row>
    <row r="193" spans="1:13" ht="153.75" customHeight="1" thickTop="1" thickBot="1" x14ac:dyDescent="0.25">
      <c r="A193" s="532">
        <v>1010000</v>
      </c>
      <c r="B193" s="532"/>
      <c r="C193" s="532"/>
      <c r="D193" s="533" t="s">
        <v>39</v>
      </c>
      <c r="E193" s="533"/>
      <c r="F193" s="533"/>
      <c r="G193" s="534">
        <f>SUM(G194:G212)</f>
        <v>226007891</v>
      </c>
      <c r="H193" s="534">
        <f>SUM(H194:H212)</f>
        <v>209935141</v>
      </c>
      <c r="I193" s="534">
        <f>SUM(I194:I212)</f>
        <v>16072750</v>
      </c>
      <c r="J193" s="534">
        <f>SUM(J194:J212)</f>
        <v>0</v>
      </c>
      <c r="K193" s="130"/>
      <c r="L193" s="130"/>
      <c r="M193" s="130"/>
    </row>
    <row r="194" spans="1:13" ht="198.75" customHeight="1" thickTop="1" thickBot="1" x14ac:dyDescent="0.25">
      <c r="A194" s="94" t="s">
        <v>614</v>
      </c>
      <c r="B194" s="94" t="s">
        <v>615</v>
      </c>
      <c r="C194" s="94" t="s">
        <v>178</v>
      </c>
      <c r="D194" s="94" t="s">
        <v>1033</v>
      </c>
      <c r="E194" s="432" t="s">
        <v>1663</v>
      </c>
      <c r="F194" s="180"/>
      <c r="G194" s="432">
        <f>H194+I194</f>
        <v>130604399</v>
      </c>
      <c r="H194" s="432">
        <f>'d3'!E214-H195</f>
        <v>115943429</v>
      </c>
      <c r="I194" s="432">
        <f>'d3'!J214-I195</f>
        <v>14660970</v>
      </c>
      <c r="J194" s="432">
        <f>'d3'!K214-J195</f>
        <v>0</v>
      </c>
      <c r="K194" s="130"/>
      <c r="L194" s="130"/>
      <c r="M194" s="130"/>
    </row>
    <row r="195" spans="1:13" ht="138.75" hidden="1" thickTop="1" thickBot="1" x14ac:dyDescent="0.25">
      <c r="A195" s="119" t="s">
        <v>614</v>
      </c>
      <c r="B195" s="119" t="s">
        <v>615</v>
      </c>
      <c r="C195" s="119" t="s">
        <v>178</v>
      </c>
      <c r="D195" s="119" t="s">
        <v>1033</v>
      </c>
      <c r="E195" s="196" t="s">
        <v>1207</v>
      </c>
      <c r="F195" s="180" t="s">
        <v>442</v>
      </c>
      <c r="G195" s="180">
        <f t="shared" ref="G195" si="25">H195+I195</f>
        <v>0</v>
      </c>
      <c r="H195" s="180">
        <v>0</v>
      </c>
      <c r="I195" s="180">
        <v>0</v>
      </c>
      <c r="J195" s="180">
        <v>0</v>
      </c>
      <c r="K195" s="130"/>
      <c r="L195" s="130"/>
      <c r="M195" s="130"/>
    </row>
    <row r="196" spans="1:13" ht="204.75" customHeight="1" thickTop="1" thickBot="1" x14ac:dyDescent="0.25">
      <c r="A196" s="94" t="s">
        <v>169</v>
      </c>
      <c r="B196" s="94" t="s">
        <v>170</v>
      </c>
      <c r="C196" s="94" t="s">
        <v>171</v>
      </c>
      <c r="D196" s="94" t="s">
        <v>172</v>
      </c>
      <c r="E196" s="432" t="s">
        <v>1663</v>
      </c>
      <c r="F196" s="180"/>
      <c r="G196" s="432">
        <f t="shared" ref="G196:G212" si="26">H196+I196</f>
        <v>22826769</v>
      </c>
      <c r="H196" s="432">
        <f>'d3'!E216-H197-H198</f>
        <v>22586769</v>
      </c>
      <c r="I196" s="432">
        <f>'d3'!J216-I197-I198</f>
        <v>240000</v>
      </c>
      <c r="J196" s="432">
        <f>'d3'!K216-J197-J198</f>
        <v>0</v>
      </c>
      <c r="K196" s="130"/>
      <c r="L196" s="130"/>
      <c r="M196" s="130"/>
    </row>
    <row r="197" spans="1:13" ht="138.75" hidden="1" thickTop="1" thickBot="1" x14ac:dyDescent="0.25">
      <c r="A197" s="119" t="s">
        <v>169</v>
      </c>
      <c r="B197" s="119" t="s">
        <v>170</v>
      </c>
      <c r="C197" s="119" t="s">
        <v>171</v>
      </c>
      <c r="D197" s="119" t="s">
        <v>172</v>
      </c>
      <c r="E197" s="196" t="s">
        <v>1345</v>
      </c>
      <c r="F197" s="180" t="s">
        <v>1346</v>
      </c>
      <c r="G197" s="180">
        <f>H197+I197</f>
        <v>0</v>
      </c>
      <c r="H197" s="197"/>
      <c r="I197" s="180"/>
      <c r="J197" s="180"/>
      <c r="K197" s="130"/>
      <c r="L197" s="130"/>
      <c r="M197" s="130"/>
    </row>
    <row r="198" spans="1:13" ht="138.75" hidden="1" thickTop="1" thickBot="1" x14ac:dyDescent="0.25">
      <c r="A198" s="119" t="s">
        <v>169</v>
      </c>
      <c r="B198" s="119" t="s">
        <v>170</v>
      </c>
      <c r="C198" s="119" t="s">
        <v>171</v>
      </c>
      <c r="D198" s="119" t="s">
        <v>172</v>
      </c>
      <c r="E198" s="180" t="s">
        <v>829</v>
      </c>
      <c r="F198" s="180" t="s">
        <v>830</v>
      </c>
      <c r="G198" s="180">
        <f>H198+I198</f>
        <v>0</v>
      </c>
      <c r="H198" s="197">
        <v>0</v>
      </c>
      <c r="I198" s="180">
        <v>0</v>
      </c>
      <c r="J198" s="180">
        <v>0</v>
      </c>
      <c r="K198" s="130"/>
      <c r="L198" s="130"/>
      <c r="M198" s="130"/>
    </row>
    <row r="199" spans="1:13" ht="177.75" customHeight="1" thickTop="1" thickBot="1" x14ac:dyDescent="0.25">
      <c r="A199" s="94" t="s">
        <v>173</v>
      </c>
      <c r="B199" s="94" t="s">
        <v>174</v>
      </c>
      <c r="C199" s="94" t="s">
        <v>171</v>
      </c>
      <c r="D199" s="94" t="s">
        <v>452</v>
      </c>
      <c r="E199" s="432" t="s">
        <v>1663</v>
      </c>
      <c r="F199" s="180"/>
      <c r="G199" s="432">
        <f t="shared" si="26"/>
        <v>3653180</v>
      </c>
      <c r="H199" s="432">
        <f>'d3'!E217-H200</f>
        <v>3488180</v>
      </c>
      <c r="I199" s="432">
        <f>'d3'!J217-I200</f>
        <v>165000</v>
      </c>
      <c r="J199" s="432">
        <f>'d3'!K217-J200</f>
        <v>0</v>
      </c>
      <c r="K199" s="130"/>
      <c r="L199" s="130"/>
      <c r="M199" s="130"/>
    </row>
    <row r="200" spans="1:13" ht="138.75" hidden="1" thickTop="1" thickBot="1" x14ac:dyDescent="0.25">
      <c r="A200" s="119" t="s">
        <v>173</v>
      </c>
      <c r="B200" s="119" t="s">
        <v>174</v>
      </c>
      <c r="C200" s="119" t="s">
        <v>171</v>
      </c>
      <c r="D200" s="119" t="s">
        <v>452</v>
      </c>
      <c r="E200" s="196" t="s">
        <v>1207</v>
      </c>
      <c r="F200" s="180" t="s">
        <v>442</v>
      </c>
      <c r="G200" s="180">
        <f t="shared" si="26"/>
        <v>0</v>
      </c>
      <c r="H200" s="180">
        <v>0</v>
      </c>
      <c r="I200" s="180">
        <v>0</v>
      </c>
      <c r="J200" s="180">
        <v>0</v>
      </c>
      <c r="K200" s="130"/>
      <c r="L200" s="130"/>
      <c r="M200" s="130"/>
    </row>
    <row r="201" spans="1:13" ht="183.75" customHeight="1" thickTop="1" thickBot="1" x14ac:dyDescent="0.25">
      <c r="A201" s="94" t="s">
        <v>175</v>
      </c>
      <c r="B201" s="94" t="s">
        <v>168</v>
      </c>
      <c r="C201" s="94" t="s">
        <v>176</v>
      </c>
      <c r="D201" s="94" t="s">
        <v>177</v>
      </c>
      <c r="E201" s="432" t="s">
        <v>1663</v>
      </c>
      <c r="F201" s="180"/>
      <c r="G201" s="432">
        <f t="shared" si="26"/>
        <v>26487934</v>
      </c>
      <c r="H201" s="432">
        <f>'d3'!E218-H202</f>
        <v>25723034</v>
      </c>
      <c r="I201" s="432">
        <f>'d3'!J218-I202</f>
        <v>764900</v>
      </c>
      <c r="J201" s="432">
        <f>'d3'!K218-J202</f>
        <v>0</v>
      </c>
      <c r="K201" s="130"/>
      <c r="L201" s="130"/>
      <c r="M201" s="130"/>
    </row>
    <row r="202" spans="1:13" ht="138.75" hidden="1" thickTop="1" thickBot="1" x14ac:dyDescent="0.25">
      <c r="A202" s="39" t="s">
        <v>175</v>
      </c>
      <c r="B202" s="39" t="s">
        <v>168</v>
      </c>
      <c r="C202" s="39" t="s">
        <v>176</v>
      </c>
      <c r="D202" s="39" t="s">
        <v>177</v>
      </c>
      <c r="E202" s="199" t="s">
        <v>441</v>
      </c>
      <c r="F202" s="204" t="s">
        <v>442</v>
      </c>
      <c r="G202" s="71">
        <f>H202+I202</f>
        <v>0</v>
      </c>
      <c r="H202" s="200">
        <v>0</v>
      </c>
      <c r="I202" s="71">
        <v>0</v>
      </c>
      <c r="J202" s="71">
        <v>0</v>
      </c>
      <c r="K202" s="130"/>
      <c r="L202" s="130"/>
      <c r="M202" s="130"/>
    </row>
    <row r="203" spans="1:13" ht="138.75" hidden="1" thickTop="1" thickBot="1" x14ac:dyDescent="0.25">
      <c r="A203" s="119" t="s">
        <v>1080</v>
      </c>
      <c r="B203" s="119" t="s">
        <v>1081</v>
      </c>
      <c r="C203" s="119" t="s">
        <v>1083</v>
      </c>
      <c r="D203" s="119" t="s">
        <v>1082</v>
      </c>
      <c r="E203" s="180" t="s">
        <v>831</v>
      </c>
      <c r="F203" s="180" t="s">
        <v>832</v>
      </c>
      <c r="G203" s="180">
        <f>H203+I203</f>
        <v>0</v>
      </c>
      <c r="H203" s="197">
        <f>'d3'!E219</f>
        <v>0</v>
      </c>
      <c r="I203" s="180">
        <f>'d3'!J219</f>
        <v>0</v>
      </c>
      <c r="J203" s="180">
        <f>'d3'!K219</f>
        <v>0</v>
      </c>
      <c r="K203" s="130"/>
      <c r="L203" s="130"/>
      <c r="M203" s="130"/>
    </row>
    <row r="204" spans="1:13" ht="195.75" customHeight="1" thickTop="1" thickBot="1" x14ac:dyDescent="0.25">
      <c r="A204" s="94" t="s">
        <v>327</v>
      </c>
      <c r="B204" s="94" t="s">
        <v>328</v>
      </c>
      <c r="C204" s="94" t="s">
        <v>179</v>
      </c>
      <c r="D204" s="94" t="s">
        <v>453</v>
      </c>
      <c r="E204" s="432" t="s">
        <v>1663</v>
      </c>
      <c r="F204" s="180"/>
      <c r="G204" s="432">
        <f>H204+I204</f>
        <v>33892766</v>
      </c>
      <c r="H204" s="432">
        <f>'d3'!E221-H205</f>
        <v>33650886</v>
      </c>
      <c r="I204" s="432">
        <f>'d3'!J221-I205</f>
        <v>241880</v>
      </c>
      <c r="J204" s="432">
        <f>'d3'!K221-J205</f>
        <v>0</v>
      </c>
      <c r="K204" s="130"/>
      <c r="L204" s="130"/>
      <c r="M204" s="130"/>
    </row>
    <row r="205" spans="1:13" ht="138.75" thickTop="1" thickBot="1" x14ac:dyDescent="0.25">
      <c r="A205" s="94" t="s">
        <v>327</v>
      </c>
      <c r="B205" s="94" t="s">
        <v>328</v>
      </c>
      <c r="C205" s="94" t="s">
        <v>179</v>
      </c>
      <c r="D205" s="94" t="s">
        <v>453</v>
      </c>
      <c r="E205" s="432" t="s">
        <v>1134</v>
      </c>
      <c r="F205" s="432" t="s">
        <v>399</v>
      </c>
      <c r="G205" s="432">
        <f t="shared" si="26"/>
        <v>1556460</v>
      </c>
      <c r="H205" s="432">
        <v>1556460</v>
      </c>
      <c r="I205" s="432">
        <v>0</v>
      </c>
      <c r="J205" s="432">
        <v>0</v>
      </c>
      <c r="K205" s="130"/>
      <c r="L205" s="130"/>
      <c r="M205" s="130"/>
    </row>
    <row r="206" spans="1:13" ht="210.75" customHeight="1" thickTop="1" thickBot="1" x14ac:dyDescent="0.25">
      <c r="A206" s="94" t="s">
        <v>329</v>
      </c>
      <c r="B206" s="94" t="s">
        <v>330</v>
      </c>
      <c r="C206" s="94" t="s">
        <v>179</v>
      </c>
      <c r="D206" s="94" t="s">
        <v>454</v>
      </c>
      <c r="E206" s="432" t="s">
        <v>1663</v>
      </c>
      <c r="F206" s="180"/>
      <c r="G206" s="432">
        <f t="shared" si="26"/>
        <v>4326000</v>
      </c>
      <c r="H206" s="432">
        <f>'d3'!E222-H207-H208</f>
        <v>4326000</v>
      </c>
      <c r="I206" s="432">
        <f>'d3'!J222-I207-I208</f>
        <v>0</v>
      </c>
      <c r="J206" s="432">
        <f>'d3'!K222-J207-J208</f>
        <v>0</v>
      </c>
      <c r="K206" s="130"/>
      <c r="L206" s="130"/>
      <c r="M206" s="130"/>
    </row>
    <row r="207" spans="1:13" ht="138.75" thickTop="1" thickBot="1" x14ac:dyDescent="0.25">
      <c r="A207" s="94" t="s">
        <v>329</v>
      </c>
      <c r="B207" s="94" t="s">
        <v>330</v>
      </c>
      <c r="C207" s="94" t="s">
        <v>179</v>
      </c>
      <c r="D207" s="94" t="s">
        <v>454</v>
      </c>
      <c r="E207" s="432" t="s">
        <v>1134</v>
      </c>
      <c r="F207" s="432" t="s">
        <v>399</v>
      </c>
      <c r="G207" s="432">
        <f t="shared" si="26"/>
        <v>726348</v>
      </c>
      <c r="H207" s="432">
        <v>726348</v>
      </c>
      <c r="I207" s="432">
        <v>0</v>
      </c>
      <c r="J207" s="432">
        <v>0</v>
      </c>
      <c r="K207" s="130"/>
      <c r="L207" s="130"/>
      <c r="M207" s="130"/>
    </row>
    <row r="208" spans="1:13" ht="183.75" customHeight="1" thickTop="1" thickBot="1" x14ac:dyDescent="0.25">
      <c r="A208" s="94" t="s">
        <v>329</v>
      </c>
      <c r="B208" s="94" t="s">
        <v>330</v>
      </c>
      <c r="C208" s="94" t="s">
        <v>179</v>
      </c>
      <c r="D208" s="94" t="s">
        <v>454</v>
      </c>
      <c r="E208" s="432" t="s">
        <v>1631</v>
      </c>
      <c r="F208" s="180"/>
      <c r="G208" s="432">
        <f t="shared" si="26"/>
        <v>504000</v>
      </c>
      <c r="H208" s="432">
        <v>504000</v>
      </c>
      <c r="I208" s="432">
        <v>0</v>
      </c>
      <c r="J208" s="432">
        <v>0</v>
      </c>
      <c r="K208" s="130"/>
      <c r="L208" s="130"/>
      <c r="M208" s="130"/>
    </row>
    <row r="209" spans="1:13" ht="174.75" customHeight="1" thickTop="1" thickBot="1" x14ac:dyDescent="0.25">
      <c r="A209" s="94" t="s">
        <v>965</v>
      </c>
      <c r="B209" s="94" t="s">
        <v>966</v>
      </c>
      <c r="C209" s="94" t="s">
        <v>210</v>
      </c>
      <c r="D209" s="94" t="s">
        <v>964</v>
      </c>
      <c r="E209" s="499" t="s">
        <v>1314</v>
      </c>
      <c r="F209" s="499" t="s">
        <v>1315</v>
      </c>
      <c r="G209" s="432">
        <f t="shared" si="26"/>
        <v>1430035</v>
      </c>
      <c r="H209" s="432">
        <f>'d3'!E226</f>
        <v>1430035</v>
      </c>
      <c r="I209" s="432">
        <f>'d3'!J226</f>
        <v>0</v>
      </c>
      <c r="J209" s="432">
        <f>'d3'!K226</f>
        <v>0</v>
      </c>
      <c r="K209" s="213"/>
      <c r="L209" s="213"/>
      <c r="M209" s="130"/>
    </row>
    <row r="210" spans="1:13" ht="138.75" hidden="1" thickTop="1" thickBot="1" x14ac:dyDescent="0.25">
      <c r="A210" s="119" t="s">
        <v>1137</v>
      </c>
      <c r="B210" s="119" t="s">
        <v>209</v>
      </c>
      <c r="C210" s="119" t="s">
        <v>210</v>
      </c>
      <c r="D210" s="119" t="s">
        <v>41</v>
      </c>
      <c r="E210" s="180" t="s">
        <v>831</v>
      </c>
      <c r="F210" s="180" t="s">
        <v>832</v>
      </c>
      <c r="G210" s="180">
        <f t="shared" si="26"/>
        <v>0</v>
      </c>
      <c r="H210" s="180">
        <f>'d3'!E227</f>
        <v>0</v>
      </c>
      <c r="I210" s="180">
        <f>'d3'!J227</f>
        <v>0</v>
      </c>
      <c r="J210" s="180">
        <f>'d3'!K227</f>
        <v>0</v>
      </c>
      <c r="K210" s="213"/>
      <c r="L210" s="213"/>
      <c r="M210" s="130"/>
    </row>
    <row r="211" spans="1:13" ht="138.75" hidden="1" thickTop="1" thickBot="1" x14ac:dyDescent="0.25">
      <c r="A211" s="119" t="s">
        <v>879</v>
      </c>
      <c r="B211" s="119" t="s">
        <v>194</v>
      </c>
      <c r="C211" s="119" t="s">
        <v>167</v>
      </c>
      <c r="D211" s="119" t="s">
        <v>34</v>
      </c>
      <c r="E211" s="180" t="s">
        <v>831</v>
      </c>
      <c r="F211" s="180" t="s">
        <v>832</v>
      </c>
      <c r="G211" s="180">
        <f t="shared" si="26"/>
        <v>0</v>
      </c>
      <c r="H211" s="180">
        <f>'d3'!E228</f>
        <v>0</v>
      </c>
      <c r="I211" s="180">
        <f>'d3'!J228</f>
        <v>0</v>
      </c>
      <c r="J211" s="180">
        <f>'d3'!K228</f>
        <v>0</v>
      </c>
      <c r="K211" s="213"/>
      <c r="L211" s="213"/>
      <c r="M211" s="130"/>
    </row>
    <row r="212" spans="1:13" ht="138.75" hidden="1" thickTop="1" thickBot="1" x14ac:dyDescent="0.25">
      <c r="A212" s="39" t="s">
        <v>566</v>
      </c>
      <c r="B212" s="39" t="s">
        <v>356</v>
      </c>
      <c r="C212" s="39" t="s">
        <v>43</v>
      </c>
      <c r="D212" s="39" t="s">
        <v>357</v>
      </c>
      <c r="E212" s="199" t="s">
        <v>826</v>
      </c>
      <c r="F212" s="71" t="s">
        <v>827</v>
      </c>
      <c r="G212" s="71">
        <f t="shared" si="26"/>
        <v>0</v>
      </c>
      <c r="H212" s="71">
        <f>'d3'!E231</f>
        <v>0</v>
      </c>
      <c r="I212" s="71">
        <f>'d3'!J231</f>
        <v>0</v>
      </c>
      <c r="J212" s="71">
        <f>'d3'!K231</f>
        <v>0</v>
      </c>
      <c r="K212" s="213"/>
      <c r="L212" s="213"/>
      <c r="M212" s="130"/>
    </row>
    <row r="213" spans="1:13" ht="170.45" customHeight="1" thickTop="1" thickBot="1" x14ac:dyDescent="0.25">
      <c r="A213" s="535" t="s">
        <v>22</v>
      </c>
      <c r="B213" s="535"/>
      <c r="C213" s="535"/>
      <c r="D213" s="536" t="s">
        <v>23</v>
      </c>
      <c r="E213" s="536"/>
      <c r="F213" s="536"/>
      <c r="G213" s="537">
        <f>G214</f>
        <v>163343242.68000001</v>
      </c>
      <c r="H213" s="537">
        <f t="shared" ref="H213:J213" si="27">H214</f>
        <v>159721997.68000001</v>
      </c>
      <c r="I213" s="537">
        <f t="shared" si="27"/>
        <v>3621245</v>
      </c>
      <c r="J213" s="537">
        <f t="shared" si="27"/>
        <v>0</v>
      </c>
      <c r="K213" s="559" t="b">
        <f>H213='d3'!E233+'d4'!F12</f>
        <v>1</v>
      </c>
      <c r="L213" s="560" t="b">
        <f>I213='d3'!J232+'d4'!G12</f>
        <v>1</v>
      </c>
      <c r="M213" s="560" t="b">
        <f>J213='d3'!K232+'d4'!H12</f>
        <v>1</v>
      </c>
    </row>
    <row r="214" spans="1:13" ht="170.45" customHeight="1" thickTop="1" thickBot="1" x14ac:dyDescent="0.25">
      <c r="A214" s="532" t="s">
        <v>21</v>
      </c>
      <c r="B214" s="532"/>
      <c r="C214" s="532"/>
      <c r="D214" s="533" t="s">
        <v>35</v>
      </c>
      <c r="E214" s="533"/>
      <c r="F214" s="533"/>
      <c r="G214" s="534">
        <f>SUM(G215:G235)</f>
        <v>163343242.68000001</v>
      </c>
      <c r="H214" s="534">
        <f>SUM(H215:H235)</f>
        <v>159721997.68000001</v>
      </c>
      <c r="I214" s="534">
        <f>SUM(I215:I235)</f>
        <v>3621245</v>
      </c>
      <c r="J214" s="534">
        <f>SUM(J215:J235)</f>
        <v>0</v>
      </c>
      <c r="K214" s="130"/>
      <c r="L214" s="130"/>
      <c r="M214" s="130"/>
    </row>
    <row r="215" spans="1:13" ht="138.75" hidden="1" thickTop="1" thickBot="1" x14ac:dyDescent="0.25">
      <c r="A215" s="119" t="s">
        <v>180</v>
      </c>
      <c r="B215" s="119" t="s">
        <v>181</v>
      </c>
      <c r="C215" s="119" t="s">
        <v>182</v>
      </c>
      <c r="D215" s="119" t="s">
        <v>616</v>
      </c>
      <c r="E215" s="196" t="s">
        <v>1056</v>
      </c>
      <c r="F215" s="180" t="s">
        <v>1057</v>
      </c>
      <c r="G215" s="180">
        <f t="shared" ref="G215:G217" si="28">H215+I215</f>
        <v>0</v>
      </c>
      <c r="H215" s="197">
        <f>'d3'!E236</f>
        <v>0</v>
      </c>
      <c r="I215" s="214">
        <f>'d3'!J236</f>
        <v>0</v>
      </c>
      <c r="J215" s="180">
        <f>'d3'!K236</f>
        <v>0</v>
      </c>
      <c r="K215" s="130"/>
      <c r="L215" s="130"/>
      <c r="M215" s="130"/>
    </row>
    <row r="216" spans="1:13" ht="184.5" thickTop="1" thickBot="1" x14ac:dyDescent="0.25">
      <c r="A216" s="94" t="s">
        <v>186</v>
      </c>
      <c r="B216" s="94" t="s">
        <v>187</v>
      </c>
      <c r="C216" s="94" t="s">
        <v>182</v>
      </c>
      <c r="D216" s="94" t="s">
        <v>1420</v>
      </c>
      <c r="E216" s="526" t="s">
        <v>1131</v>
      </c>
      <c r="F216" s="432" t="s">
        <v>1057</v>
      </c>
      <c r="G216" s="432">
        <f t="shared" si="28"/>
        <v>7452881</v>
      </c>
      <c r="H216" s="524">
        <f>'d3'!E238-H217</f>
        <v>6592881</v>
      </c>
      <c r="I216" s="521">
        <f>'d3'!J238-I217</f>
        <v>860000</v>
      </c>
      <c r="J216" s="432">
        <f>'d3'!K238-J217</f>
        <v>0</v>
      </c>
      <c r="K216" s="130"/>
      <c r="L216" s="130"/>
      <c r="M216" s="130"/>
    </row>
    <row r="217" spans="1:13" ht="138.75" hidden="1" thickTop="1" thickBot="1" x14ac:dyDescent="0.25">
      <c r="A217" s="119" t="s">
        <v>186</v>
      </c>
      <c r="B217" s="119" t="s">
        <v>187</v>
      </c>
      <c r="C217" s="119" t="s">
        <v>182</v>
      </c>
      <c r="D217" s="119" t="s">
        <v>10</v>
      </c>
      <c r="E217" s="196" t="s">
        <v>1207</v>
      </c>
      <c r="F217" s="180" t="s">
        <v>442</v>
      </c>
      <c r="G217" s="180">
        <f t="shared" si="28"/>
        <v>0</v>
      </c>
      <c r="H217" s="197"/>
      <c r="I217" s="214"/>
      <c r="J217" s="180"/>
      <c r="K217" s="130"/>
      <c r="L217" s="130"/>
      <c r="M217" s="130"/>
    </row>
    <row r="218" spans="1:13" ht="184.5" thickTop="1" thickBot="1" x14ac:dyDescent="0.25">
      <c r="A218" s="94" t="s">
        <v>345</v>
      </c>
      <c r="B218" s="94" t="s">
        <v>346</v>
      </c>
      <c r="C218" s="94" t="s">
        <v>182</v>
      </c>
      <c r="D218" s="94" t="s">
        <v>1421</v>
      </c>
      <c r="E218" s="526" t="s">
        <v>1131</v>
      </c>
      <c r="F218" s="432" t="s">
        <v>1057</v>
      </c>
      <c r="G218" s="432">
        <f t="shared" ref="G218:G222" si="29">H218+I218</f>
        <v>10641911</v>
      </c>
      <c r="H218" s="524">
        <f>'d3'!E239</f>
        <v>10641911</v>
      </c>
      <c r="I218" s="521">
        <f>'d3'!J239</f>
        <v>0</v>
      </c>
      <c r="J218" s="432">
        <f>'d3'!K239</f>
        <v>0</v>
      </c>
      <c r="K218" s="130"/>
      <c r="L218" s="130"/>
      <c r="M218" s="130"/>
    </row>
    <row r="219" spans="1:13" ht="184.5" thickTop="1" thickBot="1" x14ac:dyDescent="0.25">
      <c r="A219" s="94" t="s">
        <v>44</v>
      </c>
      <c r="B219" s="94" t="s">
        <v>183</v>
      </c>
      <c r="C219" s="94" t="s">
        <v>192</v>
      </c>
      <c r="D219" s="94" t="s">
        <v>45</v>
      </c>
      <c r="E219" s="526" t="s">
        <v>1131</v>
      </c>
      <c r="F219" s="432" t="s">
        <v>1057</v>
      </c>
      <c r="G219" s="432">
        <f t="shared" si="29"/>
        <v>44327495</v>
      </c>
      <c r="H219" s="432">
        <f>'d3'!E242</f>
        <v>44327495</v>
      </c>
      <c r="I219" s="521">
        <f>'d3'!J242</f>
        <v>0</v>
      </c>
      <c r="J219" s="432">
        <f>'d3'!K242</f>
        <v>0</v>
      </c>
      <c r="K219" s="130"/>
      <c r="L219" s="130"/>
      <c r="M219" s="130"/>
    </row>
    <row r="220" spans="1:13" ht="184.5" thickTop="1" thickBot="1" x14ac:dyDescent="0.25">
      <c r="A220" s="94" t="s">
        <v>46</v>
      </c>
      <c r="B220" s="94" t="s">
        <v>184</v>
      </c>
      <c r="C220" s="94" t="s">
        <v>192</v>
      </c>
      <c r="D220" s="94" t="s">
        <v>4</v>
      </c>
      <c r="E220" s="526" t="s">
        <v>1131</v>
      </c>
      <c r="F220" s="432" t="s">
        <v>1057</v>
      </c>
      <c r="G220" s="432">
        <f t="shared" si="29"/>
        <v>5302794.62</v>
      </c>
      <c r="H220" s="432">
        <f>'d3'!E243</f>
        <v>5302794.62</v>
      </c>
      <c r="I220" s="521">
        <f>'d3'!J243</f>
        <v>0</v>
      </c>
      <c r="J220" s="432">
        <f>'d3'!K243</f>
        <v>0</v>
      </c>
      <c r="K220" s="130"/>
      <c r="L220" s="130"/>
      <c r="M220" s="130"/>
    </row>
    <row r="221" spans="1:13" ht="184.5" thickTop="1" thickBot="1" x14ac:dyDescent="0.25">
      <c r="A221" s="94" t="s">
        <v>47</v>
      </c>
      <c r="B221" s="94" t="s">
        <v>185</v>
      </c>
      <c r="C221" s="94" t="s">
        <v>192</v>
      </c>
      <c r="D221" s="94" t="s">
        <v>343</v>
      </c>
      <c r="E221" s="526" t="s">
        <v>1131</v>
      </c>
      <c r="F221" s="432" t="s">
        <v>1057</v>
      </c>
      <c r="G221" s="432">
        <f t="shared" si="29"/>
        <v>231464</v>
      </c>
      <c r="H221" s="432">
        <f>'d3'!E245</f>
        <v>231464</v>
      </c>
      <c r="I221" s="521">
        <f>'d3'!J245</f>
        <v>0</v>
      </c>
      <c r="J221" s="432">
        <f>'d3'!K245</f>
        <v>0</v>
      </c>
      <c r="K221" s="130"/>
      <c r="L221" s="130"/>
      <c r="M221" s="130"/>
    </row>
    <row r="222" spans="1:13" ht="198.75" customHeight="1" thickTop="1" thickBot="1" x14ac:dyDescent="0.25">
      <c r="A222" s="94" t="s">
        <v>28</v>
      </c>
      <c r="B222" s="94" t="s">
        <v>189</v>
      </c>
      <c r="C222" s="94" t="s">
        <v>192</v>
      </c>
      <c r="D222" s="94" t="s">
        <v>1423</v>
      </c>
      <c r="E222" s="526" t="s">
        <v>1131</v>
      </c>
      <c r="F222" s="432" t="s">
        <v>1057</v>
      </c>
      <c r="G222" s="432">
        <f t="shared" si="29"/>
        <v>77804315</v>
      </c>
      <c r="H222" s="432">
        <f>'d3'!E247-H223</f>
        <v>76187118</v>
      </c>
      <c r="I222" s="521">
        <f>'d3'!J247-I223</f>
        <v>1617197</v>
      </c>
      <c r="J222" s="432">
        <f>'d3'!K247-J223</f>
        <v>0</v>
      </c>
      <c r="K222" s="130"/>
      <c r="L222" s="130"/>
      <c r="M222" s="130"/>
    </row>
    <row r="223" spans="1:13" ht="138.75" hidden="1" thickTop="1" thickBot="1" x14ac:dyDescent="0.25">
      <c r="A223" s="119" t="s">
        <v>28</v>
      </c>
      <c r="B223" s="119" t="s">
        <v>189</v>
      </c>
      <c r="C223" s="119" t="s">
        <v>192</v>
      </c>
      <c r="D223" s="119" t="s">
        <v>48</v>
      </c>
      <c r="E223" s="196" t="s">
        <v>1345</v>
      </c>
      <c r="F223" s="180" t="s">
        <v>1346</v>
      </c>
      <c r="G223" s="180">
        <f>H223+I223</f>
        <v>0</v>
      </c>
      <c r="H223" s="197"/>
      <c r="I223" s="180"/>
      <c r="J223" s="180"/>
      <c r="K223" s="130"/>
      <c r="L223" s="130"/>
      <c r="M223" s="130"/>
    </row>
    <row r="224" spans="1:13" ht="183.75" customHeight="1" thickTop="1" thickBot="1" x14ac:dyDescent="0.25">
      <c r="A224" s="94" t="s">
        <v>29</v>
      </c>
      <c r="B224" s="94" t="s">
        <v>190</v>
      </c>
      <c r="C224" s="94" t="s">
        <v>192</v>
      </c>
      <c r="D224" s="94" t="s">
        <v>49</v>
      </c>
      <c r="E224" s="526" t="s">
        <v>1131</v>
      </c>
      <c r="F224" s="432" t="s">
        <v>1057</v>
      </c>
      <c r="G224" s="432">
        <f t="shared" ref="G224:G235" si="30">H224+I224</f>
        <v>4733605</v>
      </c>
      <c r="H224" s="432">
        <f>'d3'!E248</f>
        <v>4733605</v>
      </c>
      <c r="I224" s="521">
        <f>'d3'!J248</f>
        <v>0</v>
      </c>
      <c r="J224" s="432">
        <f>'d3'!K248</f>
        <v>0</v>
      </c>
      <c r="K224" s="130"/>
      <c r="L224" s="130"/>
      <c r="M224" s="130"/>
    </row>
    <row r="225" spans="1:13" ht="184.5" hidden="1" thickTop="1" thickBot="1" x14ac:dyDescent="0.25">
      <c r="A225" s="119" t="s">
        <v>1202</v>
      </c>
      <c r="B225" s="119" t="s">
        <v>1203</v>
      </c>
      <c r="C225" s="119" t="s">
        <v>192</v>
      </c>
      <c r="D225" s="119" t="s">
        <v>1204</v>
      </c>
      <c r="E225" s="196" t="s">
        <v>1131</v>
      </c>
      <c r="F225" s="180" t="s">
        <v>1057</v>
      </c>
      <c r="G225" s="180">
        <f t="shared" si="30"/>
        <v>0</v>
      </c>
      <c r="H225" s="180">
        <f>'d3'!E250</f>
        <v>0</v>
      </c>
      <c r="I225" s="214">
        <f>'d3'!J250</f>
        <v>0</v>
      </c>
      <c r="J225" s="214">
        <f>'d3'!K250</f>
        <v>0</v>
      </c>
      <c r="K225" s="130"/>
      <c r="L225" s="130"/>
      <c r="M225" s="130"/>
    </row>
    <row r="226" spans="1:13" ht="184.5" thickTop="1" thickBot="1" x14ac:dyDescent="0.25">
      <c r="A226" s="632" t="s">
        <v>30</v>
      </c>
      <c r="B226" s="632" t="s">
        <v>191</v>
      </c>
      <c r="C226" s="632" t="s">
        <v>192</v>
      </c>
      <c r="D226" s="94" t="s">
        <v>31</v>
      </c>
      <c r="E226" s="526" t="s">
        <v>1131</v>
      </c>
      <c r="F226" s="432" t="s">
        <v>1057</v>
      </c>
      <c r="G226" s="432">
        <f t="shared" si="30"/>
        <v>1048981.06</v>
      </c>
      <c r="H226" s="432">
        <f>'d3'!E252</f>
        <v>1048981.06</v>
      </c>
      <c r="I226" s="521">
        <f>'d3'!J252</f>
        <v>0</v>
      </c>
      <c r="J226" s="432">
        <f>'d3'!K252</f>
        <v>0</v>
      </c>
      <c r="K226" s="130"/>
      <c r="L226" s="130"/>
      <c r="M226" s="130"/>
    </row>
    <row r="227" spans="1:13" ht="184.5" thickTop="1" thickBot="1" x14ac:dyDescent="0.25">
      <c r="A227" s="632" t="s">
        <v>500</v>
      </c>
      <c r="B227" s="632" t="s">
        <v>498</v>
      </c>
      <c r="C227" s="632" t="s">
        <v>192</v>
      </c>
      <c r="D227" s="94" t="s">
        <v>499</v>
      </c>
      <c r="E227" s="526" t="s">
        <v>1131</v>
      </c>
      <c r="F227" s="432" t="s">
        <v>1057</v>
      </c>
      <c r="G227" s="432">
        <f t="shared" si="30"/>
        <v>7726000</v>
      </c>
      <c r="H227" s="432">
        <f>'d3'!E253</f>
        <v>7726000</v>
      </c>
      <c r="I227" s="521">
        <f>'d3'!J253</f>
        <v>0</v>
      </c>
      <c r="J227" s="521">
        <f>'d3'!K253</f>
        <v>0</v>
      </c>
      <c r="K227" s="130"/>
      <c r="L227" s="130"/>
      <c r="M227" s="130"/>
    </row>
    <row r="228" spans="1:13" ht="184.5" thickTop="1" thickBot="1" x14ac:dyDescent="0.25">
      <c r="A228" s="632" t="s">
        <v>32</v>
      </c>
      <c r="B228" s="632" t="s">
        <v>193</v>
      </c>
      <c r="C228" s="632" t="s">
        <v>192</v>
      </c>
      <c r="D228" s="94" t="s">
        <v>33</v>
      </c>
      <c r="E228" s="526" t="s">
        <v>1131</v>
      </c>
      <c r="F228" s="432" t="s">
        <v>1057</v>
      </c>
      <c r="G228" s="432">
        <f t="shared" si="30"/>
        <v>3013796</v>
      </c>
      <c r="H228" s="432">
        <f>'d3'!E254</f>
        <v>2869748</v>
      </c>
      <c r="I228" s="521">
        <f>'d3'!J254</f>
        <v>144048</v>
      </c>
      <c r="J228" s="432">
        <f>'d3'!K254</f>
        <v>0</v>
      </c>
      <c r="K228" s="130"/>
      <c r="L228" s="130"/>
      <c r="M228" s="130"/>
    </row>
    <row r="229" spans="1:13" ht="184.5" hidden="1" thickTop="1" thickBot="1" x14ac:dyDescent="0.25">
      <c r="A229" s="287" t="s">
        <v>1489</v>
      </c>
      <c r="B229" s="287" t="s">
        <v>1490</v>
      </c>
      <c r="C229" s="287" t="s">
        <v>192</v>
      </c>
      <c r="D229" s="119" t="s">
        <v>1121</v>
      </c>
      <c r="E229" s="196" t="s">
        <v>1131</v>
      </c>
      <c r="F229" s="180" t="s">
        <v>1057</v>
      </c>
      <c r="G229" s="180">
        <f t="shared" si="30"/>
        <v>0</v>
      </c>
      <c r="H229" s="180">
        <f>'d3'!E255</f>
        <v>0</v>
      </c>
      <c r="I229" s="214">
        <f>'d3'!J255</f>
        <v>0</v>
      </c>
      <c r="J229" s="214">
        <f>'d3'!K255</f>
        <v>0</v>
      </c>
      <c r="K229" s="130"/>
      <c r="L229" s="130"/>
      <c r="M229" s="130"/>
    </row>
    <row r="230" spans="1:13" ht="184.5" thickTop="1" thickBot="1" x14ac:dyDescent="0.25">
      <c r="A230" s="632" t="s">
        <v>336</v>
      </c>
      <c r="B230" s="632" t="s">
        <v>335</v>
      </c>
      <c r="C230" s="632" t="s">
        <v>334</v>
      </c>
      <c r="D230" s="94" t="s">
        <v>1633</v>
      </c>
      <c r="E230" s="526" t="s">
        <v>1131</v>
      </c>
      <c r="F230" s="432" t="s">
        <v>1057</v>
      </c>
      <c r="G230" s="432">
        <f t="shared" si="30"/>
        <v>60000</v>
      </c>
      <c r="H230" s="432">
        <f>'d3'!E258</f>
        <v>60000</v>
      </c>
      <c r="I230" s="521">
        <f>'d3'!J258</f>
        <v>0</v>
      </c>
      <c r="J230" s="521">
        <f>'d3'!K258</f>
        <v>0</v>
      </c>
      <c r="K230" s="130"/>
      <c r="L230" s="130"/>
      <c r="M230" s="130"/>
    </row>
    <row r="231" spans="1:13" ht="184.5" hidden="1" thickTop="1" thickBot="1" x14ac:dyDescent="0.25">
      <c r="A231" s="119" t="s">
        <v>1022</v>
      </c>
      <c r="B231" s="119" t="s">
        <v>308</v>
      </c>
      <c r="C231" s="119" t="s">
        <v>300</v>
      </c>
      <c r="D231" s="119" t="s">
        <v>1121</v>
      </c>
      <c r="E231" s="196" t="s">
        <v>1131</v>
      </c>
      <c r="F231" s="180" t="s">
        <v>1057</v>
      </c>
      <c r="G231" s="180">
        <f t="shared" si="30"/>
        <v>0</v>
      </c>
      <c r="H231" s="180">
        <f>'d3'!E262</f>
        <v>0</v>
      </c>
      <c r="I231" s="214">
        <f>'d3'!J262</f>
        <v>0</v>
      </c>
      <c r="J231" s="214">
        <f>'d3'!K262</f>
        <v>0</v>
      </c>
      <c r="K231" s="130"/>
      <c r="L231" s="130"/>
      <c r="M231" s="130"/>
    </row>
    <row r="232" spans="1:13" ht="184.5" hidden="1" thickTop="1" thickBot="1" x14ac:dyDescent="0.25">
      <c r="A232" s="119" t="s">
        <v>1171</v>
      </c>
      <c r="B232" s="119" t="s">
        <v>209</v>
      </c>
      <c r="C232" s="119" t="s">
        <v>210</v>
      </c>
      <c r="D232" s="119" t="s">
        <v>41</v>
      </c>
      <c r="E232" s="196" t="s">
        <v>1131</v>
      </c>
      <c r="F232" s="180" t="s">
        <v>1057</v>
      </c>
      <c r="G232" s="180">
        <f t="shared" si="30"/>
        <v>0</v>
      </c>
      <c r="H232" s="180">
        <f>'d3'!E264</f>
        <v>0</v>
      </c>
      <c r="I232" s="214">
        <f>'d3'!J264</f>
        <v>0</v>
      </c>
      <c r="J232" s="214">
        <f>'d3'!K264</f>
        <v>0</v>
      </c>
      <c r="K232" s="130"/>
      <c r="L232" s="130"/>
      <c r="M232" s="130"/>
    </row>
    <row r="233" spans="1:13" ht="184.5" hidden="1" thickTop="1" thickBot="1" x14ac:dyDescent="0.25">
      <c r="A233" s="119" t="s">
        <v>586</v>
      </c>
      <c r="B233" s="119" t="s">
        <v>194</v>
      </c>
      <c r="C233" s="119" t="s">
        <v>167</v>
      </c>
      <c r="D233" s="119" t="s">
        <v>34</v>
      </c>
      <c r="E233" s="196" t="s">
        <v>1131</v>
      </c>
      <c r="F233" s="180" t="s">
        <v>1057</v>
      </c>
      <c r="G233" s="180">
        <f t="shared" ref="G233" si="31">H233+I233</f>
        <v>0</v>
      </c>
      <c r="H233" s="180">
        <f>'d3'!E265</f>
        <v>0</v>
      </c>
      <c r="I233" s="214">
        <f>'d3'!J265</f>
        <v>0</v>
      </c>
      <c r="J233" s="214">
        <f>'d3'!K265</f>
        <v>0</v>
      </c>
      <c r="K233" s="130"/>
      <c r="L233" s="130"/>
      <c r="M233" s="130"/>
    </row>
    <row r="234" spans="1:13" ht="184.5" thickTop="1" thickBot="1" x14ac:dyDescent="0.25">
      <c r="A234" s="632" t="s">
        <v>447</v>
      </c>
      <c r="B234" s="632" t="s">
        <v>449</v>
      </c>
      <c r="C234" s="632" t="s">
        <v>50</v>
      </c>
      <c r="D234" s="94" t="s">
        <v>1632</v>
      </c>
      <c r="E234" s="526" t="s">
        <v>1131</v>
      </c>
      <c r="F234" s="432" t="s">
        <v>1057</v>
      </c>
      <c r="G234" s="432">
        <f t="shared" si="30"/>
        <v>1000000</v>
      </c>
      <c r="H234" s="432">
        <f>'d4'!F17</f>
        <v>0</v>
      </c>
      <c r="I234" s="521">
        <f>'d4'!G17</f>
        <v>1000000</v>
      </c>
      <c r="J234" s="521">
        <f>'d4'!H17</f>
        <v>0</v>
      </c>
      <c r="K234" s="130"/>
      <c r="L234" s="130"/>
      <c r="M234" s="130"/>
    </row>
    <row r="235" spans="1:13" ht="184.5" hidden="1" thickTop="1" thickBot="1" x14ac:dyDescent="0.25">
      <c r="A235" s="119" t="s">
        <v>1028</v>
      </c>
      <c r="B235" s="119" t="s">
        <v>356</v>
      </c>
      <c r="C235" s="119" t="s">
        <v>43</v>
      </c>
      <c r="D235" s="119" t="s">
        <v>357</v>
      </c>
      <c r="E235" s="196" t="s">
        <v>1131</v>
      </c>
      <c r="F235" s="180" t="s">
        <v>1057</v>
      </c>
      <c r="G235" s="180">
        <f t="shared" si="30"/>
        <v>0</v>
      </c>
      <c r="H235" s="180">
        <f>'d3'!E268</f>
        <v>0</v>
      </c>
      <c r="I235" s="214">
        <f>'d3'!J268</f>
        <v>0</v>
      </c>
      <c r="J235" s="214">
        <f>'d3'!K268</f>
        <v>0</v>
      </c>
      <c r="K235" s="130"/>
      <c r="L235" s="130"/>
      <c r="M235" s="130"/>
    </row>
    <row r="236" spans="1:13" ht="151.5" customHeight="1" thickTop="1" thickBot="1" x14ac:dyDescent="0.25">
      <c r="A236" s="535" t="s">
        <v>155</v>
      </c>
      <c r="B236" s="535"/>
      <c r="C236" s="535"/>
      <c r="D236" s="536" t="s">
        <v>542</v>
      </c>
      <c r="E236" s="536"/>
      <c r="F236" s="536"/>
      <c r="G236" s="537">
        <f>G237</f>
        <v>40587521</v>
      </c>
      <c r="H236" s="537">
        <f t="shared" ref="H236:J236" si="32">H237</f>
        <v>30922751</v>
      </c>
      <c r="I236" s="537">
        <f t="shared" si="32"/>
        <v>9664770</v>
      </c>
      <c r="J236" s="537">
        <f t="shared" si="32"/>
        <v>9664770</v>
      </c>
      <c r="K236" s="559" t="b">
        <f>H236='d3'!E269-'d3'!E272+'d7'!H238</f>
        <v>1</v>
      </c>
      <c r="L236" s="559" t="b">
        <f>I236='d3'!J269-'d3'!J272+I238</f>
        <v>1</v>
      </c>
      <c r="M236" s="559" t="b">
        <f>J236='d3'!K269-'d3'!K272+J238</f>
        <v>1</v>
      </c>
    </row>
    <row r="237" spans="1:13" ht="159" customHeight="1" thickTop="1" thickBot="1" x14ac:dyDescent="0.25">
      <c r="A237" s="532" t="s">
        <v>156</v>
      </c>
      <c r="B237" s="532"/>
      <c r="C237" s="532"/>
      <c r="D237" s="533" t="s">
        <v>543</v>
      </c>
      <c r="E237" s="533"/>
      <c r="F237" s="533"/>
      <c r="G237" s="534">
        <f>SUM(G238:G268)</f>
        <v>40587521</v>
      </c>
      <c r="H237" s="534">
        <f>SUM(H238:H268)</f>
        <v>30922751</v>
      </c>
      <c r="I237" s="534">
        <f>SUM(I238:I268)</f>
        <v>9664770</v>
      </c>
      <c r="J237" s="534">
        <f>SUM(J238:J268)</f>
        <v>9664770</v>
      </c>
      <c r="K237" s="130"/>
      <c r="L237" s="130"/>
      <c r="M237" s="130"/>
    </row>
    <row r="238" spans="1:13" ht="138.75" hidden="1" thickTop="1" thickBot="1" x14ac:dyDescent="0.25">
      <c r="A238" s="119" t="s">
        <v>413</v>
      </c>
      <c r="B238" s="119" t="s">
        <v>233</v>
      </c>
      <c r="C238" s="119" t="s">
        <v>231</v>
      </c>
      <c r="D238" s="119" t="s">
        <v>232</v>
      </c>
      <c r="E238" s="196" t="s">
        <v>967</v>
      </c>
      <c r="F238" s="180" t="s">
        <v>823</v>
      </c>
      <c r="G238" s="180">
        <f t="shared" ref="G238:G315" si="33">H238+I238</f>
        <v>0</v>
      </c>
      <c r="H238" s="197">
        <v>0</v>
      </c>
      <c r="I238" s="214"/>
      <c r="J238" s="214"/>
      <c r="K238" s="130"/>
      <c r="L238" s="130"/>
      <c r="M238" s="130"/>
    </row>
    <row r="239" spans="1:13" ht="276" hidden="1" thickTop="1" thickBot="1" x14ac:dyDescent="0.25">
      <c r="A239" s="119" t="s">
        <v>605</v>
      </c>
      <c r="B239" s="119" t="s">
        <v>355</v>
      </c>
      <c r="C239" s="119" t="s">
        <v>603</v>
      </c>
      <c r="D239" s="119" t="s">
        <v>604</v>
      </c>
      <c r="E239" s="196" t="s">
        <v>1157</v>
      </c>
      <c r="F239" s="180" t="s">
        <v>1158</v>
      </c>
      <c r="G239" s="180">
        <f t="shared" si="33"/>
        <v>0</v>
      </c>
      <c r="H239" s="197">
        <f>'d3'!E273</f>
        <v>0</v>
      </c>
      <c r="I239" s="214">
        <v>0</v>
      </c>
      <c r="J239" s="214">
        <v>0</v>
      </c>
      <c r="K239" s="130"/>
      <c r="L239" s="130"/>
      <c r="M239" s="130"/>
    </row>
    <row r="240" spans="1:13" ht="138.75" hidden="1" thickTop="1" thickBot="1" x14ac:dyDescent="0.25">
      <c r="A240" s="119" t="s">
        <v>1488</v>
      </c>
      <c r="B240" s="119" t="s">
        <v>1086</v>
      </c>
      <c r="C240" s="119" t="s">
        <v>203</v>
      </c>
      <c r="D240" s="282" t="s">
        <v>1087</v>
      </c>
      <c r="E240" s="196" t="s">
        <v>1386</v>
      </c>
      <c r="F240" s="180" t="s">
        <v>1409</v>
      </c>
      <c r="G240" s="180">
        <f t="shared" si="33"/>
        <v>0</v>
      </c>
      <c r="H240" s="216">
        <f>'d3'!E276</f>
        <v>0</v>
      </c>
      <c r="I240" s="217">
        <f>'d3'!J276</f>
        <v>0</v>
      </c>
      <c r="J240" s="217">
        <f>'d3'!K276</f>
        <v>0</v>
      </c>
      <c r="K240" s="130"/>
      <c r="L240" s="130"/>
      <c r="M240" s="130"/>
    </row>
    <row r="241" spans="1:13" ht="214.5" customHeight="1" thickTop="1" thickBot="1" x14ac:dyDescent="0.25">
      <c r="A241" s="490" t="s">
        <v>1544</v>
      </c>
      <c r="B241" s="490" t="s">
        <v>1407</v>
      </c>
      <c r="C241" s="490" t="s">
        <v>188</v>
      </c>
      <c r="D241" s="507" t="s">
        <v>1543</v>
      </c>
      <c r="E241" s="498" t="s">
        <v>1545</v>
      </c>
      <c r="F241" s="180"/>
      <c r="G241" s="499">
        <f t="shared" si="33"/>
        <v>9664770</v>
      </c>
      <c r="H241" s="501">
        <v>0</v>
      </c>
      <c r="I241" s="510">
        <v>9664770</v>
      </c>
      <c r="J241" s="510">
        <v>9664770</v>
      </c>
      <c r="K241" s="130"/>
      <c r="L241" s="130"/>
      <c r="M241" s="130"/>
    </row>
    <row r="242" spans="1:13" ht="186.75" customHeight="1" thickTop="1" thickBot="1" x14ac:dyDescent="0.25">
      <c r="A242" s="497" t="s">
        <v>276</v>
      </c>
      <c r="B242" s="497" t="s">
        <v>277</v>
      </c>
      <c r="C242" s="497" t="s">
        <v>334</v>
      </c>
      <c r="D242" s="490" t="s">
        <v>278</v>
      </c>
      <c r="E242" s="498" t="s">
        <v>1118</v>
      </c>
      <c r="F242" s="499" t="s">
        <v>1062</v>
      </c>
      <c r="G242" s="495">
        <f t="shared" si="33"/>
        <v>907403</v>
      </c>
      <c r="H242" s="495">
        <f>500000+207403+200000</f>
        <v>907403</v>
      </c>
      <c r="I242" s="210"/>
      <c r="J242" s="210"/>
    </row>
    <row r="243" spans="1:13" ht="186.75" customHeight="1" thickTop="1" thickBot="1" x14ac:dyDescent="0.25">
      <c r="A243" s="497" t="s">
        <v>276</v>
      </c>
      <c r="B243" s="497" t="s">
        <v>277</v>
      </c>
      <c r="C243" s="497" t="s">
        <v>334</v>
      </c>
      <c r="D243" s="490" t="s">
        <v>278</v>
      </c>
      <c r="E243" s="496" t="s">
        <v>1410</v>
      </c>
      <c r="F243" s="496" t="s">
        <v>1411</v>
      </c>
      <c r="G243" s="495">
        <f t="shared" si="33"/>
        <v>3135000</v>
      </c>
      <c r="H243" s="494">
        <f>2035000+1300000-200000</f>
        <v>3135000</v>
      </c>
      <c r="I243" s="214"/>
      <c r="J243" s="214"/>
      <c r="K243" s="493" t="b">
        <f>H242+H243+H245+H244='d3'!E280</f>
        <v>1</v>
      </c>
      <c r="L243" s="519" t="b">
        <f>I242+I243+I245+I244='d3'!J280</f>
        <v>1</v>
      </c>
      <c r="M243" s="519" t="b">
        <f>J242+J243+J245+J244='d3'!K280</f>
        <v>1</v>
      </c>
    </row>
    <row r="244" spans="1:13" ht="138.75" hidden="1" thickTop="1" thickBot="1" x14ac:dyDescent="0.25">
      <c r="A244" s="257" t="s">
        <v>276</v>
      </c>
      <c r="B244" s="257" t="s">
        <v>277</v>
      </c>
      <c r="C244" s="257" t="s">
        <v>334</v>
      </c>
      <c r="D244" s="490" t="s">
        <v>278</v>
      </c>
      <c r="E244" s="196" t="s">
        <v>1341</v>
      </c>
      <c r="F244" s="180" t="s">
        <v>1342</v>
      </c>
      <c r="G244" s="210">
        <f t="shared" si="33"/>
        <v>0</v>
      </c>
      <c r="H244" s="197"/>
      <c r="I244" s="214"/>
      <c r="J244" s="214"/>
      <c r="K244" s="130"/>
      <c r="L244" s="130"/>
      <c r="M244" s="130"/>
    </row>
    <row r="245" spans="1:13" ht="276" hidden="1" thickTop="1" thickBot="1" x14ac:dyDescent="0.25">
      <c r="A245" s="257" t="s">
        <v>276</v>
      </c>
      <c r="B245" s="257" t="s">
        <v>277</v>
      </c>
      <c r="C245" s="257" t="s">
        <v>334</v>
      </c>
      <c r="D245" s="257" t="s">
        <v>278</v>
      </c>
      <c r="E245" s="180" t="s">
        <v>1211</v>
      </c>
      <c r="F245" s="180" t="s">
        <v>825</v>
      </c>
      <c r="G245" s="180">
        <f t="shared" si="33"/>
        <v>0</v>
      </c>
      <c r="H245" s="197">
        <v>0</v>
      </c>
      <c r="I245" s="214">
        <v>0</v>
      </c>
      <c r="J245" s="214">
        <v>0</v>
      </c>
      <c r="K245" s="130"/>
      <c r="L245" s="130"/>
      <c r="M245" s="130"/>
    </row>
    <row r="246" spans="1:13" ht="138.75" hidden="1" thickTop="1" thickBot="1" x14ac:dyDescent="0.25">
      <c r="A246" s="119" t="s">
        <v>1362</v>
      </c>
      <c r="B246" s="119" t="s">
        <v>282</v>
      </c>
      <c r="C246" s="119" t="s">
        <v>279</v>
      </c>
      <c r="D246" s="119" t="s">
        <v>283</v>
      </c>
      <c r="E246" s="196" t="s">
        <v>1118</v>
      </c>
      <c r="F246" s="180" t="s">
        <v>1062</v>
      </c>
      <c r="G246" s="180">
        <f t="shared" si="33"/>
        <v>0</v>
      </c>
      <c r="H246" s="197">
        <f>'d3'!E281</f>
        <v>0</v>
      </c>
      <c r="I246" s="214">
        <f>'d3'!J281</f>
        <v>0</v>
      </c>
      <c r="J246" s="214">
        <f>'d3'!K281</f>
        <v>0</v>
      </c>
      <c r="K246" s="130"/>
      <c r="L246" s="130"/>
      <c r="M246" s="130"/>
    </row>
    <row r="247" spans="1:13" ht="171.75" customHeight="1" thickTop="1" thickBot="1" x14ac:dyDescent="0.25">
      <c r="A247" s="490" t="s">
        <v>297</v>
      </c>
      <c r="B247" s="490" t="s">
        <v>298</v>
      </c>
      <c r="C247" s="490" t="s">
        <v>279</v>
      </c>
      <c r="D247" s="490" t="s">
        <v>299</v>
      </c>
      <c r="E247" s="498" t="s">
        <v>1118</v>
      </c>
      <c r="F247" s="499" t="s">
        <v>1062</v>
      </c>
      <c r="G247" s="499">
        <f t="shared" si="33"/>
        <v>7000000</v>
      </c>
      <c r="H247" s="494">
        <v>7000000</v>
      </c>
      <c r="I247" s="521">
        <f>'d3'!J282</f>
        <v>0</v>
      </c>
      <c r="J247" s="521">
        <f>'d3'!K282</f>
        <v>0</v>
      </c>
      <c r="K247" s="130"/>
      <c r="L247" s="130"/>
      <c r="M247" s="130"/>
    </row>
    <row r="248" spans="1:13" ht="138.75" hidden="1" thickTop="1" thickBot="1" x14ac:dyDescent="0.25">
      <c r="A248" s="257" t="s">
        <v>280</v>
      </c>
      <c r="B248" s="257" t="s">
        <v>281</v>
      </c>
      <c r="C248" s="257" t="s">
        <v>279</v>
      </c>
      <c r="D248" s="257" t="s">
        <v>455</v>
      </c>
      <c r="E248" s="196" t="s">
        <v>1118</v>
      </c>
      <c r="F248" s="180" t="s">
        <v>1062</v>
      </c>
      <c r="G248" s="180">
        <f t="shared" si="33"/>
        <v>0</v>
      </c>
      <c r="H248" s="304">
        <f>2500000-2500000</f>
        <v>0</v>
      </c>
      <c r="I248" s="214">
        <f>2800000-2800000</f>
        <v>0</v>
      </c>
      <c r="J248" s="214">
        <f>2800000-2800000</f>
        <v>0</v>
      </c>
      <c r="K248" s="130"/>
      <c r="L248" s="130"/>
      <c r="M248" s="130"/>
    </row>
    <row r="249" spans="1:13" ht="138.75" thickTop="1" thickBot="1" x14ac:dyDescent="0.25">
      <c r="A249" s="497" t="s">
        <v>280</v>
      </c>
      <c r="B249" s="497" t="s">
        <v>281</v>
      </c>
      <c r="C249" s="497" t="s">
        <v>279</v>
      </c>
      <c r="D249" s="490" t="s">
        <v>1539</v>
      </c>
      <c r="E249" s="498" t="s">
        <v>1540</v>
      </c>
      <c r="F249" s="499" t="s">
        <v>1342</v>
      </c>
      <c r="G249" s="499">
        <f t="shared" si="33"/>
        <v>178500</v>
      </c>
      <c r="H249" s="500">
        <v>178500</v>
      </c>
      <c r="I249" s="521">
        <v>0</v>
      </c>
      <c r="J249" s="521">
        <v>0</v>
      </c>
      <c r="K249" s="130"/>
      <c r="L249" s="130"/>
      <c r="M249" s="130"/>
    </row>
    <row r="250" spans="1:13" ht="138.75" hidden="1" thickTop="1" thickBot="1" x14ac:dyDescent="0.25">
      <c r="A250" s="119" t="s">
        <v>886</v>
      </c>
      <c r="B250" s="119" t="s">
        <v>293</v>
      </c>
      <c r="C250" s="119" t="s">
        <v>279</v>
      </c>
      <c r="D250" s="119" t="s">
        <v>294</v>
      </c>
      <c r="E250" s="196" t="s">
        <v>1227</v>
      </c>
      <c r="F250" s="180" t="s">
        <v>1178</v>
      </c>
      <c r="G250" s="180">
        <f t="shared" ref="G250:G257" si="34">H250+I250</f>
        <v>0</v>
      </c>
      <c r="H250" s="197"/>
      <c r="I250" s="214"/>
      <c r="J250" s="214"/>
      <c r="K250" s="130"/>
      <c r="L250" s="130"/>
      <c r="M250" s="130"/>
    </row>
    <row r="251" spans="1:13" ht="138.75" thickTop="1" thickBot="1" x14ac:dyDescent="0.25">
      <c r="A251" s="490" t="s">
        <v>886</v>
      </c>
      <c r="B251" s="490" t="s">
        <v>293</v>
      </c>
      <c r="C251" s="490" t="s">
        <v>279</v>
      </c>
      <c r="D251" s="490" t="s">
        <v>294</v>
      </c>
      <c r="E251" s="498" t="s">
        <v>1540</v>
      </c>
      <c r="F251" s="499" t="s">
        <v>1342</v>
      </c>
      <c r="G251" s="499">
        <f t="shared" si="34"/>
        <v>1159200</v>
      </c>
      <c r="H251" s="494">
        <v>1159200</v>
      </c>
      <c r="I251" s="521">
        <v>0</v>
      </c>
      <c r="J251" s="521">
        <v>0</v>
      </c>
      <c r="K251" s="130"/>
      <c r="L251" s="130"/>
      <c r="M251" s="130"/>
    </row>
    <row r="252" spans="1:13" ht="276" hidden="1" thickTop="1" thickBot="1" x14ac:dyDescent="0.25">
      <c r="A252" s="119" t="s">
        <v>886</v>
      </c>
      <c r="B252" s="119" t="s">
        <v>293</v>
      </c>
      <c r="C252" s="119" t="s">
        <v>279</v>
      </c>
      <c r="D252" s="119" t="s">
        <v>294</v>
      </c>
      <c r="E252" s="180" t="s">
        <v>1211</v>
      </c>
      <c r="F252" s="180" t="s">
        <v>825</v>
      </c>
      <c r="G252" s="180">
        <f t="shared" si="34"/>
        <v>0</v>
      </c>
      <c r="H252" s="197"/>
      <c r="I252" s="214"/>
      <c r="J252" s="214"/>
      <c r="K252" s="130"/>
      <c r="L252" s="130"/>
      <c r="M252" s="130"/>
    </row>
    <row r="253" spans="1:13" ht="201.75" customHeight="1" thickTop="1" thickBot="1" x14ac:dyDescent="0.25">
      <c r="A253" s="490" t="s">
        <v>284</v>
      </c>
      <c r="B253" s="490" t="s">
        <v>285</v>
      </c>
      <c r="C253" s="490" t="s">
        <v>279</v>
      </c>
      <c r="D253" s="490" t="s">
        <v>286</v>
      </c>
      <c r="E253" s="498" t="s">
        <v>1118</v>
      </c>
      <c r="F253" s="499" t="s">
        <v>1062</v>
      </c>
      <c r="G253" s="499">
        <f t="shared" si="33"/>
        <v>12000000</v>
      </c>
      <c r="H253" s="494">
        <f>'d3'!E285</f>
        <v>12000000</v>
      </c>
      <c r="I253" s="521">
        <f>'d3'!J285</f>
        <v>0</v>
      </c>
      <c r="J253" s="521">
        <f>'d3'!K285</f>
        <v>0</v>
      </c>
      <c r="K253" s="130"/>
      <c r="L253" s="130"/>
      <c r="M253" s="130"/>
    </row>
    <row r="254" spans="1:13" ht="192.75" customHeight="1" thickTop="1" thickBot="1" x14ac:dyDescent="0.25">
      <c r="A254" s="490" t="s">
        <v>1136</v>
      </c>
      <c r="B254" s="490" t="s">
        <v>1044</v>
      </c>
      <c r="C254" s="490" t="s">
        <v>1045</v>
      </c>
      <c r="D254" s="490" t="s">
        <v>1042</v>
      </c>
      <c r="E254" s="498" t="s">
        <v>1118</v>
      </c>
      <c r="F254" s="499" t="s">
        <v>1062</v>
      </c>
      <c r="G254" s="499">
        <f t="shared" si="34"/>
        <v>1542648</v>
      </c>
      <c r="H254" s="501">
        <v>1542648</v>
      </c>
      <c r="I254" s="520">
        <v>0</v>
      </c>
      <c r="J254" s="520">
        <v>0</v>
      </c>
      <c r="K254" s="130"/>
      <c r="L254" s="130"/>
      <c r="M254" s="130"/>
    </row>
    <row r="255" spans="1:13" ht="93" hidden="1" thickTop="1" thickBot="1" x14ac:dyDescent="0.25">
      <c r="A255" s="119" t="s">
        <v>1136</v>
      </c>
      <c r="B255" s="119" t="s">
        <v>1044</v>
      </c>
      <c r="C255" s="119" t="s">
        <v>1045</v>
      </c>
      <c r="D255" s="119" t="s">
        <v>1042</v>
      </c>
      <c r="E255" s="196"/>
      <c r="F255" s="180"/>
      <c r="G255" s="180">
        <f t="shared" si="34"/>
        <v>0</v>
      </c>
      <c r="H255" s="216"/>
      <c r="I255" s="217"/>
      <c r="J255" s="217"/>
      <c r="K255" s="130"/>
      <c r="L255" s="130"/>
      <c r="M255" s="130"/>
    </row>
    <row r="256" spans="1:13" ht="230.25" hidden="1" thickTop="1" thickBot="1" x14ac:dyDescent="0.25">
      <c r="A256" s="119" t="s">
        <v>1136</v>
      </c>
      <c r="B256" s="119" t="s">
        <v>1044</v>
      </c>
      <c r="C256" s="119" t="s">
        <v>1045</v>
      </c>
      <c r="D256" s="119" t="s">
        <v>1042</v>
      </c>
      <c r="E256" s="196" t="s">
        <v>1363</v>
      </c>
      <c r="F256" s="180" t="s">
        <v>1150</v>
      </c>
      <c r="G256" s="180">
        <f t="shared" si="34"/>
        <v>0</v>
      </c>
      <c r="H256" s="216"/>
      <c r="I256" s="217">
        <v>0</v>
      </c>
      <c r="J256" s="217">
        <v>0</v>
      </c>
      <c r="K256" s="130"/>
      <c r="L256" s="130"/>
      <c r="M256" s="130"/>
    </row>
    <row r="257" spans="1:13" ht="184.5" hidden="1" thickTop="1" thickBot="1" x14ac:dyDescent="0.25">
      <c r="A257" s="119" t="s">
        <v>1136</v>
      </c>
      <c r="B257" s="119" t="s">
        <v>1044</v>
      </c>
      <c r="C257" s="119" t="s">
        <v>1045</v>
      </c>
      <c r="D257" s="490" t="s">
        <v>1042</v>
      </c>
      <c r="E257" s="196" t="s">
        <v>1263</v>
      </c>
      <c r="F257" s="180" t="s">
        <v>1264</v>
      </c>
      <c r="G257" s="180">
        <f t="shared" si="34"/>
        <v>0</v>
      </c>
      <c r="H257" s="216">
        <v>0</v>
      </c>
      <c r="I257" s="217"/>
      <c r="J257" s="217"/>
      <c r="K257" s="130"/>
      <c r="L257" s="130"/>
      <c r="M257" s="130"/>
    </row>
    <row r="258" spans="1:13" ht="276" hidden="1" thickTop="1" thickBot="1" x14ac:dyDescent="0.25">
      <c r="A258" s="119" t="s">
        <v>1383</v>
      </c>
      <c r="B258" s="119" t="s">
        <v>1384</v>
      </c>
      <c r="C258" s="119" t="s">
        <v>1045</v>
      </c>
      <c r="D258" s="119" t="s">
        <v>1291</v>
      </c>
      <c r="E258" s="180" t="s">
        <v>1211</v>
      </c>
      <c r="F258" s="180" t="s">
        <v>825</v>
      </c>
      <c r="G258" s="180">
        <f t="shared" ref="G258:G260" si="35">H258+I258</f>
        <v>0</v>
      </c>
      <c r="H258" s="216">
        <v>0</v>
      </c>
      <c r="I258" s="217"/>
      <c r="J258" s="217"/>
      <c r="K258" s="195" t="b">
        <f>H258+H259='d3'!E287</f>
        <v>1</v>
      </c>
      <c r="L258" s="202" t="b">
        <f>I258+I259='d3'!J287</f>
        <v>1</v>
      </c>
      <c r="M258" s="202" t="b">
        <f>J258+J259='d3'!K287</f>
        <v>1</v>
      </c>
    </row>
    <row r="259" spans="1:13" ht="184.5" hidden="1" thickTop="1" thickBot="1" x14ac:dyDescent="0.25">
      <c r="A259" s="119" t="s">
        <v>1383</v>
      </c>
      <c r="B259" s="119" t="s">
        <v>1384</v>
      </c>
      <c r="C259" s="119" t="s">
        <v>1045</v>
      </c>
      <c r="D259" s="119" t="s">
        <v>1291</v>
      </c>
      <c r="E259" s="196" t="s">
        <v>1179</v>
      </c>
      <c r="F259" s="180" t="s">
        <v>1180</v>
      </c>
      <c r="G259" s="180">
        <f t="shared" si="35"/>
        <v>0</v>
      </c>
      <c r="H259" s="216">
        <v>0</v>
      </c>
      <c r="I259" s="217"/>
      <c r="J259" s="217"/>
      <c r="K259" s="130"/>
      <c r="L259" s="130"/>
      <c r="M259" s="130"/>
    </row>
    <row r="260" spans="1:13" ht="138.75" hidden="1" thickTop="1" thickBot="1" x14ac:dyDescent="0.25">
      <c r="A260" s="119" t="s">
        <v>1463</v>
      </c>
      <c r="B260" s="119" t="s">
        <v>303</v>
      </c>
      <c r="C260" s="119" t="s">
        <v>304</v>
      </c>
      <c r="D260" s="119" t="s">
        <v>451</v>
      </c>
      <c r="E260" s="196" t="s">
        <v>1118</v>
      </c>
      <c r="F260" s="180" t="s">
        <v>1062</v>
      </c>
      <c r="G260" s="180">
        <f t="shared" si="35"/>
        <v>0</v>
      </c>
      <c r="H260" s="216">
        <f>'d3'!E290</f>
        <v>0</v>
      </c>
      <c r="I260" s="217">
        <f>'d3'!J290</f>
        <v>0</v>
      </c>
      <c r="J260" s="217">
        <f>'d3'!K290</f>
        <v>0</v>
      </c>
      <c r="K260" s="130"/>
      <c r="L260" s="130"/>
      <c r="M260" s="130"/>
    </row>
    <row r="261" spans="1:13" ht="138.75" hidden="1" thickTop="1" thickBot="1" x14ac:dyDescent="0.25">
      <c r="A261" s="119" t="s">
        <v>1041</v>
      </c>
      <c r="B261" s="119" t="s">
        <v>301</v>
      </c>
      <c r="C261" s="119" t="s">
        <v>300</v>
      </c>
      <c r="D261" s="119" t="s">
        <v>1291</v>
      </c>
      <c r="E261" s="196" t="s">
        <v>1118</v>
      </c>
      <c r="F261" s="180" t="s">
        <v>1062</v>
      </c>
      <c r="G261" s="180">
        <f t="shared" si="33"/>
        <v>0</v>
      </c>
      <c r="H261" s="216">
        <v>0</v>
      </c>
      <c r="I261" s="217">
        <v>0</v>
      </c>
      <c r="J261" s="217">
        <v>0</v>
      </c>
      <c r="K261" s="130"/>
      <c r="L261" s="130"/>
      <c r="M261" s="130"/>
    </row>
    <row r="262" spans="1:13" ht="138.75" hidden="1" thickTop="1" thickBot="1" x14ac:dyDescent="0.25">
      <c r="A262" s="119" t="s">
        <v>292</v>
      </c>
      <c r="B262" s="119" t="s">
        <v>209</v>
      </c>
      <c r="C262" s="119" t="s">
        <v>210</v>
      </c>
      <c r="D262" s="119" t="s">
        <v>41</v>
      </c>
      <c r="E262" s="196" t="s">
        <v>1356</v>
      </c>
      <c r="F262" s="180" t="s">
        <v>1288</v>
      </c>
      <c r="G262" s="210">
        <f>H262+I262</f>
        <v>0</v>
      </c>
      <c r="H262" s="210">
        <v>0</v>
      </c>
      <c r="I262" s="210">
        <v>0</v>
      </c>
      <c r="J262" s="210">
        <v>0</v>
      </c>
      <c r="K262" s="195" t="b">
        <f>H262='d3'!E292</f>
        <v>1</v>
      </c>
      <c r="L262" s="202" t="b">
        <f>I262='d3'!J292</f>
        <v>1</v>
      </c>
      <c r="M262" s="202" t="b">
        <f>J262='d3'!K292</f>
        <v>1</v>
      </c>
    </row>
    <row r="263" spans="1:13" ht="138.75" hidden="1" thickTop="1" thickBot="1" x14ac:dyDescent="0.25">
      <c r="A263" s="119" t="s">
        <v>880</v>
      </c>
      <c r="B263" s="119" t="s">
        <v>194</v>
      </c>
      <c r="C263" s="119" t="s">
        <v>167</v>
      </c>
      <c r="D263" s="119" t="s">
        <v>34</v>
      </c>
      <c r="E263" s="196" t="s">
        <v>1118</v>
      </c>
      <c r="F263" s="180" t="s">
        <v>1062</v>
      </c>
      <c r="G263" s="180">
        <f t="shared" si="33"/>
        <v>0</v>
      </c>
      <c r="H263" s="197">
        <f>'d3'!E293-H264</f>
        <v>0</v>
      </c>
      <c r="I263" s="214">
        <f>'d3'!J293-I264</f>
        <v>0</v>
      </c>
      <c r="J263" s="214">
        <f>'d3'!K293-J264</f>
        <v>0</v>
      </c>
      <c r="K263" s="130"/>
      <c r="L263" s="130"/>
      <c r="M263" s="130"/>
    </row>
    <row r="264" spans="1:13" ht="138.75" hidden="1" thickTop="1" thickBot="1" x14ac:dyDescent="0.25">
      <c r="A264" s="119" t="s">
        <v>880</v>
      </c>
      <c r="B264" s="119" t="s">
        <v>194</v>
      </c>
      <c r="C264" s="119" t="s">
        <v>167</v>
      </c>
      <c r="D264" s="119" t="s">
        <v>34</v>
      </c>
      <c r="E264" s="305" t="s">
        <v>1227</v>
      </c>
      <c r="F264" s="180" t="s">
        <v>1178</v>
      </c>
      <c r="G264" s="180">
        <f t="shared" si="33"/>
        <v>0</v>
      </c>
      <c r="H264" s="216">
        <v>0</v>
      </c>
      <c r="I264" s="217">
        <v>0</v>
      </c>
      <c r="J264" s="217">
        <v>0</v>
      </c>
      <c r="K264" s="130"/>
      <c r="L264" s="130"/>
      <c r="M264" s="130"/>
    </row>
    <row r="265" spans="1:13" ht="321.75" hidden="1" customHeight="1" thickTop="1" thickBot="1" x14ac:dyDescent="0.7">
      <c r="A265" s="741" t="s">
        <v>416</v>
      </c>
      <c r="B265" s="741" t="s">
        <v>332</v>
      </c>
      <c r="C265" s="741" t="s">
        <v>167</v>
      </c>
      <c r="D265" s="280" t="s">
        <v>432</v>
      </c>
      <c r="E265" s="878" t="s">
        <v>1147</v>
      </c>
      <c r="F265" s="878" t="s">
        <v>1148</v>
      </c>
      <c r="G265" s="821">
        <f t="shared" si="33"/>
        <v>0</v>
      </c>
      <c r="H265" s="821">
        <f>'d3'!E295</f>
        <v>0</v>
      </c>
      <c r="I265" s="821">
        <f>'d3'!J295</f>
        <v>0</v>
      </c>
      <c r="J265" s="821">
        <f>'d3'!K295</f>
        <v>0</v>
      </c>
      <c r="K265" s="130"/>
      <c r="L265" s="130"/>
      <c r="M265" s="130"/>
    </row>
    <row r="266" spans="1:13" ht="138.75" hidden="1" thickTop="1" thickBot="1" x14ac:dyDescent="0.25">
      <c r="A266" s="742"/>
      <c r="B266" s="742"/>
      <c r="C266" s="742"/>
      <c r="D266" s="281" t="s">
        <v>433</v>
      </c>
      <c r="E266" s="740"/>
      <c r="F266" s="740"/>
      <c r="G266" s="880"/>
      <c r="H266" s="880"/>
      <c r="I266" s="880"/>
      <c r="J266" s="880"/>
      <c r="K266" s="130"/>
      <c r="L266" s="130"/>
      <c r="M266" s="130"/>
    </row>
    <row r="267" spans="1:13" ht="276" thickTop="1" thickBot="1" x14ac:dyDescent="0.25">
      <c r="A267" s="490" t="s">
        <v>1294</v>
      </c>
      <c r="B267" s="490" t="s">
        <v>504</v>
      </c>
      <c r="C267" s="490" t="s">
        <v>247</v>
      </c>
      <c r="D267" s="490" t="s">
        <v>505</v>
      </c>
      <c r="E267" s="499" t="s">
        <v>1542</v>
      </c>
      <c r="F267" s="180"/>
      <c r="G267" s="499">
        <f t="shared" si="33"/>
        <v>5000000</v>
      </c>
      <c r="H267" s="501">
        <f>'d3'!E299</f>
        <v>5000000</v>
      </c>
      <c r="I267" s="510">
        <f>'d3'!J299</f>
        <v>0</v>
      </c>
      <c r="J267" s="510">
        <f>'d3'!K299</f>
        <v>0</v>
      </c>
      <c r="K267" s="130"/>
      <c r="L267" s="130"/>
      <c r="M267" s="130"/>
    </row>
    <row r="268" spans="1:13" ht="276" hidden="1" thickTop="1" thickBot="1" x14ac:dyDescent="0.25">
      <c r="A268" s="119" t="s">
        <v>1116</v>
      </c>
      <c r="B268" s="119" t="s">
        <v>1099</v>
      </c>
      <c r="C268" s="119" t="s">
        <v>1074</v>
      </c>
      <c r="D268" s="119" t="s">
        <v>1100</v>
      </c>
      <c r="E268" s="180" t="s">
        <v>1097</v>
      </c>
      <c r="F268" s="180" t="s">
        <v>825</v>
      </c>
      <c r="G268" s="210">
        <f>H268+I268</f>
        <v>0</v>
      </c>
      <c r="H268" s="216">
        <f>'d3'!E301</f>
        <v>0</v>
      </c>
      <c r="I268" s="217">
        <f>'d3'!J301</f>
        <v>0</v>
      </c>
      <c r="J268" s="217">
        <f>'d3'!K301</f>
        <v>0</v>
      </c>
      <c r="K268" s="130"/>
      <c r="L268" s="130"/>
      <c r="M268" s="130"/>
    </row>
    <row r="269" spans="1:13" ht="170.45" customHeight="1" thickTop="1" thickBot="1" x14ac:dyDescent="0.25">
      <c r="A269" s="535" t="s">
        <v>523</v>
      </c>
      <c r="B269" s="535"/>
      <c r="C269" s="535"/>
      <c r="D269" s="536" t="s">
        <v>540</v>
      </c>
      <c r="E269" s="536"/>
      <c r="F269" s="536"/>
      <c r="G269" s="537">
        <f>H269+I269</f>
        <v>522943429.98000002</v>
      </c>
      <c r="H269" s="537">
        <f>H270</f>
        <v>507483810.78000003</v>
      </c>
      <c r="I269" s="537">
        <f>I270</f>
        <v>15459619.199999999</v>
      </c>
      <c r="J269" s="537">
        <f>J270</f>
        <v>15459619.199999999</v>
      </c>
      <c r="K269" s="559" t="b">
        <f>H269='d3'!E303-'d3'!E305+'d7'!H271</f>
        <v>1</v>
      </c>
      <c r="L269" s="559" t="b">
        <f>I269='d3'!J303-'d3'!J305+'d7'!I271</f>
        <v>1</v>
      </c>
      <c r="M269" s="559" t="b">
        <f>J269='d3'!K303-'d3'!K305+'d7'!J271</f>
        <v>1</v>
      </c>
    </row>
    <row r="270" spans="1:13" ht="170.45" customHeight="1" thickTop="1" thickBot="1" x14ac:dyDescent="0.25">
      <c r="A270" s="532" t="s">
        <v>524</v>
      </c>
      <c r="B270" s="532"/>
      <c r="C270" s="532"/>
      <c r="D270" s="533" t="s">
        <v>541</v>
      </c>
      <c r="E270" s="533"/>
      <c r="F270" s="533"/>
      <c r="G270" s="534">
        <f>SUM(G271:G316)</f>
        <v>522943429.98000002</v>
      </c>
      <c r="H270" s="534">
        <f>SUM(H271:H316)</f>
        <v>507483810.78000003</v>
      </c>
      <c r="I270" s="534">
        <f>SUM(I271:I316)</f>
        <v>15459619.199999999</v>
      </c>
      <c r="J270" s="534">
        <f>SUM(J271:J316)</f>
        <v>15459619.199999999</v>
      </c>
      <c r="K270" s="218"/>
      <c r="L270" s="130"/>
      <c r="M270" s="130"/>
    </row>
    <row r="271" spans="1:13" ht="138.75" hidden="1" thickTop="1" thickBot="1" x14ac:dyDescent="0.25">
      <c r="A271" s="119" t="s">
        <v>525</v>
      </c>
      <c r="B271" s="119" t="s">
        <v>233</v>
      </c>
      <c r="C271" s="119" t="s">
        <v>231</v>
      </c>
      <c r="D271" s="119" t="s">
        <v>232</v>
      </c>
      <c r="E271" s="196" t="s">
        <v>967</v>
      </c>
      <c r="F271" s="180" t="s">
        <v>823</v>
      </c>
      <c r="G271" s="180">
        <f t="shared" si="33"/>
        <v>0</v>
      </c>
      <c r="H271" s="180"/>
      <c r="I271" s="180"/>
      <c r="J271" s="180"/>
      <c r="K271" s="130"/>
      <c r="L271" s="130"/>
      <c r="M271" s="130"/>
    </row>
    <row r="272" spans="1:13" ht="276" hidden="1" thickTop="1" thickBot="1" x14ac:dyDescent="0.25">
      <c r="A272" s="119" t="s">
        <v>607</v>
      </c>
      <c r="B272" s="119" t="s">
        <v>355</v>
      </c>
      <c r="C272" s="119" t="s">
        <v>603</v>
      </c>
      <c r="D272" s="119" t="s">
        <v>604</v>
      </c>
      <c r="E272" s="196" t="s">
        <v>1066</v>
      </c>
      <c r="F272" s="180" t="s">
        <v>1067</v>
      </c>
      <c r="G272" s="180">
        <f t="shared" ref="G272" si="36">H272+I272</f>
        <v>0</v>
      </c>
      <c r="H272" s="197">
        <f>'d3'!E306</f>
        <v>0</v>
      </c>
      <c r="I272" s="214">
        <v>0</v>
      </c>
      <c r="J272" s="214">
        <v>0</v>
      </c>
      <c r="K272" s="130"/>
      <c r="L272" s="130"/>
      <c r="M272" s="130"/>
    </row>
    <row r="273" spans="1:13" ht="174.75" customHeight="1" thickTop="1" thickBot="1" x14ac:dyDescent="0.25">
      <c r="A273" s="94" t="s">
        <v>526</v>
      </c>
      <c r="B273" s="94" t="s">
        <v>43</v>
      </c>
      <c r="C273" s="94" t="s">
        <v>42</v>
      </c>
      <c r="D273" s="94" t="s">
        <v>244</v>
      </c>
      <c r="E273" s="526" t="s">
        <v>1118</v>
      </c>
      <c r="F273" s="432" t="s">
        <v>1062</v>
      </c>
      <c r="G273" s="432">
        <f t="shared" si="33"/>
        <v>30618</v>
      </c>
      <c r="H273" s="432">
        <f>'d3'!E307</f>
        <v>30618</v>
      </c>
      <c r="I273" s="432">
        <f>'d3'!J307</f>
        <v>0</v>
      </c>
      <c r="J273" s="432">
        <f>'d3'!K307</f>
        <v>0</v>
      </c>
      <c r="K273" s="130"/>
      <c r="L273" s="130"/>
      <c r="M273" s="130"/>
    </row>
    <row r="274" spans="1:13" ht="205.5" customHeight="1" thickTop="1" thickBot="1" x14ac:dyDescent="0.25">
      <c r="A274" s="94" t="s">
        <v>527</v>
      </c>
      <c r="B274" s="94" t="s">
        <v>369</v>
      </c>
      <c r="C274" s="94" t="s">
        <v>279</v>
      </c>
      <c r="D274" s="94" t="s">
        <v>370</v>
      </c>
      <c r="E274" s="526" t="s">
        <v>1232</v>
      </c>
      <c r="F274" s="432" t="s">
        <v>1181</v>
      </c>
      <c r="G274" s="432">
        <f t="shared" si="33"/>
        <v>50000000</v>
      </c>
      <c r="H274" s="524">
        <f>'d3'!E310</f>
        <v>50000000</v>
      </c>
      <c r="I274" s="432">
        <f>'d3'!J310</f>
        <v>0</v>
      </c>
      <c r="J274" s="432">
        <f>'d3'!K310</f>
        <v>0</v>
      </c>
      <c r="K274" s="130"/>
      <c r="L274" s="130"/>
      <c r="M274" s="130"/>
    </row>
    <row r="275" spans="1:13" ht="138.75" hidden="1" thickTop="1" thickBot="1" x14ac:dyDescent="0.25">
      <c r="A275" s="119" t="s">
        <v>528</v>
      </c>
      <c r="B275" s="119" t="s">
        <v>282</v>
      </c>
      <c r="C275" s="119" t="s">
        <v>279</v>
      </c>
      <c r="D275" s="119" t="s">
        <v>283</v>
      </c>
      <c r="E275" s="196" t="s">
        <v>1118</v>
      </c>
      <c r="F275" s="180" t="s">
        <v>1062</v>
      </c>
      <c r="G275" s="180">
        <f t="shared" si="33"/>
        <v>0</v>
      </c>
      <c r="H275" s="197">
        <v>0</v>
      </c>
      <c r="I275" s="214"/>
      <c r="J275" s="214"/>
    </row>
    <row r="276" spans="1:13" ht="177.75" customHeight="1" thickTop="1" thickBot="1" x14ac:dyDescent="0.25">
      <c r="A276" s="94" t="s">
        <v>528</v>
      </c>
      <c r="B276" s="94" t="s">
        <v>282</v>
      </c>
      <c r="C276" s="94" t="s">
        <v>279</v>
      </c>
      <c r="D276" s="94" t="s">
        <v>283</v>
      </c>
      <c r="E276" s="526" t="s">
        <v>1228</v>
      </c>
      <c r="F276" s="432" t="s">
        <v>1182</v>
      </c>
      <c r="G276" s="432">
        <f t="shared" si="33"/>
        <v>30600240</v>
      </c>
      <c r="H276" s="524">
        <v>30600240</v>
      </c>
      <c r="I276" s="521">
        <v>0</v>
      </c>
      <c r="J276" s="521">
        <v>0</v>
      </c>
      <c r="K276" s="493" t="b">
        <f>'d3'!E311='d7'!H275+'d7'!H276</f>
        <v>1</v>
      </c>
      <c r="L276" s="493" t="b">
        <f>'d3'!J311='d7'!I275+'d7'!I276</f>
        <v>1</v>
      </c>
      <c r="M276" s="493" t="b">
        <f>'d3'!K311='d7'!J275+'d7'!J276</f>
        <v>1</v>
      </c>
    </row>
    <row r="277" spans="1:13" ht="138.75" hidden="1" thickTop="1" thickBot="1" x14ac:dyDescent="0.25">
      <c r="A277" s="119" t="s">
        <v>1229</v>
      </c>
      <c r="B277" s="119" t="s">
        <v>1230</v>
      </c>
      <c r="C277" s="119" t="s">
        <v>279</v>
      </c>
      <c r="D277" s="119" t="s">
        <v>1231</v>
      </c>
      <c r="E277" s="196" t="s">
        <v>1228</v>
      </c>
      <c r="F277" s="180" t="s">
        <v>1182</v>
      </c>
      <c r="G277" s="180">
        <f t="shared" si="33"/>
        <v>0</v>
      </c>
      <c r="H277" s="197">
        <f>'d3'!E312</f>
        <v>0</v>
      </c>
      <c r="I277" s="214">
        <v>0</v>
      </c>
      <c r="J277" s="214">
        <v>0</v>
      </c>
      <c r="K277" s="130"/>
      <c r="L277" s="130"/>
      <c r="M277" s="130"/>
    </row>
    <row r="278" spans="1:13" ht="198.75" customHeight="1" thickTop="1" thickBot="1" x14ac:dyDescent="0.25">
      <c r="A278" s="94" t="s">
        <v>529</v>
      </c>
      <c r="B278" s="94" t="s">
        <v>293</v>
      </c>
      <c r="C278" s="94" t="s">
        <v>279</v>
      </c>
      <c r="D278" s="94" t="s">
        <v>294</v>
      </c>
      <c r="E278" s="526" t="s">
        <v>1118</v>
      </c>
      <c r="F278" s="432" t="s">
        <v>1062</v>
      </c>
      <c r="G278" s="432">
        <f t="shared" si="33"/>
        <v>800000</v>
      </c>
      <c r="H278" s="524">
        <v>800000</v>
      </c>
      <c r="I278" s="521">
        <v>0</v>
      </c>
      <c r="J278" s="521">
        <v>0</v>
      </c>
      <c r="K278" s="493" t="b">
        <f>'d3'!E313='d7'!H279+'d7'!H281+H280+H278</f>
        <v>1</v>
      </c>
      <c r="L278" s="493" t="b">
        <f>'d3'!J313='d7'!I279+'d7'!I281+I280+I278</f>
        <v>1</v>
      </c>
      <c r="M278" s="493" t="b">
        <f>'d3'!K313='d7'!J279+'d7'!J281+J280+J278</f>
        <v>1</v>
      </c>
    </row>
    <row r="279" spans="1:13" ht="162.75" hidden="1" customHeight="1" thickTop="1" thickBot="1" x14ac:dyDescent="0.25">
      <c r="A279" s="119" t="s">
        <v>529</v>
      </c>
      <c r="B279" s="119" t="s">
        <v>293</v>
      </c>
      <c r="C279" s="119" t="s">
        <v>279</v>
      </c>
      <c r="D279" s="94" t="s">
        <v>294</v>
      </c>
      <c r="E279" s="196" t="s">
        <v>1262</v>
      </c>
      <c r="F279" s="180" t="s">
        <v>1185</v>
      </c>
      <c r="G279" s="180">
        <f t="shared" si="33"/>
        <v>0</v>
      </c>
      <c r="H279" s="197"/>
      <c r="I279" s="214">
        <f>'d3'!J313</f>
        <v>0</v>
      </c>
      <c r="J279" s="214">
        <f>'d3'!K313</f>
        <v>0</v>
      </c>
    </row>
    <row r="280" spans="1:13" ht="138.75" hidden="1" thickTop="1" thickBot="1" x14ac:dyDescent="0.25">
      <c r="A280" s="119" t="s">
        <v>529</v>
      </c>
      <c r="B280" s="119" t="s">
        <v>293</v>
      </c>
      <c r="C280" s="119" t="s">
        <v>279</v>
      </c>
      <c r="D280" s="119" t="s">
        <v>294</v>
      </c>
      <c r="E280" s="196" t="s">
        <v>1227</v>
      </c>
      <c r="F280" s="180" t="s">
        <v>1178</v>
      </c>
      <c r="G280" s="180">
        <f t="shared" si="33"/>
        <v>0</v>
      </c>
      <c r="H280" s="197">
        <f>(68333)-68333</f>
        <v>0</v>
      </c>
      <c r="I280" s="214">
        <f>'d3'!J313-I282-I281</f>
        <v>0</v>
      </c>
      <c r="J280" s="214">
        <f>'d3'!K313-J282-J281</f>
        <v>0</v>
      </c>
      <c r="K280" s="198"/>
      <c r="L280" s="198"/>
      <c r="M280" s="198"/>
    </row>
    <row r="281" spans="1:13" ht="138.75" thickTop="1" thickBot="1" x14ac:dyDescent="0.25">
      <c r="A281" s="94" t="s">
        <v>529</v>
      </c>
      <c r="B281" s="94" t="s">
        <v>293</v>
      </c>
      <c r="C281" s="94" t="s">
        <v>279</v>
      </c>
      <c r="D281" s="94" t="s">
        <v>294</v>
      </c>
      <c r="E281" s="526" t="s">
        <v>1235</v>
      </c>
      <c r="F281" s="432" t="s">
        <v>1188</v>
      </c>
      <c r="G281" s="432">
        <f t="shared" si="33"/>
        <v>67965426.620000005</v>
      </c>
      <c r="H281" s="524">
        <v>67965426.620000005</v>
      </c>
      <c r="I281" s="521">
        <v>0</v>
      </c>
      <c r="J281" s="521">
        <v>0</v>
      </c>
      <c r="K281" s="130"/>
      <c r="L281" s="130"/>
      <c r="M281" s="130"/>
    </row>
    <row r="282" spans="1:13" ht="186.75" customHeight="1" thickTop="1" thickBot="1" x14ac:dyDescent="0.25">
      <c r="A282" s="94" t="s">
        <v>530</v>
      </c>
      <c r="B282" s="94">
        <v>6030</v>
      </c>
      <c r="C282" s="94" t="s">
        <v>279</v>
      </c>
      <c r="D282" s="94" t="s">
        <v>1563</v>
      </c>
      <c r="E282" s="526" t="s">
        <v>1118</v>
      </c>
      <c r="F282" s="432" t="s">
        <v>1062</v>
      </c>
      <c r="G282" s="432">
        <f t="shared" si="33"/>
        <v>342673707.98000002</v>
      </c>
      <c r="H282" s="524">
        <f>350671588.98-7997881</f>
        <v>342673707.98000002</v>
      </c>
      <c r="I282" s="521">
        <v>0</v>
      </c>
      <c r="J282" s="521">
        <v>0</v>
      </c>
      <c r="K282" s="493" t="b">
        <f>H283+H282+H284='d3'!E314</f>
        <v>1</v>
      </c>
      <c r="L282" s="493" t="b">
        <f>I283+I282+I284='d3'!J314</f>
        <v>1</v>
      </c>
      <c r="M282" s="493" t="b">
        <f>J283+J282+J284='d3'!K314</f>
        <v>1</v>
      </c>
    </row>
    <row r="283" spans="1:13" ht="184.5" thickTop="1" thickBot="1" x14ac:dyDescent="0.25">
      <c r="A283" s="94" t="s">
        <v>530</v>
      </c>
      <c r="B283" s="94">
        <v>6030</v>
      </c>
      <c r="C283" s="94" t="s">
        <v>279</v>
      </c>
      <c r="D283" s="94" t="s">
        <v>286</v>
      </c>
      <c r="E283" s="524" t="s">
        <v>1412</v>
      </c>
      <c r="F283" s="548" t="s">
        <v>1413</v>
      </c>
      <c r="G283" s="432">
        <f t="shared" ref="G283:G291" si="37">H283+I283</f>
        <v>7997881</v>
      </c>
      <c r="H283" s="521">
        <v>7997881</v>
      </c>
      <c r="I283" s="521">
        <v>0</v>
      </c>
      <c r="J283" s="521">
        <v>0</v>
      </c>
      <c r="K283" s="130"/>
      <c r="L283" s="130"/>
      <c r="M283" s="130"/>
    </row>
    <row r="284" spans="1:13" ht="138.75" hidden="1" thickTop="1" thickBot="1" x14ac:dyDescent="0.25">
      <c r="A284" s="119" t="s">
        <v>530</v>
      </c>
      <c r="B284" s="119">
        <v>6030</v>
      </c>
      <c r="C284" s="119" t="s">
        <v>279</v>
      </c>
      <c r="D284" s="119" t="s">
        <v>286</v>
      </c>
      <c r="E284" s="196" t="s">
        <v>1345</v>
      </c>
      <c r="F284" s="180" t="s">
        <v>1346</v>
      </c>
      <c r="G284" s="180">
        <f t="shared" si="37"/>
        <v>0</v>
      </c>
      <c r="H284" s="214"/>
      <c r="I284" s="214">
        <v>0</v>
      </c>
      <c r="J284" s="214">
        <v>0</v>
      </c>
      <c r="K284" s="130"/>
      <c r="L284" s="130"/>
      <c r="M284" s="130"/>
    </row>
    <row r="285" spans="1:13" ht="183.75" hidden="1" customHeight="1" thickTop="1" thickBot="1" x14ac:dyDescent="0.25">
      <c r="A285" s="94" t="s">
        <v>1043</v>
      </c>
      <c r="B285" s="94" t="s">
        <v>1044</v>
      </c>
      <c r="C285" s="94" t="s">
        <v>1045</v>
      </c>
      <c r="D285" s="94" t="s">
        <v>1042</v>
      </c>
      <c r="E285" s="196" t="s">
        <v>1118</v>
      </c>
      <c r="F285" s="180" t="s">
        <v>1062</v>
      </c>
      <c r="G285" s="180">
        <f t="shared" si="37"/>
        <v>0</v>
      </c>
      <c r="H285" s="214"/>
      <c r="I285" s="214"/>
      <c r="J285" s="214"/>
      <c r="K285" s="130"/>
      <c r="L285" s="130"/>
      <c r="M285" s="130"/>
    </row>
    <row r="286" spans="1:13" ht="183.75" customHeight="1" thickTop="1" thickBot="1" x14ac:dyDescent="0.25">
      <c r="A286" s="94" t="s">
        <v>1043</v>
      </c>
      <c r="B286" s="94" t="s">
        <v>1044</v>
      </c>
      <c r="C286" s="94" t="s">
        <v>1045</v>
      </c>
      <c r="D286" s="94" t="s">
        <v>1042</v>
      </c>
      <c r="E286" s="526" t="s">
        <v>1564</v>
      </c>
      <c r="F286" s="432" t="s">
        <v>1259</v>
      </c>
      <c r="G286" s="432">
        <f t="shared" si="37"/>
        <v>1707209.18</v>
      </c>
      <c r="H286" s="521">
        <v>1707209.18</v>
      </c>
      <c r="I286" s="521">
        <v>0</v>
      </c>
      <c r="J286" s="521">
        <v>0</v>
      </c>
      <c r="K286" s="130"/>
      <c r="L286" s="130"/>
      <c r="M286" s="130"/>
    </row>
    <row r="287" spans="1:13" ht="232.5" customHeight="1" thickTop="1" thickBot="1" x14ac:dyDescent="0.25">
      <c r="A287" s="94" t="s">
        <v>1043</v>
      </c>
      <c r="B287" s="94" t="s">
        <v>1044</v>
      </c>
      <c r="C287" s="94" t="s">
        <v>1045</v>
      </c>
      <c r="D287" s="94" t="s">
        <v>1042</v>
      </c>
      <c r="E287" s="526" t="s">
        <v>1371</v>
      </c>
      <c r="F287" s="432" t="s">
        <v>1184</v>
      </c>
      <c r="G287" s="432">
        <f t="shared" si="37"/>
        <v>1158397</v>
      </c>
      <c r="H287" s="521">
        <v>1158397</v>
      </c>
      <c r="I287" s="521">
        <v>0</v>
      </c>
      <c r="J287" s="521">
        <v>0</v>
      </c>
      <c r="K287" s="130"/>
      <c r="L287" s="130"/>
      <c r="M287" s="130"/>
    </row>
    <row r="288" spans="1:13" ht="205.5" customHeight="1" thickTop="1" thickBot="1" x14ac:dyDescent="0.25">
      <c r="A288" s="94" t="s">
        <v>1043</v>
      </c>
      <c r="B288" s="94" t="s">
        <v>1044</v>
      </c>
      <c r="C288" s="94" t="s">
        <v>1045</v>
      </c>
      <c r="D288" s="94" t="s">
        <v>1042</v>
      </c>
      <c r="E288" s="526" t="s">
        <v>1233</v>
      </c>
      <c r="F288" s="432" t="s">
        <v>1183</v>
      </c>
      <c r="G288" s="432">
        <f t="shared" si="37"/>
        <v>543455</v>
      </c>
      <c r="H288" s="521">
        <v>543455</v>
      </c>
      <c r="I288" s="521">
        <v>0</v>
      </c>
      <c r="J288" s="521">
        <v>0</v>
      </c>
      <c r="K288" s="130"/>
      <c r="L288" s="130"/>
      <c r="M288" s="130"/>
    </row>
    <row r="289" spans="1:13" ht="214.5" customHeight="1" thickTop="1" thickBot="1" x14ac:dyDescent="0.25">
      <c r="A289" s="94" t="s">
        <v>1385</v>
      </c>
      <c r="B289" s="94" t="s">
        <v>1384</v>
      </c>
      <c r="C289" s="94" t="s">
        <v>1045</v>
      </c>
      <c r="D289" s="94" t="s">
        <v>1571</v>
      </c>
      <c r="E289" s="526" t="s">
        <v>1118</v>
      </c>
      <c r="F289" s="432" t="s">
        <v>1062</v>
      </c>
      <c r="G289" s="432">
        <f t="shared" si="37"/>
        <v>1427391.2</v>
      </c>
      <c r="H289" s="521">
        <f>'d3'!E316</f>
        <v>0</v>
      </c>
      <c r="I289" s="521">
        <f>'d3'!J316</f>
        <v>1427391.2</v>
      </c>
      <c r="J289" s="521">
        <f>'d3'!K316</f>
        <v>1427391.2</v>
      </c>
      <c r="K289" s="130"/>
      <c r="L289" s="130"/>
      <c r="M289" s="130"/>
    </row>
    <row r="290" spans="1:13" ht="138.75" hidden="1" thickTop="1" thickBot="1" x14ac:dyDescent="0.25">
      <c r="A290" s="119" t="s">
        <v>531</v>
      </c>
      <c r="B290" s="119" t="s">
        <v>289</v>
      </c>
      <c r="C290" s="119" t="s">
        <v>291</v>
      </c>
      <c r="D290" s="320" t="s">
        <v>290</v>
      </c>
      <c r="E290" s="196" t="s">
        <v>1118</v>
      </c>
      <c r="F290" s="180" t="s">
        <v>1062</v>
      </c>
      <c r="G290" s="180">
        <f t="shared" si="37"/>
        <v>0</v>
      </c>
      <c r="H290" s="197">
        <f>'d3'!E320-H291</f>
        <v>0</v>
      </c>
      <c r="I290" s="214">
        <f>'d3'!J320-I291</f>
        <v>0</v>
      </c>
      <c r="J290" s="214">
        <f>'d3'!K320-J291</f>
        <v>0</v>
      </c>
      <c r="K290" s="195" t="b">
        <f>H290+H291='d3'!E320</f>
        <v>1</v>
      </c>
      <c r="L290" s="195" t="b">
        <f>I290+I291='d3'!J320</f>
        <v>1</v>
      </c>
      <c r="M290" s="195" t="b">
        <f>J290+J291='d3'!K320</f>
        <v>1</v>
      </c>
    </row>
    <row r="291" spans="1:13" ht="138.75" hidden="1" thickTop="1" thickBot="1" x14ac:dyDescent="0.25">
      <c r="A291" s="321" t="s">
        <v>531</v>
      </c>
      <c r="B291" s="321" t="s">
        <v>289</v>
      </c>
      <c r="C291" s="321" t="s">
        <v>291</v>
      </c>
      <c r="D291" s="322" t="s">
        <v>290</v>
      </c>
      <c r="E291" s="196" t="s">
        <v>1220</v>
      </c>
      <c r="F291" s="142" t="s">
        <v>417</v>
      </c>
      <c r="G291" s="180">
        <f t="shared" si="37"/>
        <v>0</v>
      </c>
      <c r="H291" s="323">
        <v>0</v>
      </c>
      <c r="I291" s="324">
        <v>0</v>
      </c>
      <c r="J291" s="324">
        <v>0</v>
      </c>
      <c r="K291" s="130"/>
      <c r="L291" s="130"/>
      <c r="M291" s="130"/>
    </row>
    <row r="292" spans="1:13" ht="138.75" hidden="1" thickTop="1" thickBot="1" x14ac:dyDescent="0.25">
      <c r="A292" s="119" t="s">
        <v>531</v>
      </c>
      <c r="B292" s="119" t="s">
        <v>289</v>
      </c>
      <c r="C292" s="119" t="s">
        <v>291</v>
      </c>
      <c r="D292" s="320" t="s">
        <v>290</v>
      </c>
      <c r="E292" s="197" t="s">
        <v>840</v>
      </c>
      <c r="F292" s="197" t="s">
        <v>853</v>
      </c>
      <c r="G292" s="180">
        <f t="shared" si="33"/>
        <v>0</v>
      </c>
      <c r="H292" s="197"/>
      <c r="I292" s="214"/>
      <c r="J292" s="214"/>
      <c r="K292" s="130"/>
      <c r="L292" s="130"/>
      <c r="M292" s="130"/>
    </row>
    <row r="293" spans="1:13" ht="184.5" thickTop="1" thickBot="1" x14ac:dyDescent="0.25">
      <c r="A293" s="490" t="s">
        <v>1575</v>
      </c>
      <c r="B293" s="490" t="s">
        <v>1576</v>
      </c>
      <c r="C293" s="490" t="s">
        <v>291</v>
      </c>
      <c r="D293" s="490" t="s">
        <v>1574</v>
      </c>
      <c r="E293" s="526" t="s">
        <v>1118</v>
      </c>
      <c r="F293" s="432" t="s">
        <v>1062</v>
      </c>
      <c r="G293" s="432">
        <f t="shared" si="33"/>
        <v>10000000</v>
      </c>
      <c r="H293" s="494">
        <v>0</v>
      </c>
      <c r="I293" s="553">
        <f>10427391.2-427391.2</f>
        <v>10000000</v>
      </c>
      <c r="J293" s="553">
        <f>10427391.2-427391.2</f>
        <v>10000000</v>
      </c>
      <c r="K293" s="130"/>
      <c r="L293" s="130"/>
      <c r="M293" s="130"/>
    </row>
    <row r="294" spans="1:13" ht="138.75" hidden="1" thickTop="1" thickBot="1" x14ac:dyDescent="0.25">
      <c r="A294" s="119" t="s">
        <v>532</v>
      </c>
      <c r="B294" s="119" t="s">
        <v>209</v>
      </c>
      <c r="C294" s="119" t="s">
        <v>210</v>
      </c>
      <c r="D294" s="119" t="s">
        <v>41</v>
      </c>
      <c r="E294" s="196" t="s">
        <v>1118</v>
      </c>
      <c r="F294" s="180" t="s">
        <v>1062</v>
      </c>
      <c r="G294" s="197">
        <f t="shared" si="33"/>
        <v>0</v>
      </c>
      <c r="H294" s="197"/>
      <c r="I294" s="197"/>
      <c r="J294" s="197"/>
      <c r="K294" s="130"/>
      <c r="L294" s="130"/>
      <c r="M294" s="130"/>
    </row>
    <row r="295" spans="1:13" ht="138.75" hidden="1" thickTop="1" thickBot="1" x14ac:dyDescent="0.25">
      <c r="A295" s="119" t="s">
        <v>533</v>
      </c>
      <c r="B295" s="119" t="s">
        <v>194</v>
      </c>
      <c r="C295" s="119" t="s">
        <v>167</v>
      </c>
      <c r="D295" s="119" t="s">
        <v>34</v>
      </c>
      <c r="E295" s="196" t="s">
        <v>1061</v>
      </c>
      <c r="F295" s="180" t="s">
        <v>1062</v>
      </c>
      <c r="G295" s="197">
        <f t="shared" ref="G295:G297" si="38">H295+I295</f>
        <v>0</v>
      </c>
      <c r="H295" s="197"/>
      <c r="I295" s="197"/>
      <c r="J295" s="197"/>
      <c r="K295" s="873" t="b">
        <f>'d3'!E324='d7'!H298+'d7'!H299+'d7'!H301+'d7'!H302+'d7'!H303+'d7'!H304+'d7'!H305+'d7'!H307+'d7'!H308+H295+H306+H296+H297+H300</f>
        <v>1</v>
      </c>
      <c r="L295" s="882" t="b">
        <f>'d3'!J324='d7'!I298+'d7'!I299+'d7'!I301+'d7'!I302+'d7'!I303+'d7'!I304+'d7'!I305+'d7'!I307+'d7'!I308+I295+I306+I296+I297+I300</f>
        <v>1</v>
      </c>
      <c r="M295" s="882" t="b">
        <f>'d3'!K324='d7'!J298+'d7'!J299+'d7'!J301+'d7'!J302+'d7'!J303+'d7'!J304+'d7'!J305+'d7'!J307+'d7'!J308+J295+J306+J296+J297+J300</f>
        <v>1</v>
      </c>
    </row>
    <row r="296" spans="1:13" ht="138.75" hidden="1" thickTop="1" thickBot="1" x14ac:dyDescent="0.25">
      <c r="A296" s="119" t="s">
        <v>533</v>
      </c>
      <c r="B296" s="119" t="s">
        <v>194</v>
      </c>
      <c r="C296" s="119" t="s">
        <v>167</v>
      </c>
      <c r="D296" s="119" t="s">
        <v>34</v>
      </c>
      <c r="E296" s="196" t="s">
        <v>1260</v>
      </c>
      <c r="F296" s="180" t="s">
        <v>1259</v>
      </c>
      <c r="G296" s="197">
        <f t="shared" si="38"/>
        <v>0</v>
      </c>
      <c r="H296" s="197"/>
      <c r="I296" s="197"/>
      <c r="J296" s="197"/>
      <c r="K296" s="873"/>
      <c r="L296" s="882"/>
      <c r="M296" s="882"/>
    </row>
    <row r="297" spans="1:13" ht="138.75" hidden="1" thickTop="1" thickBot="1" x14ac:dyDescent="0.25">
      <c r="A297" s="119" t="s">
        <v>533</v>
      </c>
      <c r="B297" s="119" t="s">
        <v>194</v>
      </c>
      <c r="C297" s="119" t="s">
        <v>167</v>
      </c>
      <c r="D297" s="119" t="s">
        <v>34</v>
      </c>
      <c r="E297" s="196" t="s">
        <v>1327</v>
      </c>
      <c r="F297" s="180" t="s">
        <v>1261</v>
      </c>
      <c r="G297" s="197">
        <f t="shared" si="38"/>
        <v>0</v>
      </c>
      <c r="H297" s="197"/>
      <c r="I297" s="197"/>
      <c r="J297" s="197"/>
      <c r="K297" s="873"/>
      <c r="L297" s="882"/>
      <c r="M297" s="882"/>
    </row>
    <row r="298" spans="1:13" ht="138.75" hidden="1" thickTop="1" thickBot="1" x14ac:dyDescent="0.25">
      <c r="A298" s="119" t="s">
        <v>533</v>
      </c>
      <c r="B298" s="119" t="s">
        <v>194</v>
      </c>
      <c r="C298" s="119" t="s">
        <v>167</v>
      </c>
      <c r="D298" s="119" t="s">
        <v>34</v>
      </c>
      <c r="E298" s="196" t="s">
        <v>1232</v>
      </c>
      <c r="F298" s="180" t="s">
        <v>1181</v>
      </c>
      <c r="G298" s="197">
        <f t="shared" si="33"/>
        <v>0</v>
      </c>
      <c r="H298" s="197"/>
      <c r="I298" s="197"/>
      <c r="J298" s="197"/>
      <c r="K298" s="873"/>
      <c r="L298" s="882"/>
      <c r="M298" s="882"/>
    </row>
    <row r="299" spans="1:13" ht="138.75" thickTop="1" thickBot="1" x14ac:dyDescent="0.25">
      <c r="A299" s="490" t="s">
        <v>533</v>
      </c>
      <c r="B299" s="490" t="s">
        <v>194</v>
      </c>
      <c r="C299" s="490" t="s">
        <v>167</v>
      </c>
      <c r="D299" s="490" t="s">
        <v>1065</v>
      </c>
      <c r="E299" s="498" t="s">
        <v>1228</v>
      </c>
      <c r="F299" s="499" t="s">
        <v>1182</v>
      </c>
      <c r="G299" s="494">
        <f t="shared" si="33"/>
        <v>4032228</v>
      </c>
      <c r="H299" s="494">
        <v>0</v>
      </c>
      <c r="I299" s="494">
        <v>4032228</v>
      </c>
      <c r="J299" s="494">
        <v>4032228</v>
      </c>
      <c r="K299" s="873"/>
      <c r="L299" s="882"/>
      <c r="M299" s="882"/>
    </row>
    <row r="300" spans="1:13" ht="184.5" hidden="1" thickTop="1" thickBot="1" x14ac:dyDescent="0.25">
      <c r="A300" s="119" t="s">
        <v>533</v>
      </c>
      <c r="B300" s="119" t="s">
        <v>194</v>
      </c>
      <c r="C300" s="119" t="s">
        <v>167</v>
      </c>
      <c r="D300" s="119" t="s">
        <v>34</v>
      </c>
      <c r="E300" s="197" t="s">
        <v>1412</v>
      </c>
      <c r="F300" s="142" t="s">
        <v>1413</v>
      </c>
      <c r="G300" s="197">
        <f t="shared" ref="G300" si="39">H300+I300</f>
        <v>0</v>
      </c>
      <c r="H300" s="197">
        <v>0</v>
      </c>
      <c r="I300" s="197">
        <f>(50400)-50400</f>
        <v>0</v>
      </c>
      <c r="J300" s="197">
        <f>(50400)-50400</f>
        <v>0</v>
      </c>
      <c r="K300" s="873"/>
      <c r="L300" s="882"/>
      <c r="M300" s="882"/>
    </row>
    <row r="301" spans="1:13" ht="184.5" hidden="1" thickTop="1" thickBot="1" x14ac:dyDescent="0.25">
      <c r="A301" s="119" t="s">
        <v>533</v>
      </c>
      <c r="B301" s="119" t="s">
        <v>194</v>
      </c>
      <c r="C301" s="119" t="s">
        <v>167</v>
      </c>
      <c r="D301" s="119" t="s">
        <v>34</v>
      </c>
      <c r="E301" s="196" t="s">
        <v>1371</v>
      </c>
      <c r="F301" s="180" t="s">
        <v>1184</v>
      </c>
      <c r="G301" s="197">
        <f t="shared" si="33"/>
        <v>0</v>
      </c>
      <c r="H301" s="197">
        <v>0</v>
      </c>
      <c r="I301" s="197"/>
      <c r="J301" s="197"/>
      <c r="K301" s="873"/>
      <c r="L301" s="882"/>
      <c r="M301" s="882"/>
    </row>
    <row r="302" spans="1:13" ht="184.5" hidden="1" thickTop="1" thickBot="1" x14ac:dyDescent="0.25">
      <c r="A302" s="119" t="s">
        <v>533</v>
      </c>
      <c r="B302" s="119" t="s">
        <v>194</v>
      </c>
      <c r="C302" s="119" t="s">
        <v>167</v>
      </c>
      <c r="D302" s="119" t="s">
        <v>34</v>
      </c>
      <c r="E302" s="196" t="s">
        <v>1233</v>
      </c>
      <c r="F302" s="180" t="s">
        <v>1183</v>
      </c>
      <c r="G302" s="197">
        <f t="shared" si="33"/>
        <v>0</v>
      </c>
      <c r="H302" s="197">
        <v>0</v>
      </c>
      <c r="I302" s="197"/>
      <c r="J302" s="197"/>
      <c r="K302" s="873"/>
      <c r="L302" s="882"/>
      <c r="M302" s="882"/>
    </row>
    <row r="303" spans="1:13" ht="138.75" hidden="1" thickTop="1" thickBot="1" x14ac:dyDescent="0.25">
      <c r="A303" s="119" t="s">
        <v>533</v>
      </c>
      <c r="B303" s="119" t="s">
        <v>194</v>
      </c>
      <c r="C303" s="119" t="s">
        <v>167</v>
      </c>
      <c r="D303" s="119" t="s">
        <v>34</v>
      </c>
      <c r="E303" s="306" t="s">
        <v>1167</v>
      </c>
      <c r="F303" s="307"/>
      <c r="G303" s="197">
        <f t="shared" si="33"/>
        <v>0</v>
      </c>
      <c r="H303" s="197"/>
      <c r="I303" s="197"/>
      <c r="J303" s="197"/>
      <c r="K303" s="873"/>
      <c r="L303" s="882"/>
      <c r="M303" s="882"/>
    </row>
    <row r="304" spans="1:13" ht="138.75" hidden="1" thickTop="1" thickBot="1" x14ac:dyDescent="0.25">
      <c r="A304" s="119" t="s">
        <v>533</v>
      </c>
      <c r="B304" s="119" t="s">
        <v>194</v>
      </c>
      <c r="C304" s="119" t="s">
        <v>167</v>
      </c>
      <c r="D304" s="119" t="s">
        <v>34</v>
      </c>
      <c r="E304" s="196" t="s">
        <v>1234</v>
      </c>
      <c r="F304" s="180" t="s">
        <v>1185</v>
      </c>
      <c r="G304" s="197">
        <f t="shared" si="33"/>
        <v>0</v>
      </c>
      <c r="H304" s="197"/>
      <c r="I304" s="197"/>
      <c r="J304" s="197"/>
      <c r="K304" s="873"/>
      <c r="L304" s="882"/>
      <c r="M304" s="882"/>
    </row>
    <row r="305" spans="1:13" ht="138.75" hidden="1" thickTop="1" thickBot="1" x14ac:dyDescent="0.25">
      <c r="A305" s="119" t="s">
        <v>533</v>
      </c>
      <c r="B305" s="119" t="s">
        <v>194</v>
      </c>
      <c r="C305" s="119" t="s">
        <v>167</v>
      </c>
      <c r="D305" s="119" t="s">
        <v>34</v>
      </c>
      <c r="E305" s="196" t="s">
        <v>1186</v>
      </c>
      <c r="F305" s="180" t="s">
        <v>1187</v>
      </c>
      <c r="G305" s="197">
        <f t="shared" si="33"/>
        <v>0</v>
      </c>
      <c r="H305" s="197"/>
      <c r="I305" s="197"/>
      <c r="J305" s="197"/>
      <c r="K305" s="873"/>
      <c r="L305" s="882"/>
      <c r="M305" s="882"/>
    </row>
    <row r="306" spans="1:13" ht="138.75" hidden="1" thickTop="1" thickBot="1" x14ac:dyDescent="0.25">
      <c r="A306" s="119" t="s">
        <v>533</v>
      </c>
      <c r="B306" s="119" t="s">
        <v>194</v>
      </c>
      <c r="C306" s="119" t="s">
        <v>167</v>
      </c>
      <c r="D306" s="119" t="s">
        <v>34</v>
      </c>
      <c r="E306" s="305" t="s">
        <v>1227</v>
      </c>
      <c r="F306" s="180" t="s">
        <v>1178</v>
      </c>
      <c r="G306" s="197">
        <f t="shared" si="33"/>
        <v>0</v>
      </c>
      <c r="H306" s="197"/>
      <c r="I306" s="197"/>
      <c r="J306" s="197"/>
      <c r="K306" s="873"/>
      <c r="L306" s="882"/>
      <c r="M306" s="882"/>
    </row>
    <row r="307" spans="1:13" ht="138.75" hidden="1" thickTop="1" thickBot="1" x14ac:dyDescent="0.25">
      <c r="A307" s="119" t="s">
        <v>533</v>
      </c>
      <c r="B307" s="119" t="s">
        <v>194</v>
      </c>
      <c r="C307" s="119" t="s">
        <v>167</v>
      </c>
      <c r="D307" s="119" t="s">
        <v>34</v>
      </c>
      <c r="E307" s="196" t="s">
        <v>1235</v>
      </c>
      <c r="F307" s="180" t="s">
        <v>1188</v>
      </c>
      <c r="G307" s="197">
        <f t="shared" si="33"/>
        <v>0</v>
      </c>
      <c r="H307" s="197">
        <v>0</v>
      </c>
      <c r="I307" s="197"/>
      <c r="J307" s="197"/>
      <c r="K307" s="873"/>
      <c r="L307" s="882"/>
      <c r="M307" s="882"/>
    </row>
    <row r="308" spans="1:13" ht="138.75" hidden="1" thickTop="1" thickBot="1" x14ac:dyDescent="0.25">
      <c r="A308" s="119" t="s">
        <v>533</v>
      </c>
      <c r="B308" s="119" t="s">
        <v>194</v>
      </c>
      <c r="C308" s="119" t="s">
        <v>167</v>
      </c>
      <c r="D308" s="119" t="s">
        <v>34</v>
      </c>
      <c r="E308" s="306" t="s">
        <v>1168</v>
      </c>
      <c r="F308" s="307"/>
      <c r="G308" s="197">
        <f t="shared" si="33"/>
        <v>0</v>
      </c>
      <c r="H308" s="197"/>
      <c r="I308" s="197"/>
      <c r="J308" s="197"/>
      <c r="K308" s="130"/>
      <c r="L308" s="130"/>
      <c r="M308" s="130"/>
    </row>
    <row r="309" spans="1:13" ht="138.75" hidden="1" thickTop="1" thickBot="1" x14ac:dyDescent="0.25">
      <c r="A309" s="119" t="s">
        <v>533</v>
      </c>
      <c r="B309" s="119" t="s">
        <v>194</v>
      </c>
      <c r="C309" s="119" t="s">
        <v>167</v>
      </c>
      <c r="D309" s="119" t="s">
        <v>34</v>
      </c>
      <c r="E309" s="197" t="s">
        <v>841</v>
      </c>
      <c r="F309" s="180" t="s">
        <v>839</v>
      </c>
      <c r="G309" s="214">
        <f t="shared" si="33"/>
        <v>0</v>
      </c>
      <c r="H309" s="197"/>
      <c r="I309" s="214"/>
      <c r="J309" s="214"/>
      <c r="K309" s="130"/>
      <c r="L309" s="130"/>
      <c r="M309" s="130"/>
    </row>
    <row r="310" spans="1:13" ht="230.25" hidden="1" thickTop="1" thickBot="1" x14ac:dyDescent="0.7">
      <c r="A310" s="741" t="s">
        <v>534</v>
      </c>
      <c r="B310" s="741" t="s">
        <v>332</v>
      </c>
      <c r="C310" s="741" t="s">
        <v>167</v>
      </c>
      <c r="D310" s="280" t="s">
        <v>432</v>
      </c>
      <c r="E310" s="878" t="s">
        <v>1386</v>
      </c>
      <c r="F310" s="821" t="s">
        <v>1409</v>
      </c>
      <c r="G310" s="727">
        <f t="shared" si="33"/>
        <v>0</v>
      </c>
      <c r="H310" s="727">
        <f>'d3'!E326</f>
        <v>0</v>
      </c>
      <c r="I310" s="727"/>
      <c r="J310" s="727"/>
      <c r="K310" s="130"/>
      <c r="L310" s="130"/>
      <c r="M310" s="130"/>
    </row>
    <row r="311" spans="1:13" ht="138.75" hidden="1" thickTop="1" thickBot="1" x14ac:dyDescent="0.25">
      <c r="A311" s="742"/>
      <c r="B311" s="742"/>
      <c r="C311" s="742"/>
      <c r="D311" s="281" t="s">
        <v>433</v>
      </c>
      <c r="E311" s="879"/>
      <c r="F311" s="822"/>
      <c r="G311" s="742">
        <f t="shared" si="33"/>
        <v>0</v>
      </c>
      <c r="H311" s="742"/>
      <c r="I311" s="742"/>
      <c r="J311" s="742"/>
      <c r="K311" s="130"/>
      <c r="L311" s="130"/>
      <c r="M311" s="130"/>
    </row>
    <row r="312" spans="1:13" ht="138.75" hidden="1" thickTop="1" thickBot="1" x14ac:dyDescent="0.25">
      <c r="A312" s="119" t="s">
        <v>1069</v>
      </c>
      <c r="B312" s="119" t="s">
        <v>253</v>
      </c>
      <c r="C312" s="119" t="s">
        <v>167</v>
      </c>
      <c r="D312" s="119" t="s">
        <v>251</v>
      </c>
      <c r="E312" s="196" t="s">
        <v>1118</v>
      </c>
      <c r="F312" s="180" t="s">
        <v>1062</v>
      </c>
      <c r="G312" s="214">
        <f t="shared" ref="G312" si="40">H312+I312</f>
        <v>0</v>
      </c>
      <c r="H312" s="197"/>
      <c r="I312" s="214"/>
      <c r="J312" s="214"/>
      <c r="K312" s="130"/>
      <c r="L312" s="130"/>
      <c r="M312" s="130"/>
    </row>
    <row r="313" spans="1:13" ht="276" thickTop="1" thickBot="1" x14ac:dyDescent="0.25">
      <c r="A313" s="94" t="s">
        <v>535</v>
      </c>
      <c r="B313" s="94" t="s">
        <v>504</v>
      </c>
      <c r="C313" s="94" t="s">
        <v>247</v>
      </c>
      <c r="D313" s="94" t="s">
        <v>505</v>
      </c>
      <c r="E313" s="524" t="s">
        <v>1565</v>
      </c>
      <c r="F313" s="432"/>
      <c r="G313" s="432">
        <f t="shared" si="33"/>
        <v>500000</v>
      </c>
      <c r="H313" s="524">
        <f>'d3'!E331</f>
        <v>500000</v>
      </c>
      <c r="I313" s="521">
        <f>'d3'!J331</f>
        <v>0</v>
      </c>
      <c r="J313" s="521">
        <f>'d3'!K331</f>
        <v>0</v>
      </c>
      <c r="K313" s="130"/>
      <c r="L313" s="130"/>
      <c r="M313" s="130"/>
    </row>
    <row r="314" spans="1:13" ht="276" thickTop="1" thickBot="1" x14ac:dyDescent="0.25">
      <c r="A314" s="94" t="s">
        <v>536</v>
      </c>
      <c r="B314" s="94" t="s">
        <v>246</v>
      </c>
      <c r="C314" s="94" t="s">
        <v>247</v>
      </c>
      <c r="D314" s="490" t="s">
        <v>245</v>
      </c>
      <c r="E314" s="499" t="s">
        <v>1542</v>
      </c>
      <c r="F314" s="180"/>
      <c r="G314" s="432">
        <f t="shared" si="33"/>
        <v>3006876</v>
      </c>
      <c r="H314" s="524">
        <f>'d3'!E332</f>
        <v>3006876</v>
      </c>
      <c r="I314" s="521">
        <f>'d3'!J332</f>
        <v>0</v>
      </c>
      <c r="J314" s="521">
        <f>'d3'!K332</f>
        <v>0</v>
      </c>
      <c r="K314" s="130"/>
      <c r="L314" s="130"/>
      <c r="M314" s="130"/>
    </row>
    <row r="315" spans="1:13" ht="276" hidden="1" thickTop="1" thickBot="1" x14ac:dyDescent="0.25">
      <c r="A315" s="39" t="s">
        <v>537</v>
      </c>
      <c r="B315" s="39" t="s">
        <v>538</v>
      </c>
      <c r="C315" s="39" t="s">
        <v>247</v>
      </c>
      <c r="D315" s="39" t="s">
        <v>539</v>
      </c>
      <c r="E315" s="200" t="s">
        <v>824</v>
      </c>
      <c r="F315" s="71" t="s">
        <v>825</v>
      </c>
      <c r="G315" s="71">
        <f t="shared" si="33"/>
        <v>0</v>
      </c>
      <c r="H315" s="200">
        <f>'d3'!E333</f>
        <v>0</v>
      </c>
      <c r="I315" s="215">
        <f>'d3'!J333</f>
        <v>0</v>
      </c>
      <c r="J315" s="215">
        <f>'d3'!K333</f>
        <v>0</v>
      </c>
      <c r="K315" s="130"/>
      <c r="L315" s="130"/>
      <c r="M315" s="130"/>
    </row>
    <row r="316" spans="1:13" ht="138.75" thickTop="1" thickBot="1" x14ac:dyDescent="0.25">
      <c r="A316" s="94" t="s">
        <v>1286</v>
      </c>
      <c r="B316" s="94" t="s">
        <v>356</v>
      </c>
      <c r="C316" s="94" t="s">
        <v>43</v>
      </c>
      <c r="D316" s="94" t="s">
        <v>357</v>
      </c>
      <c r="E316" s="526" t="s">
        <v>1545</v>
      </c>
      <c r="F316" s="432"/>
      <c r="G316" s="432">
        <f>H316+I316</f>
        <v>500000</v>
      </c>
      <c r="H316" s="524">
        <f>'d3'!E336</f>
        <v>500000</v>
      </c>
      <c r="I316" s="521">
        <f>'d3'!J336</f>
        <v>0</v>
      </c>
      <c r="J316" s="521">
        <f>'d3'!K336</f>
        <v>0</v>
      </c>
      <c r="K316" s="130"/>
      <c r="L316" s="130"/>
      <c r="M316" s="130"/>
    </row>
    <row r="317" spans="1:13" ht="170.45" customHeight="1" thickTop="1" thickBot="1" x14ac:dyDescent="0.25">
      <c r="A317" s="535" t="s">
        <v>25</v>
      </c>
      <c r="B317" s="535"/>
      <c r="C317" s="535"/>
      <c r="D317" s="536" t="s">
        <v>854</v>
      </c>
      <c r="E317" s="536"/>
      <c r="F317" s="536"/>
      <c r="G317" s="537">
        <f>G318</f>
        <v>33700000</v>
      </c>
      <c r="H317" s="537">
        <f>H318</f>
        <v>0</v>
      </c>
      <c r="I317" s="537">
        <f>I318</f>
        <v>33700000</v>
      </c>
      <c r="J317" s="537">
        <f>J318</f>
        <v>33700000</v>
      </c>
      <c r="K317" s="130"/>
      <c r="L317" s="130"/>
      <c r="M317" s="130"/>
    </row>
    <row r="318" spans="1:13" ht="136.5" thickTop="1" thickBot="1" x14ac:dyDescent="0.25">
      <c r="A318" s="532" t="s">
        <v>26</v>
      </c>
      <c r="B318" s="532"/>
      <c r="C318" s="532"/>
      <c r="D318" s="533" t="s">
        <v>855</v>
      </c>
      <c r="E318" s="533"/>
      <c r="F318" s="533"/>
      <c r="G318" s="534">
        <f>SUM(G319:G340)</f>
        <v>33700000</v>
      </c>
      <c r="H318" s="534">
        <f>SUM(H319:H340)</f>
        <v>0</v>
      </c>
      <c r="I318" s="534">
        <f>SUM(I319:I340)</f>
        <v>33700000</v>
      </c>
      <c r="J318" s="534">
        <f>SUM(J319:J340)</f>
        <v>33700000</v>
      </c>
      <c r="K318" s="559" t="b">
        <f>H318='d3'!E338-'d3'!E340+H319</f>
        <v>1</v>
      </c>
      <c r="L318" s="560" t="b">
        <f>I318='d3'!J338+I319</f>
        <v>1</v>
      </c>
      <c r="M318" s="560" t="b">
        <f>J318='d3'!K338+J319</f>
        <v>1</v>
      </c>
    </row>
    <row r="319" spans="1:13" ht="138.75" hidden="1" thickTop="1" thickBot="1" x14ac:dyDescent="0.25">
      <c r="A319" s="119" t="s">
        <v>409</v>
      </c>
      <c r="B319" s="119" t="s">
        <v>233</v>
      </c>
      <c r="C319" s="119" t="s">
        <v>231</v>
      </c>
      <c r="D319" s="119" t="s">
        <v>232</v>
      </c>
      <c r="E319" s="196" t="s">
        <v>967</v>
      </c>
      <c r="F319" s="180" t="s">
        <v>823</v>
      </c>
      <c r="G319" s="180">
        <f t="shared" ref="G319" si="41">H319+I319</f>
        <v>0</v>
      </c>
      <c r="H319" s="180">
        <v>0</v>
      </c>
      <c r="I319" s="180">
        <v>0</v>
      </c>
      <c r="J319" s="180">
        <v>0</v>
      </c>
      <c r="K319" s="198"/>
      <c r="L319" s="198"/>
      <c r="M319" s="198"/>
    </row>
    <row r="320" spans="1:13" ht="276" hidden="1" thickTop="1" thickBot="1" x14ac:dyDescent="0.25">
      <c r="A320" s="119" t="s">
        <v>608</v>
      </c>
      <c r="B320" s="119" t="s">
        <v>355</v>
      </c>
      <c r="C320" s="119" t="s">
        <v>603</v>
      </c>
      <c r="D320" s="119" t="s">
        <v>604</v>
      </c>
      <c r="E320" s="196" t="s">
        <v>1157</v>
      </c>
      <c r="F320" s="180" t="s">
        <v>1158</v>
      </c>
      <c r="G320" s="180">
        <f t="shared" ref="G320:G325" si="42">H320+I320</f>
        <v>0</v>
      </c>
      <c r="H320" s="197">
        <f>'d3'!E341</f>
        <v>0</v>
      </c>
      <c r="I320" s="214">
        <v>0</v>
      </c>
      <c r="J320" s="214">
        <v>0</v>
      </c>
      <c r="K320" s="198"/>
      <c r="L320" s="198"/>
      <c r="M320" s="198"/>
    </row>
    <row r="321" spans="1:13" ht="138.75" hidden="1" thickTop="1" thickBot="1" x14ac:dyDescent="0.25">
      <c r="A321" s="119" t="s">
        <v>885</v>
      </c>
      <c r="B321" s="119" t="s">
        <v>43</v>
      </c>
      <c r="C321" s="119" t="s">
        <v>42</v>
      </c>
      <c r="D321" s="119" t="s">
        <v>244</v>
      </c>
      <c r="E321" s="196" t="s">
        <v>1040</v>
      </c>
      <c r="F321" s="180"/>
      <c r="G321" s="180">
        <f t="shared" si="42"/>
        <v>0</v>
      </c>
      <c r="H321" s="197">
        <f>'d3'!E342</f>
        <v>0</v>
      </c>
      <c r="I321" s="214">
        <f>'d3'!J342</f>
        <v>0</v>
      </c>
      <c r="J321" s="214">
        <f>'d3'!K342</f>
        <v>0</v>
      </c>
      <c r="K321" s="198"/>
      <c r="L321" s="198"/>
      <c r="M321" s="198"/>
    </row>
    <row r="322" spans="1:13" ht="276" thickTop="1" thickBot="1" x14ac:dyDescent="0.25">
      <c r="A322" s="94" t="s">
        <v>1388</v>
      </c>
      <c r="B322" s="94" t="s">
        <v>1389</v>
      </c>
      <c r="C322" s="94" t="s">
        <v>207</v>
      </c>
      <c r="D322" s="94" t="s">
        <v>1580</v>
      </c>
      <c r="E322" s="524" t="s">
        <v>1581</v>
      </c>
      <c r="F322" s="180"/>
      <c r="G322" s="432">
        <f t="shared" ref="G322:G326" si="43">H322+I322</f>
        <v>10000000</v>
      </c>
      <c r="H322" s="524">
        <v>0</v>
      </c>
      <c r="I322" s="521">
        <v>10000000</v>
      </c>
      <c r="J322" s="521">
        <v>10000000</v>
      </c>
      <c r="K322" s="559" t="b">
        <f>H322+H323='d3'!E344</f>
        <v>1</v>
      </c>
      <c r="L322" s="560" t="b">
        <f>I322+I323='d3'!J344</f>
        <v>1</v>
      </c>
      <c r="M322" s="560" t="b">
        <f>J322+J323='d3'!K344</f>
        <v>1</v>
      </c>
    </row>
    <row r="323" spans="1:13" ht="198.75" customHeight="1" thickTop="1" thickBot="1" x14ac:dyDescent="0.25">
      <c r="A323" s="94" t="s">
        <v>1388</v>
      </c>
      <c r="B323" s="94" t="s">
        <v>1389</v>
      </c>
      <c r="C323" s="94" t="s">
        <v>207</v>
      </c>
      <c r="D323" s="94" t="s">
        <v>1580</v>
      </c>
      <c r="E323" s="526" t="s">
        <v>1545</v>
      </c>
      <c r="F323" s="180"/>
      <c r="G323" s="432">
        <f t="shared" si="43"/>
        <v>6300000</v>
      </c>
      <c r="H323" s="524">
        <v>0</v>
      </c>
      <c r="I323" s="521">
        <v>6300000</v>
      </c>
      <c r="J323" s="521">
        <v>6300000</v>
      </c>
      <c r="K323" s="198"/>
      <c r="L323" s="198"/>
      <c r="M323" s="198"/>
    </row>
    <row r="324" spans="1:13" ht="138.75" hidden="1" thickTop="1" thickBot="1" x14ac:dyDescent="0.25">
      <c r="A324" s="119" t="s">
        <v>1120</v>
      </c>
      <c r="B324" s="119" t="s">
        <v>1086</v>
      </c>
      <c r="C324" s="119" t="s">
        <v>203</v>
      </c>
      <c r="D324" s="282" t="s">
        <v>1087</v>
      </c>
      <c r="E324" s="196" t="s">
        <v>1386</v>
      </c>
      <c r="F324" s="180" t="s">
        <v>1409</v>
      </c>
      <c r="G324" s="180">
        <f t="shared" si="42"/>
        <v>0</v>
      </c>
      <c r="H324" s="197">
        <f>'d3'!E348</f>
        <v>0</v>
      </c>
      <c r="I324" s="214">
        <f>'d3'!J348</f>
        <v>0</v>
      </c>
      <c r="J324" s="214">
        <f>'d3'!K348</f>
        <v>0</v>
      </c>
      <c r="K324" s="198"/>
      <c r="L324" s="198"/>
      <c r="M324" s="198"/>
    </row>
    <row r="325" spans="1:13" ht="184.5" thickTop="1" thickBot="1" x14ac:dyDescent="0.25">
      <c r="A325" s="94" t="s">
        <v>1598</v>
      </c>
      <c r="B325" s="94" t="s">
        <v>1494</v>
      </c>
      <c r="C325" s="94" t="s">
        <v>182</v>
      </c>
      <c r="D325" s="528" t="s">
        <v>1493</v>
      </c>
      <c r="E325" s="432" t="s">
        <v>1559</v>
      </c>
      <c r="F325" s="432"/>
      <c r="G325" s="432">
        <f t="shared" si="42"/>
        <v>500000</v>
      </c>
      <c r="H325" s="432">
        <v>0</v>
      </c>
      <c r="I325" s="432">
        <v>500000</v>
      </c>
      <c r="J325" s="432">
        <v>500000</v>
      </c>
      <c r="K325" s="198"/>
      <c r="L325" s="198"/>
      <c r="M325" s="198"/>
    </row>
    <row r="326" spans="1:13" ht="184.5" thickTop="1" thickBot="1" x14ac:dyDescent="0.25">
      <c r="A326" s="94" t="s">
        <v>1587</v>
      </c>
      <c r="B326" s="94" t="s">
        <v>1588</v>
      </c>
      <c r="C326" s="94" t="s">
        <v>179</v>
      </c>
      <c r="D326" s="528" t="s">
        <v>1586</v>
      </c>
      <c r="E326" s="526" t="s">
        <v>1545</v>
      </c>
      <c r="F326" s="180"/>
      <c r="G326" s="432">
        <f t="shared" si="43"/>
        <v>1000000</v>
      </c>
      <c r="H326" s="524">
        <v>0</v>
      </c>
      <c r="I326" s="521">
        <v>1000000</v>
      </c>
      <c r="J326" s="521">
        <v>1000000</v>
      </c>
      <c r="K326" s="198"/>
      <c r="L326" s="198"/>
      <c r="M326" s="198"/>
    </row>
    <row r="327" spans="1:13" ht="138.75" hidden="1" thickTop="1" thickBot="1" x14ac:dyDescent="0.25">
      <c r="A327" s="119" t="s">
        <v>1393</v>
      </c>
      <c r="B327" s="119" t="s">
        <v>1394</v>
      </c>
      <c r="C327" s="119" t="s">
        <v>179</v>
      </c>
      <c r="D327" s="282" t="s">
        <v>1392</v>
      </c>
      <c r="E327" s="196" t="s">
        <v>1386</v>
      </c>
      <c r="F327" s="180" t="s">
        <v>1409</v>
      </c>
      <c r="G327" s="180">
        <f t="shared" ref="G327" si="44">H327+I327</f>
        <v>0</v>
      </c>
      <c r="H327" s="197">
        <f>'d3'!E352</f>
        <v>0</v>
      </c>
      <c r="I327" s="214">
        <f>'d3'!J352</f>
        <v>0</v>
      </c>
      <c r="J327" s="214">
        <f>'d3'!K352</f>
        <v>0</v>
      </c>
      <c r="K327" s="198"/>
      <c r="L327" s="198"/>
      <c r="M327" s="198"/>
    </row>
    <row r="328" spans="1:13" ht="230.25" hidden="1" thickTop="1" thickBot="1" x14ac:dyDescent="0.25">
      <c r="A328" s="119" t="s">
        <v>425</v>
      </c>
      <c r="B328" s="119" t="s">
        <v>426</v>
      </c>
      <c r="C328" s="119" t="s">
        <v>192</v>
      </c>
      <c r="D328" s="119" t="s">
        <v>1068</v>
      </c>
      <c r="E328" s="196" t="s">
        <v>1386</v>
      </c>
      <c r="F328" s="180" t="s">
        <v>1409</v>
      </c>
      <c r="G328" s="180">
        <f>H328+I328</f>
        <v>0</v>
      </c>
      <c r="H328" s="180">
        <f>'d3'!E356</f>
        <v>0</v>
      </c>
      <c r="I328" s="180">
        <f>'d3'!J356</f>
        <v>0</v>
      </c>
      <c r="J328" s="180">
        <f>'d3'!K356</f>
        <v>0</v>
      </c>
      <c r="K328" s="130"/>
      <c r="L328" s="130"/>
      <c r="M328" s="130"/>
    </row>
    <row r="329" spans="1:13" ht="184.5" thickTop="1" thickBot="1" x14ac:dyDescent="0.25">
      <c r="A329" s="94" t="s">
        <v>1591</v>
      </c>
      <c r="B329" s="94" t="s">
        <v>1490</v>
      </c>
      <c r="C329" s="94" t="s">
        <v>192</v>
      </c>
      <c r="D329" s="94" t="s">
        <v>1592</v>
      </c>
      <c r="E329" s="526" t="s">
        <v>1545</v>
      </c>
      <c r="F329" s="180"/>
      <c r="G329" s="432">
        <f>H329+I329</f>
        <v>5000000</v>
      </c>
      <c r="H329" s="432">
        <v>0</v>
      </c>
      <c r="I329" s="432">
        <v>5000000</v>
      </c>
      <c r="J329" s="432">
        <v>5000000</v>
      </c>
      <c r="K329" s="130"/>
      <c r="L329" s="130"/>
      <c r="M329" s="130"/>
    </row>
    <row r="330" spans="1:13" ht="184.5" hidden="1" thickTop="1" thickBot="1" x14ac:dyDescent="0.25">
      <c r="A330" s="94" t="s">
        <v>1603</v>
      </c>
      <c r="B330" s="94" t="s">
        <v>1384</v>
      </c>
      <c r="C330" s="94" t="s">
        <v>1045</v>
      </c>
      <c r="D330" s="94" t="s">
        <v>1571</v>
      </c>
      <c r="E330" s="526" t="s">
        <v>1545</v>
      </c>
      <c r="F330" s="180"/>
      <c r="G330" s="432">
        <f>H330+I330</f>
        <v>0</v>
      </c>
      <c r="H330" s="432">
        <v>0</v>
      </c>
      <c r="I330" s="432">
        <v>0</v>
      </c>
      <c r="J330" s="432">
        <v>0</v>
      </c>
      <c r="K330" s="130"/>
      <c r="L330" s="130"/>
      <c r="M330" s="130"/>
    </row>
    <row r="331" spans="1:13" ht="138.75" hidden="1" thickTop="1" thickBot="1" x14ac:dyDescent="0.25">
      <c r="A331" s="119" t="s">
        <v>305</v>
      </c>
      <c r="B331" s="119" t="s">
        <v>306</v>
      </c>
      <c r="C331" s="119" t="s">
        <v>300</v>
      </c>
      <c r="D331" s="119" t="s">
        <v>1290</v>
      </c>
      <c r="E331" s="196" t="s">
        <v>1219</v>
      </c>
      <c r="F331" s="180" t="s">
        <v>1060</v>
      </c>
      <c r="G331" s="180">
        <f t="shared" ref="G331:G340" si="45">H331+I331</f>
        <v>0</v>
      </c>
      <c r="H331" s="180">
        <v>0</v>
      </c>
      <c r="I331" s="180">
        <v>0</v>
      </c>
      <c r="J331" s="180">
        <v>0</v>
      </c>
      <c r="K331" s="130"/>
      <c r="L331" s="130"/>
      <c r="M331" s="130"/>
    </row>
    <row r="332" spans="1:13" ht="138.75" hidden="1" thickTop="1" thickBot="1" x14ac:dyDescent="0.25">
      <c r="A332" s="119" t="s">
        <v>307</v>
      </c>
      <c r="B332" s="119" t="s">
        <v>308</v>
      </c>
      <c r="C332" s="119" t="s">
        <v>300</v>
      </c>
      <c r="D332" s="119" t="s">
        <v>1121</v>
      </c>
      <c r="E332" s="196" t="s">
        <v>1054</v>
      </c>
      <c r="F332" s="180" t="s">
        <v>1055</v>
      </c>
      <c r="G332" s="180">
        <f t="shared" si="45"/>
        <v>0</v>
      </c>
      <c r="H332" s="180"/>
      <c r="I332" s="180"/>
      <c r="J332" s="180">
        <f>I332</f>
        <v>0</v>
      </c>
      <c r="K332" s="130"/>
      <c r="L332" s="130"/>
      <c r="M332" s="130"/>
    </row>
    <row r="333" spans="1:13" ht="138.75" hidden="1" thickTop="1" thickBot="1" x14ac:dyDescent="0.25">
      <c r="A333" s="119" t="s">
        <v>309</v>
      </c>
      <c r="B333" s="119" t="s">
        <v>310</v>
      </c>
      <c r="C333" s="119" t="s">
        <v>300</v>
      </c>
      <c r="D333" s="119" t="s">
        <v>1292</v>
      </c>
      <c r="E333" s="196" t="s">
        <v>1147</v>
      </c>
      <c r="F333" s="180" t="s">
        <v>1148</v>
      </c>
      <c r="G333" s="180">
        <f t="shared" si="45"/>
        <v>0</v>
      </c>
      <c r="H333" s="180">
        <v>0</v>
      </c>
      <c r="I333" s="180">
        <v>0</v>
      </c>
      <c r="J333" s="180">
        <v>0</v>
      </c>
      <c r="K333" s="130"/>
      <c r="L333" s="130"/>
      <c r="M333" s="130"/>
    </row>
    <row r="334" spans="1:13" ht="184.5" hidden="1" thickTop="1" thickBot="1" x14ac:dyDescent="0.25">
      <c r="A334" s="119" t="s">
        <v>309</v>
      </c>
      <c r="B334" s="119" t="s">
        <v>310</v>
      </c>
      <c r="C334" s="119" t="s">
        <v>300</v>
      </c>
      <c r="D334" s="490" t="s">
        <v>1567</v>
      </c>
      <c r="E334" s="196" t="s">
        <v>1252</v>
      </c>
      <c r="F334" s="180" t="s">
        <v>1253</v>
      </c>
      <c r="G334" s="180">
        <f t="shared" si="45"/>
        <v>0</v>
      </c>
      <c r="H334" s="180">
        <v>0</v>
      </c>
      <c r="I334" s="180">
        <v>0</v>
      </c>
      <c r="J334" s="180">
        <v>0</v>
      </c>
      <c r="K334" s="130"/>
      <c r="L334" s="130"/>
      <c r="M334" s="130"/>
    </row>
    <row r="335" spans="1:13" ht="184.5" thickTop="1" thickBot="1" x14ac:dyDescent="0.25">
      <c r="A335" s="490" t="s">
        <v>309</v>
      </c>
      <c r="B335" s="490" t="s">
        <v>310</v>
      </c>
      <c r="C335" s="490" t="s">
        <v>167</v>
      </c>
      <c r="D335" s="490" t="s">
        <v>1567</v>
      </c>
      <c r="E335" s="526" t="s">
        <v>1545</v>
      </c>
      <c r="F335" s="180"/>
      <c r="G335" s="499">
        <f t="shared" si="45"/>
        <v>300000</v>
      </c>
      <c r="H335" s="499">
        <v>0</v>
      </c>
      <c r="I335" s="499">
        <v>300000</v>
      </c>
      <c r="J335" s="499">
        <v>300000</v>
      </c>
      <c r="K335" s="130"/>
      <c r="L335" s="130"/>
      <c r="M335" s="130"/>
    </row>
    <row r="336" spans="1:13" ht="184.5" thickTop="1" thickBot="1" x14ac:dyDescent="0.25">
      <c r="A336" s="490" t="s">
        <v>309</v>
      </c>
      <c r="B336" s="490" t="s">
        <v>310</v>
      </c>
      <c r="C336" s="490" t="s">
        <v>167</v>
      </c>
      <c r="D336" s="490" t="s">
        <v>1567</v>
      </c>
      <c r="E336" s="498" t="s">
        <v>1220</v>
      </c>
      <c r="F336" s="496" t="s">
        <v>417</v>
      </c>
      <c r="G336" s="499">
        <f t="shared" si="45"/>
        <v>10600000</v>
      </c>
      <c r="H336" s="499">
        <v>0</v>
      </c>
      <c r="I336" s="499">
        <f>10000000+600000</f>
        <v>10600000</v>
      </c>
      <c r="J336" s="499">
        <f>10000000+600000</f>
        <v>10600000</v>
      </c>
      <c r="K336" s="130"/>
      <c r="L336" s="130"/>
      <c r="M336" s="130"/>
    </row>
    <row r="337" spans="1:13" ht="138.75" hidden="1" thickTop="1" thickBot="1" x14ac:dyDescent="0.25">
      <c r="A337" s="119" t="s">
        <v>429</v>
      </c>
      <c r="B337" s="119" t="s">
        <v>344</v>
      </c>
      <c r="C337" s="119" t="s">
        <v>167</v>
      </c>
      <c r="D337" s="119" t="s">
        <v>258</v>
      </c>
      <c r="E337" s="196" t="s">
        <v>1040</v>
      </c>
      <c r="F337" s="180"/>
      <c r="G337" s="180">
        <f t="shared" si="45"/>
        <v>0</v>
      </c>
      <c r="H337" s="180">
        <f>'d3'!E365</f>
        <v>0</v>
      </c>
      <c r="I337" s="180">
        <f>'d3'!J365</f>
        <v>0</v>
      </c>
      <c r="J337" s="180">
        <f>'d3'!K365</f>
        <v>0</v>
      </c>
      <c r="K337" s="130"/>
      <c r="L337" s="130"/>
      <c r="M337" s="130"/>
    </row>
    <row r="338" spans="1:13" ht="230.25" hidden="1" thickTop="1" thickBot="1" x14ac:dyDescent="0.7">
      <c r="A338" s="741" t="s">
        <v>932</v>
      </c>
      <c r="B338" s="741" t="s">
        <v>332</v>
      </c>
      <c r="C338" s="741" t="s">
        <v>167</v>
      </c>
      <c r="D338" s="145" t="s">
        <v>432</v>
      </c>
      <c r="E338" s="741" t="s">
        <v>1040</v>
      </c>
      <c r="F338" s="741"/>
      <c r="G338" s="180">
        <f t="shared" si="45"/>
        <v>0</v>
      </c>
      <c r="H338" s="727">
        <f>'d3'!E368</f>
        <v>0</v>
      </c>
      <c r="I338" s="727">
        <f>'d3'!J368</f>
        <v>0</v>
      </c>
      <c r="J338" s="727">
        <f>'d3'!K368</f>
        <v>0</v>
      </c>
      <c r="K338" s="130"/>
      <c r="L338" s="130"/>
      <c r="M338" s="130"/>
    </row>
    <row r="339" spans="1:13" ht="138.75" hidden="1" thickTop="1" thickBot="1" x14ac:dyDescent="0.25">
      <c r="A339" s="741"/>
      <c r="B339" s="741"/>
      <c r="C339" s="741"/>
      <c r="D339" s="146" t="s">
        <v>433</v>
      </c>
      <c r="E339" s="741"/>
      <c r="F339" s="741"/>
      <c r="G339" s="180">
        <f t="shared" si="45"/>
        <v>0</v>
      </c>
      <c r="H339" s="742"/>
      <c r="I339" s="742"/>
      <c r="J339" s="742"/>
      <c r="K339" s="130"/>
      <c r="L339" s="130"/>
      <c r="M339" s="130"/>
    </row>
    <row r="340" spans="1:13" ht="138.75" hidden="1" thickTop="1" thickBot="1" x14ac:dyDescent="0.25">
      <c r="A340" s="119" t="s">
        <v>1079</v>
      </c>
      <c r="B340" s="119" t="s">
        <v>253</v>
      </c>
      <c r="C340" s="119" t="s">
        <v>167</v>
      </c>
      <c r="D340" s="146" t="s">
        <v>251</v>
      </c>
      <c r="E340" s="196" t="s">
        <v>1054</v>
      </c>
      <c r="F340" s="180" t="s">
        <v>1055</v>
      </c>
      <c r="G340" s="180">
        <f t="shared" si="45"/>
        <v>0</v>
      </c>
      <c r="H340" s="180"/>
      <c r="I340" s="180">
        <v>0</v>
      </c>
      <c r="J340" s="180">
        <v>0</v>
      </c>
      <c r="K340" s="130"/>
      <c r="L340" s="130"/>
      <c r="M340" s="130"/>
    </row>
    <row r="341" spans="1:13" ht="91.5" thickTop="1" thickBot="1" x14ac:dyDescent="0.25">
      <c r="A341" s="535" t="s">
        <v>157</v>
      </c>
      <c r="B341" s="535"/>
      <c r="C341" s="535"/>
      <c r="D341" s="536" t="s">
        <v>856</v>
      </c>
      <c r="E341" s="536"/>
      <c r="F341" s="536"/>
      <c r="G341" s="537">
        <f>G342</f>
        <v>600000</v>
      </c>
      <c r="H341" s="537">
        <f t="shared" ref="H341:J341" si="46">H342</f>
        <v>0</v>
      </c>
      <c r="I341" s="537">
        <f t="shared" si="46"/>
        <v>600000</v>
      </c>
      <c r="J341" s="537">
        <f t="shared" si="46"/>
        <v>600000</v>
      </c>
      <c r="K341" s="560" t="b">
        <f>H341='d3'!E372-'d3'!E374+H343</f>
        <v>1</v>
      </c>
      <c r="L341" s="560" t="b">
        <f>I341='d3'!J372-'d3'!J374+'d7'!I343</f>
        <v>1</v>
      </c>
      <c r="M341" s="560" t="b">
        <f>J341='d3'!K372-'d3'!K374+'d7'!J343</f>
        <v>1</v>
      </c>
    </row>
    <row r="342" spans="1:13" ht="170.45" customHeight="1" thickTop="1" thickBot="1" x14ac:dyDescent="0.25">
      <c r="A342" s="532" t="s">
        <v>158</v>
      </c>
      <c r="B342" s="532"/>
      <c r="C342" s="532"/>
      <c r="D342" s="533" t="s">
        <v>861</v>
      </c>
      <c r="E342" s="533"/>
      <c r="F342" s="533"/>
      <c r="G342" s="534">
        <f>SUM(G343:G348)</f>
        <v>600000</v>
      </c>
      <c r="H342" s="534">
        <f>SUM(H343:H348)</f>
        <v>0</v>
      </c>
      <c r="I342" s="534">
        <f>SUM(I343:I348)</f>
        <v>600000</v>
      </c>
      <c r="J342" s="534">
        <f>SUM(J343:J348)</f>
        <v>600000</v>
      </c>
      <c r="K342" s="130"/>
      <c r="L342" s="130"/>
      <c r="M342" s="130"/>
    </row>
    <row r="343" spans="1:13" ht="138.75" hidden="1" thickTop="1" thickBot="1" x14ac:dyDescent="0.25">
      <c r="A343" s="119" t="s">
        <v>411</v>
      </c>
      <c r="B343" s="119" t="s">
        <v>233</v>
      </c>
      <c r="C343" s="119" t="s">
        <v>231</v>
      </c>
      <c r="D343" s="119" t="s">
        <v>232</v>
      </c>
      <c r="E343" s="196" t="s">
        <v>967</v>
      </c>
      <c r="F343" s="180" t="s">
        <v>823</v>
      </c>
      <c r="G343" s="180">
        <f>H343+I343</f>
        <v>0</v>
      </c>
      <c r="H343" s="180">
        <v>0</v>
      </c>
      <c r="I343" s="180"/>
      <c r="J343" s="180"/>
      <c r="K343" s="130"/>
      <c r="L343" s="130"/>
      <c r="M343" s="130"/>
    </row>
    <row r="344" spans="1:13" ht="276" hidden="1" thickTop="1" thickBot="1" x14ac:dyDescent="0.25">
      <c r="A344" s="119" t="s">
        <v>609</v>
      </c>
      <c r="B344" s="119" t="s">
        <v>355</v>
      </c>
      <c r="C344" s="119" t="s">
        <v>603</v>
      </c>
      <c r="D344" s="119" t="s">
        <v>604</v>
      </c>
      <c r="E344" s="196" t="s">
        <v>1157</v>
      </c>
      <c r="F344" s="180" t="s">
        <v>1158</v>
      </c>
      <c r="G344" s="180">
        <f t="shared" ref="G344:G348" si="47">H344+I344</f>
        <v>0</v>
      </c>
      <c r="H344" s="197">
        <f>'d3'!E375</f>
        <v>0</v>
      </c>
      <c r="I344" s="214">
        <v>0</v>
      </c>
      <c r="J344" s="214">
        <v>0</v>
      </c>
      <c r="K344" s="130"/>
      <c r="L344" s="130"/>
      <c r="M344" s="130"/>
    </row>
    <row r="345" spans="1:13" ht="138.75" hidden="1" thickTop="1" thickBot="1" x14ac:dyDescent="0.25">
      <c r="A345" s="119" t="s">
        <v>1135</v>
      </c>
      <c r="B345" s="119" t="s">
        <v>43</v>
      </c>
      <c r="C345" s="119" t="s">
        <v>42</v>
      </c>
      <c r="D345" s="119" t="s">
        <v>244</v>
      </c>
      <c r="E345" s="196" t="s">
        <v>1296</v>
      </c>
      <c r="F345" s="180" t="s">
        <v>1310</v>
      </c>
      <c r="G345" s="180">
        <f t="shared" si="47"/>
        <v>0</v>
      </c>
      <c r="H345" s="197">
        <f>'d3'!E376</f>
        <v>0</v>
      </c>
      <c r="I345" s="214">
        <f>'d3'!J376</f>
        <v>0</v>
      </c>
      <c r="J345" s="214">
        <f>'d3'!K376</f>
        <v>0</v>
      </c>
      <c r="K345" s="130"/>
      <c r="L345" s="130"/>
      <c r="M345" s="130"/>
    </row>
    <row r="346" spans="1:13" ht="184.5" thickTop="1" thickBot="1" x14ac:dyDescent="0.25">
      <c r="A346" s="94" t="s">
        <v>1566</v>
      </c>
      <c r="B346" s="94" t="s">
        <v>310</v>
      </c>
      <c r="C346" s="94" t="s">
        <v>167</v>
      </c>
      <c r="D346" s="94" t="s">
        <v>1567</v>
      </c>
      <c r="E346" s="526" t="s">
        <v>1545</v>
      </c>
      <c r="F346" s="180"/>
      <c r="G346" s="432">
        <f t="shared" si="47"/>
        <v>500000</v>
      </c>
      <c r="H346" s="524">
        <v>0</v>
      </c>
      <c r="I346" s="521">
        <v>500000</v>
      </c>
      <c r="J346" s="521">
        <v>500000</v>
      </c>
      <c r="K346" s="130"/>
      <c r="L346" s="130"/>
      <c r="M346" s="130"/>
    </row>
    <row r="347" spans="1:13" ht="138.75" thickTop="1" thickBot="1" x14ac:dyDescent="0.25">
      <c r="A347" s="94" t="s">
        <v>873</v>
      </c>
      <c r="B347" s="94" t="s">
        <v>874</v>
      </c>
      <c r="C347" s="94" t="s">
        <v>300</v>
      </c>
      <c r="D347" s="94" t="s">
        <v>875</v>
      </c>
      <c r="E347" s="526" t="s">
        <v>1545</v>
      </c>
      <c r="F347" s="180"/>
      <c r="G347" s="432">
        <f t="shared" si="47"/>
        <v>100000</v>
      </c>
      <c r="H347" s="524">
        <f>'d3'!E380</f>
        <v>0</v>
      </c>
      <c r="I347" s="521">
        <f>'d3'!J380</f>
        <v>100000</v>
      </c>
      <c r="J347" s="521">
        <f>'d3'!K380</f>
        <v>100000</v>
      </c>
      <c r="K347" s="130"/>
      <c r="L347" s="130"/>
      <c r="M347" s="130"/>
    </row>
    <row r="348" spans="1:13" ht="138.75" hidden="1" thickTop="1" thickBot="1" x14ac:dyDescent="0.25">
      <c r="A348" s="94" t="s">
        <v>1396</v>
      </c>
      <c r="B348" s="94" t="s">
        <v>1398</v>
      </c>
      <c r="C348" s="94" t="s">
        <v>300</v>
      </c>
      <c r="D348" s="94" t="s">
        <v>1397</v>
      </c>
      <c r="E348" s="526" t="s">
        <v>1545</v>
      </c>
      <c r="F348" s="180"/>
      <c r="G348" s="432">
        <f t="shared" si="47"/>
        <v>0</v>
      </c>
      <c r="H348" s="524">
        <f>'d3'!E381</f>
        <v>0</v>
      </c>
      <c r="I348" s="521">
        <f>'d3'!J381</f>
        <v>0</v>
      </c>
      <c r="J348" s="521">
        <f>'d3'!K381</f>
        <v>0</v>
      </c>
      <c r="K348" s="130"/>
      <c r="L348" s="130"/>
      <c r="M348" s="130"/>
    </row>
    <row r="349" spans="1:13" ht="170.45" customHeight="1" thickTop="1" thickBot="1" x14ac:dyDescent="0.25">
      <c r="A349" s="535" t="s">
        <v>436</v>
      </c>
      <c r="B349" s="535"/>
      <c r="C349" s="535"/>
      <c r="D349" s="536" t="s">
        <v>438</v>
      </c>
      <c r="E349" s="536"/>
      <c r="F349" s="536"/>
      <c r="G349" s="537">
        <f>G350</f>
        <v>203373548.47999999</v>
      </c>
      <c r="H349" s="537">
        <f t="shared" ref="H349:J349" si="48">H350</f>
        <v>200373548.47999999</v>
      </c>
      <c r="I349" s="537">
        <f t="shared" si="48"/>
        <v>3000000</v>
      </c>
      <c r="J349" s="537">
        <f t="shared" si="48"/>
        <v>3000000</v>
      </c>
      <c r="K349" s="130"/>
      <c r="L349" s="130"/>
      <c r="M349" s="130"/>
    </row>
    <row r="350" spans="1:13" ht="170.45" customHeight="1" thickTop="1" thickBot="1" x14ac:dyDescent="0.25">
      <c r="A350" s="532" t="s">
        <v>437</v>
      </c>
      <c r="B350" s="532"/>
      <c r="C350" s="532"/>
      <c r="D350" s="533" t="s">
        <v>439</v>
      </c>
      <c r="E350" s="533"/>
      <c r="F350" s="533"/>
      <c r="G350" s="534">
        <f>SUM(G351:G362)</f>
        <v>203373548.47999999</v>
      </c>
      <c r="H350" s="534">
        <f t="shared" ref="H350" si="49">SUM(H351:H362)</f>
        <v>200373548.47999999</v>
      </c>
      <c r="I350" s="534">
        <f>SUM(I351:I362)</f>
        <v>3000000</v>
      </c>
      <c r="J350" s="534">
        <f>SUM(J351:J362)</f>
        <v>3000000</v>
      </c>
      <c r="K350" s="559" t="b">
        <f>H350='d3'!E383-'d3'!E385+'d7'!H351</f>
        <v>1</v>
      </c>
      <c r="L350" s="560" t="b">
        <f>I350='d3'!J383-'d3'!J385+'d7'!I351</f>
        <v>1</v>
      </c>
      <c r="M350" s="560" t="b">
        <f>J350='d3'!K383-'d3'!K385+'d7'!J351</f>
        <v>1</v>
      </c>
    </row>
    <row r="351" spans="1:13" ht="180.75" customHeight="1" thickTop="1" thickBot="1" x14ac:dyDescent="0.25">
      <c r="A351" s="490" t="s">
        <v>440</v>
      </c>
      <c r="B351" s="490" t="s">
        <v>233</v>
      </c>
      <c r="C351" s="490" t="s">
        <v>231</v>
      </c>
      <c r="D351" s="490" t="s">
        <v>1554</v>
      </c>
      <c r="E351" s="498" t="s">
        <v>1609</v>
      </c>
      <c r="F351" s="499" t="s">
        <v>823</v>
      </c>
      <c r="G351" s="499">
        <f>H351+I351</f>
        <v>55255</v>
      </c>
      <c r="H351" s="494">
        <v>55255</v>
      </c>
      <c r="I351" s="499">
        <v>0</v>
      </c>
      <c r="J351" s="499">
        <v>0</v>
      </c>
      <c r="K351" s="130"/>
      <c r="L351" s="130"/>
      <c r="M351" s="130"/>
    </row>
    <row r="352" spans="1:13" ht="276" hidden="1" thickTop="1" thickBot="1" x14ac:dyDescent="0.25">
      <c r="A352" s="119" t="s">
        <v>610</v>
      </c>
      <c r="B352" s="119" t="s">
        <v>355</v>
      </c>
      <c r="C352" s="119" t="s">
        <v>603</v>
      </c>
      <c r="D352" s="119" t="s">
        <v>604</v>
      </c>
      <c r="E352" s="196" t="s">
        <v>1157</v>
      </c>
      <c r="F352" s="180" t="s">
        <v>1158</v>
      </c>
      <c r="G352" s="180">
        <f t="shared" ref="G352:G356" si="50">H352+I352</f>
        <v>0</v>
      </c>
      <c r="H352" s="197">
        <f>'d3'!E386</f>
        <v>0</v>
      </c>
      <c r="I352" s="214">
        <f>'d3'!J386</f>
        <v>0</v>
      </c>
      <c r="J352" s="214">
        <f>'d3'!K386</f>
        <v>0</v>
      </c>
      <c r="K352" s="130"/>
      <c r="L352" s="130"/>
      <c r="M352" s="130"/>
    </row>
    <row r="353" spans="1:13" ht="184.5" thickTop="1" thickBot="1" x14ac:dyDescent="0.25">
      <c r="A353" s="94" t="s">
        <v>1607</v>
      </c>
      <c r="B353" s="94" t="s">
        <v>310</v>
      </c>
      <c r="C353" s="94" t="s">
        <v>167</v>
      </c>
      <c r="D353" s="94" t="s">
        <v>1567</v>
      </c>
      <c r="E353" s="526" t="s">
        <v>1605</v>
      </c>
      <c r="F353" s="180"/>
      <c r="G353" s="432">
        <f t="shared" si="50"/>
        <v>3000000</v>
      </c>
      <c r="H353" s="494">
        <v>0</v>
      </c>
      <c r="I353" s="553">
        <v>3000000</v>
      </c>
      <c r="J353" s="553">
        <v>3000000</v>
      </c>
      <c r="K353" s="130"/>
      <c r="L353" s="130"/>
      <c r="M353" s="130"/>
    </row>
    <row r="354" spans="1:13" ht="135" customHeight="1" thickTop="1" thickBot="1" x14ac:dyDescent="0.25">
      <c r="A354" s="94" t="s">
        <v>456</v>
      </c>
      <c r="B354" s="94" t="s">
        <v>404</v>
      </c>
      <c r="C354" s="94" t="s">
        <v>405</v>
      </c>
      <c r="D354" s="94" t="s">
        <v>406</v>
      </c>
      <c r="E354" s="94" t="s">
        <v>1604</v>
      </c>
      <c r="F354" s="180"/>
      <c r="G354" s="432">
        <f t="shared" si="50"/>
        <v>600000</v>
      </c>
      <c r="H354" s="524">
        <v>600000</v>
      </c>
      <c r="I354" s="521">
        <f>'d3'!J392</f>
        <v>0</v>
      </c>
      <c r="J354" s="521">
        <f>'d3'!K392</f>
        <v>0</v>
      </c>
      <c r="K354" s="559" t="b">
        <f>H354+H355='d3'!E392</f>
        <v>1</v>
      </c>
      <c r="L354" s="560" t="b">
        <f>I354+I355='d3'!J392</f>
        <v>1</v>
      </c>
      <c r="M354" s="560" t="b">
        <f>J354+J355='d3'!K392</f>
        <v>1</v>
      </c>
    </row>
    <row r="355" spans="1:13" ht="184.5" thickTop="1" thickBot="1" x14ac:dyDescent="0.25">
      <c r="A355" s="94" t="s">
        <v>456</v>
      </c>
      <c r="B355" s="94" t="s">
        <v>404</v>
      </c>
      <c r="C355" s="94" t="s">
        <v>405</v>
      </c>
      <c r="D355" s="94" t="s">
        <v>406</v>
      </c>
      <c r="E355" s="94" t="s">
        <v>1372</v>
      </c>
      <c r="F355" s="432" t="s">
        <v>1373</v>
      </c>
      <c r="G355" s="432">
        <f t="shared" si="50"/>
        <v>2000000</v>
      </c>
      <c r="H355" s="524">
        <v>2000000</v>
      </c>
      <c r="I355" s="521">
        <v>0</v>
      </c>
      <c r="J355" s="521">
        <v>0</v>
      </c>
      <c r="K355" s="130"/>
      <c r="L355" s="130"/>
      <c r="M355" s="130"/>
    </row>
    <row r="356" spans="1:13" ht="153" customHeight="1" thickTop="1" thickBot="1" x14ac:dyDescent="0.25">
      <c r="A356" s="94" t="s">
        <v>457</v>
      </c>
      <c r="B356" s="94" t="s">
        <v>287</v>
      </c>
      <c r="C356" s="94" t="s">
        <v>1191</v>
      </c>
      <c r="D356" s="94" t="s">
        <v>288</v>
      </c>
      <c r="E356" s="526" t="s">
        <v>1605</v>
      </c>
      <c r="F356" s="180"/>
      <c r="G356" s="432">
        <f t="shared" si="50"/>
        <v>197518293.47999999</v>
      </c>
      <c r="H356" s="524">
        <f>'d3'!E394</f>
        <v>197518293.47999999</v>
      </c>
      <c r="I356" s="521">
        <f>'d3'!J394</f>
        <v>0</v>
      </c>
      <c r="J356" s="521">
        <f>'d3'!K394</f>
        <v>0</v>
      </c>
      <c r="K356" s="130"/>
      <c r="L356" s="130"/>
      <c r="M356" s="130"/>
    </row>
    <row r="357" spans="1:13" ht="138.75" hidden="1" thickTop="1" thickBot="1" x14ac:dyDescent="0.25">
      <c r="A357" s="733" t="s">
        <v>1018</v>
      </c>
      <c r="B357" s="733" t="s">
        <v>1019</v>
      </c>
      <c r="C357" s="733" t="s">
        <v>291</v>
      </c>
      <c r="D357" s="733" t="s">
        <v>1017</v>
      </c>
      <c r="E357" s="196" t="s">
        <v>950</v>
      </c>
      <c r="F357" s="180" t="s">
        <v>477</v>
      </c>
      <c r="G357" s="821">
        <f>H357+I357</f>
        <v>0</v>
      </c>
      <c r="H357" s="868"/>
      <c r="I357" s="869">
        <v>0</v>
      </c>
      <c r="J357" s="869">
        <v>0</v>
      </c>
      <c r="K357" s="130"/>
      <c r="L357" s="130"/>
      <c r="M357" s="130"/>
    </row>
    <row r="358" spans="1:13" ht="138.75" hidden="1" thickTop="1" thickBot="1" x14ac:dyDescent="0.25">
      <c r="A358" s="740"/>
      <c r="B358" s="740" t="s">
        <v>1019</v>
      </c>
      <c r="C358" s="740"/>
      <c r="D358" s="740"/>
      <c r="E358" s="196" t="s">
        <v>1054</v>
      </c>
      <c r="F358" s="180" t="s">
        <v>1055</v>
      </c>
      <c r="G358" s="740"/>
      <c r="H358" s="740"/>
      <c r="I358" s="740"/>
      <c r="J358" s="740"/>
      <c r="K358" s="130"/>
      <c r="L358" s="130"/>
      <c r="M358" s="130"/>
    </row>
    <row r="359" spans="1:13" ht="138.75" hidden="1" thickTop="1" thickBot="1" x14ac:dyDescent="0.25">
      <c r="A359" s="119" t="s">
        <v>1064</v>
      </c>
      <c r="B359" s="119" t="s">
        <v>194</v>
      </c>
      <c r="C359" s="119" t="s">
        <v>167</v>
      </c>
      <c r="D359" s="119" t="s">
        <v>1065</v>
      </c>
      <c r="E359" s="196" t="s">
        <v>1236</v>
      </c>
      <c r="F359" s="180" t="s">
        <v>477</v>
      </c>
      <c r="G359" s="180">
        <f t="shared" ref="G359:G360" si="51">H359+I359</f>
        <v>0</v>
      </c>
      <c r="H359" s="197">
        <f>'d3'!E397-H360</f>
        <v>0</v>
      </c>
      <c r="I359" s="214">
        <v>0</v>
      </c>
      <c r="J359" s="214">
        <v>0</v>
      </c>
      <c r="K359" s="883" t="b">
        <f>H359+H360='d3'!E397</f>
        <v>1</v>
      </c>
      <c r="L359" s="884" t="b">
        <f>I359+I360='d3'!J397</f>
        <v>1</v>
      </c>
      <c r="M359" s="884" t="b">
        <f>J359+J360='d3'!K397</f>
        <v>1</v>
      </c>
    </row>
    <row r="360" spans="1:13" ht="138.75" hidden="1" thickTop="1" thickBot="1" x14ac:dyDescent="0.25">
      <c r="A360" s="119" t="s">
        <v>1064</v>
      </c>
      <c r="B360" s="119" t="s">
        <v>194</v>
      </c>
      <c r="C360" s="119" t="s">
        <v>167</v>
      </c>
      <c r="D360" s="119" t="s">
        <v>1065</v>
      </c>
      <c r="E360" s="196" t="s">
        <v>1343</v>
      </c>
      <c r="F360" s="180" t="s">
        <v>890</v>
      </c>
      <c r="G360" s="180">
        <f t="shared" si="51"/>
        <v>0</v>
      </c>
      <c r="H360" s="197"/>
      <c r="I360" s="214"/>
      <c r="J360" s="214"/>
      <c r="K360" s="883"/>
      <c r="L360" s="884"/>
      <c r="M360" s="884"/>
    </row>
    <row r="361" spans="1:13" ht="174.75" customHeight="1" thickTop="1" thickBot="1" x14ac:dyDescent="0.25">
      <c r="A361" s="94" t="s">
        <v>1106</v>
      </c>
      <c r="B361" s="94" t="s">
        <v>1107</v>
      </c>
      <c r="C361" s="94" t="s">
        <v>1074</v>
      </c>
      <c r="D361" s="94" t="s">
        <v>1108</v>
      </c>
      <c r="E361" s="94" t="s">
        <v>1604</v>
      </c>
      <c r="F361" s="180"/>
      <c r="G361" s="432">
        <f>H361+I361</f>
        <v>200000</v>
      </c>
      <c r="H361" s="524">
        <f>'d3'!E400</f>
        <v>200000</v>
      </c>
      <c r="I361" s="521">
        <f>'d3'!J400</f>
        <v>0</v>
      </c>
      <c r="J361" s="521">
        <f>'d3'!K400</f>
        <v>0</v>
      </c>
      <c r="K361" s="130"/>
      <c r="L361" s="130"/>
      <c r="M361" s="130"/>
    </row>
    <row r="362" spans="1:13" ht="138.75" hidden="1" thickTop="1" thickBot="1" x14ac:dyDescent="0.25">
      <c r="A362" s="119" t="s">
        <v>1170</v>
      </c>
      <c r="B362" s="119" t="s">
        <v>502</v>
      </c>
      <c r="C362" s="119" t="s">
        <v>43</v>
      </c>
      <c r="D362" s="119" t="s">
        <v>503</v>
      </c>
      <c r="E362" s="119" t="s">
        <v>1189</v>
      </c>
      <c r="F362" s="180" t="s">
        <v>1190</v>
      </c>
      <c r="G362" s="180">
        <f>H362+I362</f>
        <v>0</v>
      </c>
      <c r="H362" s="197">
        <v>0</v>
      </c>
      <c r="I362" s="214">
        <v>0</v>
      </c>
      <c r="J362" s="214">
        <v>0</v>
      </c>
      <c r="K362" s="130"/>
      <c r="L362" s="130"/>
      <c r="M362" s="130"/>
    </row>
    <row r="363" spans="1:13" ht="170.45" customHeight="1" thickTop="1" thickBot="1" x14ac:dyDescent="0.25">
      <c r="A363" s="535" t="s">
        <v>163</v>
      </c>
      <c r="B363" s="535"/>
      <c r="C363" s="535"/>
      <c r="D363" s="536" t="s">
        <v>347</v>
      </c>
      <c r="E363" s="536"/>
      <c r="F363" s="536"/>
      <c r="G363" s="537">
        <f>G364</f>
        <v>20515000</v>
      </c>
      <c r="H363" s="537">
        <f t="shared" ref="H363:J363" si="52">H364</f>
        <v>20515000</v>
      </c>
      <c r="I363" s="537">
        <f t="shared" si="52"/>
        <v>0</v>
      </c>
      <c r="J363" s="537">
        <f t="shared" si="52"/>
        <v>0</v>
      </c>
      <c r="K363" s="493" t="b">
        <f>H363='d3'!E404</f>
        <v>1</v>
      </c>
      <c r="L363" s="527" t="b">
        <f>I363='d3'!J403</f>
        <v>1</v>
      </c>
      <c r="M363" s="527" t="b">
        <f>J363='d3'!K403</f>
        <v>1</v>
      </c>
    </row>
    <row r="364" spans="1:13" ht="170.45" customHeight="1" thickTop="1" thickBot="1" x14ac:dyDescent="0.25">
      <c r="A364" s="532" t="s">
        <v>164</v>
      </c>
      <c r="B364" s="532"/>
      <c r="C364" s="532"/>
      <c r="D364" s="533" t="s">
        <v>348</v>
      </c>
      <c r="E364" s="533"/>
      <c r="F364" s="533"/>
      <c r="G364" s="534">
        <f>SUM(G365:G378)</f>
        <v>20515000</v>
      </c>
      <c r="H364" s="534">
        <f>SUM(H365:H378)</f>
        <v>20515000</v>
      </c>
      <c r="I364" s="534">
        <f>SUM(I365:I378)</f>
        <v>0</v>
      </c>
      <c r="J364" s="534">
        <f>SUM(J365:J378)</f>
        <v>0</v>
      </c>
      <c r="K364" s="130"/>
      <c r="L364" s="130"/>
      <c r="M364" s="130"/>
    </row>
    <row r="365" spans="1:13" ht="138.75" hidden="1" thickTop="1" thickBot="1" x14ac:dyDescent="0.25">
      <c r="A365" s="119" t="s">
        <v>1165</v>
      </c>
      <c r="B365" s="119" t="s">
        <v>1086</v>
      </c>
      <c r="C365" s="119" t="s">
        <v>203</v>
      </c>
      <c r="D365" s="282" t="s">
        <v>1087</v>
      </c>
      <c r="E365" s="180" t="s">
        <v>1050</v>
      </c>
      <c r="F365" s="180" t="s">
        <v>1160</v>
      </c>
      <c r="G365" s="197">
        <f t="shared" ref="G365:G370" si="53">H365+I365</f>
        <v>0</v>
      </c>
      <c r="H365" s="180">
        <f>'d3'!E406</f>
        <v>0</v>
      </c>
      <c r="I365" s="180">
        <f>'d3'!J406</f>
        <v>0</v>
      </c>
      <c r="J365" s="180">
        <f>'d3'!K406</f>
        <v>0</v>
      </c>
      <c r="K365" s="130"/>
      <c r="L365" s="130"/>
      <c r="M365" s="130"/>
    </row>
    <row r="366" spans="1:13" ht="138.75" thickTop="1" thickBot="1" x14ac:dyDescent="0.25">
      <c r="A366" s="94" t="s">
        <v>1347</v>
      </c>
      <c r="B366" s="94" t="s">
        <v>325</v>
      </c>
      <c r="C366" s="94" t="s">
        <v>188</v>
      </c>
      <c r="D366" s="528" t="s">
        <v>326</v>
      </c>
      <c r="E366" s="432" t="s">
        <v>1553</v>
      </c>
      <c r="F366" s="180"/>
      <c r="G366" s="524">
        <f t="shared" si="53"/>
        <v>3000000</v>
      </c>
      <c r="H366" s="432">
        <v>3000000</v>
      </c>
      <c r="I366" s="432">
        <f>'d3'!J407</f>
        <v>0</v>
      </c>
      <c r="J366" s="432">
        <f>'d3'!K407</f>
        <v>0</v>
      </c>
      <c r="K366" s="130"/>
      <c r="L366" s="130"/>
      <c r="M366" s="130"/>
    </row>
    <row r="367" spans="1:13" ht="168.75" customHeight="1" thickTop="1" thickBot="1" x14ac:dyDescent="0.25">
      <c r="A367" s="94" t="s">
        <v>946</v>
      </c>
      <c r="B367" s="94" t="s">
        <v>344</v>
      </c>
      <c r="C367" s="94" t="s">
        <v>167</v>
      </c>
      <c r="D367" s="94" t="s">
        <v>258</v>
      </c>
      <c r="E367" s="526" t="s">
        <v>1545</v>
      </c>
      <c r="F367" s="180"/>
      <c r="G367" s="524">
        <f t="shared" si="53"/>
        <v>50000</v>
      </c>
      <c r="H367" s="432">
        <v>50000</v>
      </c>
      <c r="I367" s="432">
        <v>0</v>
      </c>
      <c r="J367" s="432">
        <v>0</v>
      </c>
      <c r="K367" s="493" t="b">
        <f>H367+H368='d3'!E410</f>
        <v>1</v>
      </c>
      <c r="L367" s="527" t="b">
        <f>I367+I368='d3'!J410</f>
        <v>1</v>
      </c>
      <c r="M367" s="527" t="b">
        <f>J367+J368='d3'!K410</f>
        <v>1</v>
      </c>
    </row>
    <row r="368" spans="1:13" ht="186.75" customHeight="1" thickTop="1" thickBot="1" x14ac:dyDescent="0.25">
      <c r="A368" s="94" t="s">
        <v>946</v>
      </c>
      <c r="B368" s="94" t="s">
        <v>344</v>
      </c>
      <c r="C368" s="94" t="s">
        <v>167</v>
      </c>
      <c r="D368" s="94" t="s">
        <v>258</v>
      </c>
      <c r="E368" s="526" t="s">
        <v>1345</v>
      </c>
      <c r="F368" s="432" t="s">
        <v>1346</v>
      </c>
      <c r="G368" s="524">
        <f t="shared" si="53"/>
        <v>4900000</v>
      </c>
      <c r="H368" s="432">
        <v>4900000</v>
      </c>
      <c r="I368" s="432">
        <f>((0)+5000000-1000000)-4000000</f>
        <v>0</v>
      </c>
      <c r="J368" s="432">
        <f>((0)+5000000-1000000)-4000000</f>
        <v>0</v>
      </c>
      <c r="K368" s="195"/>
      <c r="L368" s="202"/>
      <c r="M368" s="202"/>
    </row>
    <row r="369" spans="1:13" ht="204.75" customHeight="1" thickTop="1" thickBot="1" x14ac:dyDescent="0.25">
      <c r="A369" s="94" t="s">
        <v>256</v>
      </c>
      <c r="B369" s="94" t="s">
        <v>257</v>
      </c>
      <c r="C369" s="94" t="s">
        <v>255</v>
      </c>
      <c r="D369" s="94" t="s">
        <v>254</v>
      </c>
      <c r="E369" s="526" t="s">
        <v>1550</v>
      </c>
      <c r="F369" s="180"/>
      <c r="G369" s="524">
        <f t="shared" si="53"/>
        <v>8000000</v>
      </c>
      <c r="H369" s="432">
        <f>(((2000000)+6000000-2000000)+1000000)+1000000</f>
        <v>8000000</v>
      </c>
      <c r="I369" s="432">
        <v>0</v>
      </c>
      <c r="J369" s="432">
        <v>0</v>
      </c>
      <c r="K369" s="195"/>
      <c r="L369" s="202"/>
      <c r="M369" s="202"/>
    </row>
    <row r="370" spans="1:13" ht="177.75" customHeight="1" thickTop="1" thickBot="1" x14ac:dyDescent="0.25">
      <c r="A370" s="94" t="s">
        <v>256</v>
      </c>
      <c r="B370" s="94" t="s">
        <v>257</v>
      </c>
      <c r="C370" s="94" t="s">
        <v>255</v>
      </c>
      <c r="D370" s="94" t="s">
        <v>254</v>
      </c>
      <c r="E370" s="526" t="s">
        <v>1551</v>
      </c>
      <c r="F370" s="180"/>
      <c r="G370" s="524">
        <f t="shared" si="53"/>
        <v>4565000</v>
      </c>
      <c r="H370" s="432">
        <v>4565000</v>
      </c>
      <c r="I370" s="432">
        <v>0</v>
      </c>
      <c r="J370" s="432">
        <v>0</v>
      </c>
      <c r="K370" s="493" t="b">
        <f>H370+H371+H369='d3'!E412</f>
        <v>1</v>
      </c>
      <c r="L370" s="527" t="b">
        <f>I370+I371+I369='d3'!J412</f>
        <v>1</v>
      </c>
      <c r="M370" s="527" t="b">
        <f>J370+J371+J369='d3'!K412</f>
        <v>1</v>
      </c>
    </row>
    <row r="371" spans="1:13" ht="138.75" hidden="1" thickTop="1" thickBot="1" x14ac:dyDescent="0.25">
      <c r="A371" s="119" t="s">
        <v>256</v>
      </c>
      <c r="B371" s="119" t="s">
        <v>257</v>
      </c>
      <c r="C371" s="119" t="s">
        <v>255</v>
      </c>
      <c r="D371" s="119" t="s">
        <v>254</v>
      </c>
      <c r="E371" s="196" t="s">
        <v>1220</v>
      </c>
      <c r="F371" s="142" t="s">
        <v>417</v>
      </c>
      <c r="G371" s="197">
        <f t="shared" ref="G371:G378" si="54">H371+I371</f>
        <v>0</v>
      </c>
      <c r="H371" s="180">
        <v>0</v>
      </c>
      <c r="I371" s="180">
        <v>0</v>
      </c>
      <c r="J371" s="180">
        <v>0</v>
      </c>
      <c r="K371" s="130"/>
      <c r="L371" s="130"/>
      <c r="M371" s="202"/>
    </row>
    <row r="372" spans="1:13" ht="138.75" hidden="1" thickTop="1" thickBot="1" x14ac:dyDescent="0.25">
      <c r="A372" s="119" t="s">
        <v>248</v>
      </c>
      <c r="B372" s="119" t="s">
        <v>250</v>
      </c>
      <c r="C372" s="119" t="s">
        <v>210</v>
      </c>
      <c r="D372" s="119" t="s">
        <v>249</v>
      </c>
      <c r="E372" s="180" t="s">
        <v>1139</v>
      </c>
      <c r="F372" s="180" t="s">
        <v>828</v>
      </c>
      <c r="G372" s="197">
        <f t="shared" si="54"/>
        <v>0</v>
      </c>
      <c r="H372" s="180"/>
      <c r="I372" s="180">
        <v>0</v>
      </c>
      <c r="J372" s="180">
        <v>0</v>
      </c>
      <c r="K372" s="195" t="b">
        <f>H372='d3'!E413</f>
        <v>1</v>
      </c>
      <c r="L372" s="202" t="b">
        <f>I372='d3'!J413</f>
        <v>1</v>
      </c>
      <c r="M372" s="202" t="b">
        <f>J372='d3'!K413</f>
        <v>1</v>
      </c>
    </row>
    <row r="373" spans="1:13" ht="138.75" hidden="1" thickTop="1" thickBot="1" x14ac:dyDescent="0.25">
      <c r="A373" s="119" t="s">
        <v>1159</v>
      </c>
      <c r="B373" s="119" t="s">
        <v>209</v>
      </c>
      <c r="C373" s="119" t="s">
        <v>210</v>
      </c>
      <c r="D373" s="119" t="s">
        <v>41</v>
      </c>
      <c r="E373" s="180" t="s">
        <v>1050</v>
      </c>
      <c r="F373" s="180" t="s">
        <v>1160</v>
      </c>
      <c r="G373" s="197">
        <f t="shared" si="54"/>
        <v>0</v>
      </c>
      <c r="H373" s="180">
        <f>'d3'!E414</f>
        <v>0</v>
      </c>
      <c r="I373" s="180">
        <f>'d3'!J414</f>
        <v>0</v>
      </c>
      <c r="J373" s="180">
        <f>'d3'!K414</f>
        <v>0</v>
      </c>
      <c r="K373" s="195"/>
      <c r="L373" s="202"/>
      <c r="M373" s="202"/>
    </row>
    <row r="374" spans="1:13" ht="138.75" hidden="1" thickTop="1" thickBot="1" x14ac:dyDescent="0.25">
      <c r="A374" s="119" t="s">
        <v>252</v>
      </c>
      <c r="B374" s="119" t="s">
        <v>253</v>
      </c>
      <c r="C374" s="119" t="s">
        <v>167</v>
      </c>
      <c r="D374" s="119" t="s">
        <v>251</v>
      </c>
      <c r="E374" s="180" t="s">
        <v>1050</v>
      </c>
      <c r="F374" s="180" t="s">
        <v>567</v>
      </c>
      <c r="G374" s="197">
        <f t="shared" si="54"/>
        <v>0</v>
      </c>
      <c r="H374" s="180"/>
      <c r="I374" s="180"/>
      <c r="J374" s="180"/>
    </row>
    <row r="375" spans="1:13" ht="138.75" hidden="1" thickTop="1" thickBot="1" x14ac:dyDescent="0.25">
      <c r="A375" s="39" t="s">
        <v>252</v>
      </c>
      <c r="B375" s="39" t="s">
        <v>253</v>
      </c>
      <c r="C375" s="39" t="s">
        <v>167</v>
      </c>
      <c r="D375" s="39" t="s">
        <v>251</v>
      </c>
      <c r="E375" s="199" t="s">
        <v>901</v>
      </c>
      <c r="F375" s="71" t="s">
        <v>902</v>
      </c>
      <c r="G375" s="200">
        <f t="shared" si="54"/>
        <v>0</v>
      </c>
      <c r="H375" s="71">
        <v>0</v>
      </c>
      <c r="I375" s="71">
        <v>0</v>
      </c>
      <c r="J375" s="71">
        <v>0</v>
      </c>
      <c r="K375" s="195"/>
      <c r="L375" s="202"/>
      <c r="M375" s="203"/>
    </row>
    <row r="376" spans="1:13" ht="195.75" hidden="1" customHeight="1" thickTop="1" thickBot="1" x14ac:dyDescent="0.25">
      <c r="A376" s="119" t="s">
        <v>252</v>
      </c>
      <c r="B376" s="119" t="s">
        <v>253</v>
      </c>
      <c r="C376" s="119" t="s">
        <v>167</v>
      </c>
      <c r="D376" s="119" t="s">
        <v>251</v>
      </c>
      <c r="E376" s="196" t="s">
        <v>1386</v>
      </c>
      <c r="F376" s="180" t="s">
        <v>1409</v>
      </c>
      <c r="G376" s="197">
        <f t="shared" si="54"/>
        <v>0</v>
      </c>
      <c r="H376" s="180"/>
      <c r="I376" s="180">
        <v>0</v>
      </c>
      <c r="J376" s="180">
        <v>0</v>
      </c>
      <c r="K376" s="195" t="b">
        <f>'d3'!E416=H374+H375+H376</f>
        <v>1</v>
      </c>
      <c r="L376" s="202" t="b">
        <f>'d3'!J416=I374+I375+I376</f>
        <v>1</v>
      </c>
      <c r="M376" s="202" t="b">
        <f>'d3'!K416=J374+J375+J376</f>
        <v>1</v>
      </c>
    </row>
    <row r="377" spans="1:13" ht="138.75" hidden="1" thickTop="1" thickBot="1" x14ac:dyDescent="0.25">
      <c r="A377" s="119" t="s">
        <v>1163</v>
      </c>
      <c r="B377" s="119" t="s">
        <v>1076</v>
      </c>
      <c r="C377" s="119" t="s">
        <v>1074</v>
      </c>
      <c r="D377" s="119" t="s">
        <v>1073</v>
      </c>
      <c r="E377" s="180" t="s">
        <v>1050</v>
      </c>
      <c r="F377" s="180" t="s">
        <v>1160</v>
      </c>
      <c r="G377" s="197">
        <f t="shared" ref="G377" si="55">H377+I377</f>
        <v>0</v>
      </c>
      <c r="H377" s="180">
        <f>'d3'!E419</f>
        <v>0</v>
      </c>
      <c r="I377" s="180">
        <f>'d3'!J419</f>
        <v>0</v>
      </c>
      <c r="J377" s="180">
        <f>'d3'!K419</f>
        <v>0</v>
      </c>
      <c r="K377" s="195"/>
      <c r="L377" s="202"/>
      <c r="M377" s="203"/>
    </row>
    <row r="378" spans="1:13" ht="138.75" hidden="1" thickTop="1" thickBot="1" x14ac:dyDescent="0.25">
      <c r="A378" s="119" t="s">
        <v>870</v>
      </c>
      <c r="B378" s="119" t="s">
        <v>356</v>
      </c>
      <c r="C378" s="119" t="s">
        <v>43</v>
      </c>
      <c r="D378" s="119" t="s">
        <v>357</v>
      </c>
      <c r="E378" s="196" t="s">
        <v>1147</v>
      </c>
      <c r="F378" s="180" t="s">
        <v>1148</v>
      </c>
      <c r="G378" s="197">
        <f t="shared" si="54"/>
        <v>0</v>
      </c>
      <c r="H378" s="180">
        <f>'d3'!E422</f>
        <v>0</v>
      </c>
      <c r="I378" s="180">
        <f>'d3'!J422</f>
        <v>0</v>
      </c>
      <c r="J378" s="180">
        <f>'d3'!K422</f>
        <v>0</v>
      </c>
      <c r="K378" s="195"/>
      <c r="L378" s="202"/>
      <c r="M378" s="203"/>
    </row>
    <row r="379" spans="1:13" ht="200.1" customHeight="1" thickTop="1" thickBot="1" x14ac:dyDescent="0.25">
      <c r="A379" s="535" t="s">
        <v>161</v>
      </c>
      <c r="B379" s="535"/>
      <c r="C379" s="535"/>
      <c r="D379" s="536" t="s">
        <v>851</v>
      </c>
      <c r="E379" s="536"/>
      <c r="F379" s="536"/>
      <c r="G379" s="537">
        <f>G380</f>
        <v>3000000</v>
      </c>
      <c r="H379" s="537">
        <f t="shared" ref="H379:J379" si="56">H380</f>
        <v>500000</v>
      </c>
      <c r="I379" s="537">
        <f t="shared" si="56"/>
        <v>2500000</v>
      </c>
      <c r="J379" s="537">
        <f t="shared" si="56"/>
        <v>0</v>
      </c>
      <c r="K379" s="559" t="b">
        <f>H379='d3'!E424-'d3'!E426+H381</f>
        <v>1</v>
      </c>
      <c r="L379" s="560" t="b">
        <f>I379='d3'!J424-'d3'!J426+'d7'!I381</f>
        <v>1</v>
      </c>
      <c r="M379" s="560" t="b">
        <f>J379='d3'!K424-'d3'!K426+'d7'!J381</f>
        <v>1</v>
      </c>
    </row>
    <row r="380" spans="1:13" ht="196.5" customHeight="1" thickTop="1" thickBot="1" x14ac:dyDescent="0.25">
      <c r="A380" s="532" t="s">
        <v>162</v>
      </c>
      <c r="B380" s="532"/>
      <c r="C380" s="532"/>
      <c r="D380" s="533" t="s">
        <v>852</v>
      </c>
      <c r="E380" s="533"/>
      <c r="F380" s="533"/>
      <c r="G380" s="534">
        <f>SUM(G381:G385)</f>
        <v>3000000</v>
      </c>
      <c r="H380" s="534">
        <f>SUM(H381:H385)</f>
        <v>500000</v>
      </c>
      <c r="I380" s="534">
        <f>SUM(I381:I385)</f>
        <v>2500000</v>
      </c>
      <c r="J380" s="534">
        <f>SUM(J381:J385)</f>
        <v>0</v>
      </c>
      <c r="K380" s="130"/>
      <c r="L380" s="130"/>
      <c r="M380" s="130"/>
    </row>
    <row r="381" spans="1:13" ht="138.75" hidden="1" thickTop="1" thickBot="1" x14ac:dyDescent="0.25">
      <c r="A381" s="119" t="s">
        <v>414</v>
      </c>
      <c r="B381" s="119" t="s">
        <v>233</v>
      </c>
      <c r="C381" s="119" t="s">
        <v>231</v>
      </c>
      <c r="D381" s="119" t="s">
        <v>232</v>
      </c>
      <c r="E381" s="196" t="s">
        <v>967</v>
      </c>
      <c r="F381" s="180" t="s">
        <v>823</v>
      </c>
      <c r="G381" s="180">
        <f>H381+I381</f>
        <v>0</v>
      </c>
      <c r="H381" s="197">
        <v>0</v>
      </c>
      <c r="I381" s="180"/>
      <c r="J381" s="180"/>
      <c r="K381" s="130"/>
      <c r="L381" s="130"/>
      <c r="M381" s="130"/>
    </row>
    <row r="382" spans="1:13" ht="276" hidden="1" thickTop="1" thickBot="1" x14ac:dyDescent="0.25">
      <c r="A382" s="119" t="s">
        <v>611</v>
      </c>
      <c r="B382" s="119" t="s">
        <v>355</v>
      </c>
      <c r="C382" s="119" t="s">
        <v>603</v>
      </c>
      <c r="D382" s="119" t="s">
        <v>604</v>
      </c>
      <c r="E382" s="206" t="s">
        <v>847</v>
      </c>
      <c r="F382" s="207" t="s">
        <v>848</v>
      </c>
      <c r="G382" s="180">
        <f t="shared" ref="G382" si="57">H382+I382</f>
        <v>0</v>
      </c>
      <c r="H382" s="197">
        <f>'d3'!E427</f>
        <v>0</v>
      </c>
      <c r="I382" s="214"/>
      <c r="J382" s="214"/>
      <c r="K382" s="130"/>
      <c r="L382" s="130"/>
      <c r="M382" s="130"/>
    </row>
    <row r="383" spans="1:13" ht="135" customHeight="1" thickTop="1" thickBot="1" x14ac:dyDescent="0.25">
      <c r="A383" s="94" t="s">
        <v>1034</v>
      </c>
      <c r="B383" s="94" t="s">
        <v>1035</v>
      </c>
      <c r="C383" s="94" t="s">
        <v>51</v>
      </c>
      <c r="D383" s="94" t="s">
        <v>1036</v>
      </c>
      <c r="E383" s="526" t="s">
        <v>1610</v>
      </c>
      <c r="F383" s="432"/>
      <c r="G383" s="524">
        <f t="shared" ref="G383:G385" si="58">H383+I383</f>
        <v>2500000</v>
      </c>
      <c r="H383" s="432">
        <f>'d3'!E430</f>
        <v>0</v>
      </c>
      <c r="I383" s="432">
        <v>2500000</v>
      </c>
      <c r="J383" s="432">
        <f>'d3'!K430</f>
        <v>0</v>
      </c>
      <c r="K383" s="493" t="b">
        <f>H383+H384='d3'!E430</f>
        <v>1</v>
      </c>
      <c r="L383" s="493" t="b">
        <f>I383+I384='d3'!J430</f>
        <v>1</v>
      </c>
      <c r="M383" s="493" t="b">
        <f>J383+J384='d3'!K430</f>
        <v>1</v>
      </c>
    </row>
    <row r="384" spans="1:13" ht="138.75" hidden="1" thickTop="1" thickBot="1" x14ac:dyDescent="0.25">
      <c r="A384" s="119" t="s">
        <v>1034</v>
      </c>
      <c r="B384" s="119" t="s">
        <v>1035</v>
      </c>
      <c r="C384" s="119" t="s">
        <v>51</v>
      </c>
      <c r="D384" s="119" t="s">
        <v>1036</v>
      </c>
      <c r="E384" s="196" t="s">
        <v>1142</v>
      </c>
      <c r="F384" s="180" t="s">
        <v>1129</v>
      </c>
      <c r="G384" s="197">
        <f t="shared" si="58"/>
        <v>0</v>
      </c>
      <c r="H384" s="180"/>
      <c r="I384" s="180"/>
      <c r="J384" s="180"/>
      <c r="K384" s="130"/>
      <c r="L384" s="130"/>
      <c r="M384" s="130"/>
    </row>
    <row r="385" spans="1:16" ht="294.75" customHeight="1" thickTop="1" thickBot="1" x14ac:dyDescent="0.25">
      <c r="A385" s="94" t="s">
        <v>1127</v>
      </c>
      <c r="B385" s="94" t="s">
        <v>502</v>
      </c>
      <c r="C385" s="94" t="s">
        <v>43</v>
      </c>
      <c r="D385" s="94" t="s">
        <v>503</v>
      </c>
      <c r="E385" s="524" t="s">
        <v>1581</v>
      </c>
      <c r="F385" s="180"/>
      <c r="G385" s="524">
        <f t="shared" si="58"/>
        <v>500000</v>
      </c>
      <c r="H385" s="432">
        <f>'d3'!E432</f>
        <v>500000</v>
      </c>
      <c r="I385" s="432">
        <f>'d3'!J432</f>
        <v>0</v>
      </c>
      <c r="J385" s="432">
        <f>'d3'!K432</f>
        <v>0</v>
      </c>
      <c r="K385" s="130"/>
      <c r="L385" s="130"/>
      <c r="M385" s="130"/>
    </row>
    <row r="386" spans="1:16" ht="200.1" customHeight="1" thickTop="1" thickBot="1" x14ac:dyDescent="0.25">
      <c r="A386" s="535" t="s">
        <v>159</v>
      </c>
      <c r="B386" s="535"/>
      <c r="C386" s="535"/>
      <c r="D386" s="536" t="s">
        <v>862</v>
      </c>
      <c r="E386" s="536"/>
      <c r="F386" s="536"/>
      <c r="G386" s="537">
        <f>G387</f>
        <v>400000</v>
      </c>
      <c r="H386" s="537">
        <f t="shared" ref="H386:J386" si="59">H387</f>
        <v>400000</v>
      </c>
      <c r="I386" s="537">
        <f t="shared" si="59"/>
        <v>0</v>
      </c>
      <c r="J386" s="537">
        <f t="shared" si="59"/>
        <v>0</v>
      </c>
      <c r="K386" s="559" t="b">
        <f>H386='d3'!E434-'d3'!E436+H388</f>
        <v>1</v>
      </c>
      <c r="L386" s="560" t="b">
        <f>I386='d3'!J434-'d3'!J436+I388</f>
        <v>1</v>
      </c>
      <c r="M386" s="560" t="b">
        <f>J386='d3'!K434-'d3'!K436+J388</f>
        <v>1</v>
      </c>
    </row>
    <row r="387" spans="1:16" ht="199.5" customHeight="1" thickTop="1" thickBot="1" x14ac:dyDescent="0.25">
      <c r="A387" s="532" t="s">
        <v>160</v>
      </c>
      <c r="B387" s="532"/>
      <c r="C387" s="532"/>
      <c r="D387" s="533" t="s">
        <v>863</v>
      </c>
      <c r="E387" s="533"/>
      <c r="F387" s="533"/>
      <c r="G387" s="534">
        <f>SUM(G388:G391)</f>
        <v>400000</v>
      </c>
      <c r="H387" s="534">
        <f>SUM(H388:H391)</f>
        <v>400000</v>
      </c>
      <c r="I387" s="534">
        <f>SUM(I388:I391)</f>
        <v>0</v>
      </c>
      <c r="J387" s="534">
        <f>SUM(J388:J391)</f>
        <v>0</v>
      </c>
      <c r="K387" s="130"/>
      <c r="L387" s="130"/>
      <c r="M387" s="130"/>
    </row>
    <row r="388" spans="1:16" ht="138.75" hidden="1" thickTop="1" thickBot="1" x14ac:dyDescent="0.25">
      <c r="A388" s="119" t="s">
        <v>410</v>
      </c>
      <c r="B388" s="119" t="s">
        <v>233</v>
      </c>
      <c r="C388" s="119" t="s">
        <v>231</v>
      </c>
      <c r="D388" s="119" t="s">
        <v>232</v>
      </c>
      <c r="E388" s="196" t="s">
        <v>967</v>
      </c>
      <c r="F388" s="180" t="s">
        <v>823</v>
      </c>
      <c r="G388" s="180">
        <f>H388+I388</f>
        <v>0</v>
      </c>
      <c r="H388" s="197"/>
      <c r="I388" s="180"/>
      <c r="J388" s="180"/>
      <c r="K388" s="130"/>
      <c r="L388" s="130"/>
      <c r="M388" s="130"/>
    </row>
    <row r="389" spans="1:16" ht="138.75" thickTop="1" thickBot="1" x14ac:dyDescent="1.2">
      <c r="A389" s="94" t="s">
        <v>302</v>
      </c>
      <c r="B389" s="94" t="s">
        <v>303</v>
      </c>
      <c r="C389" s="94" t="s">
        <v>304</v>
      </c>
      <c r="D389" s="94" t="s">
        <v>451</v>
      </c>
      <c r="E389" s="526" t="s">
        <v>1545</v>
      </c>
      <c r="F389" s="180"/>
      <c r="G389" s="524">
        <f t="shared" ref="G389:G391" si="60">H389+I389</f>
        <v>400000</v>
      </c>
      <c r="H389" s="432">
        <v>400000</v>
      </c>
      <c r="I389" s="432">
        <f>'d3'!J439</f>
        <v>0</v>
      </c>
      <c r="J389" s="432">
        <f>'d3'!K439</f>
        <v>0</v>
      </c>
      <c r="K389" s="636" t="b">
        <f>G398=G397+G389+G385+G383+G370+G369+G368+G367+G366+G361+G356+G355+G354+G353+G351+G347+G346+G336+G335+G329+G326+G325+G323+G322+G316+G314+G313+G299+G293+G289+G288+G287+G286+G283+G282+G281+G278+G276+G274+G273+G267+G254+G253+G251+G249+G247+G243+G242+G241+G234+G230+G228+G227+G226+G224+G222+G221+G220+G219+G218+G216+G209+G208+G207+G206+G205+G204+G201+G199+G196+G194+G190+G188+G187+G186+G185+G184+G183+G182+G181+G180+G178+G177+G176+G175+G174+G173+G172+G171+G170+G169+G168+G166+G165+G163+G161+G160+G159+G158+G157+G156+G155+G154+G153+G152+G139+G137+G134+G133+G131+G127+G126+G125+G123+G114+G112+G110+G107+G106+G89+G87+G85+G84+G80+G77+G73+G71+G67+G64+G60+G53+G52+G51+G49+G47+G46+G45+G44+G43+G40+G39+G38+G37+G35+G33+G31+G27+G25+G24+G17+G396+G50+G54</f>
        <v>1</v>
      </c>
      <c r="L389" s="636" t="b">
        <f>H398=H397+H389+H385+H383+H370+H369+H368+H367+H366+H361+H356+H355+H354+H353+H351+H347+H346+H336+H335+H329+H326+H325+H323+H322+H316+H314+H313+H299+H293+H289+H288+H287+H286+H283+H282+H281+H278+H276+H274+H273+H267+H254+H253+H251+H249+H247+H243+H242+H241+H234+H230+H228+H227+H226+H224+H222+H221+H220+H219+H218+H216+H209+H208+H207+H206+H205+H204+H201+H199+H196+H194+H190+H188+H187+H186+H185+H184+H183+H182+H181+H180+H178+H177+H176+H175+H174+H173+H172+H171+H170+H169+H168+H166+H165+H163+H161+H160+H159+H158+H157+H156+H155+H154+H153+H152+H139+H137+H134+H133+H131+H127+H126+H125+H123+H114+H112+H110+H107+H106+H89+H87+H85+H84+H80+H77+H73+H71+H67+H64+H60+H53+H52+H51+H49+H47+H46+H45+H44+H43+H40+H39+H38+H37+H35+H33+H31+H27+H25+H24+H17+H396+H50+H54</f>
        <v>1</v>
      </c>
      <c r="M389" s="636" t="b">
        <f>I398=I397+I389+I385+I383+I370+I369+I368+I367+I366+I361+I356+I355+I354+I353+I351+I347+I346+I336+I335+I329+I326+I325+I323+I322+I316+I314+I313+I299+I293+I289+I288+I287+I286+I283+I282+I281+I278+I276+I274+I273+I267+I254+I253+I251+I249+I247+I243+I242+I241+I234+I230+I228+I227+I226+I224+I222+I221+I220+I219+I218+I216+I209+I208+I207+I206+I205+I204+I201+I199+I196+I194+I190+I188+I187+I186+I185+I184+I183+I182+I181+I180+I178+I177+I176+I175+I174+I173+I172+I171+I170+I169+I168+I166+I165+I163+I161+I160+I159+I158+I157+I156+I155+I154+I153+I152+I139+I137+I134+I133+I131+I127+I126+I125+I123+I114+I112+I110+I107+I106+I89+I87+I85+I84+I80+I77+I73+I71+I67+I64+I60+I53+I52+I51+I49+I47+I46+I45+I44+I43+I40+I39+I38+I37+I35+I33+I31+I27+I25+I24+I17+I396+I50+I54</f>
        <v>1</v>
      </c>
      <c r="N389" s="636" t="b">
        <f>J398=J397+J389+J385+J383+J370+J369+J368+J367+J366+J361+J356+J355+J354+J353+J351+J347+J346+J336+J335+J329+J326+J325+J323+J322+J316+J314+J313+J299+J293+J289+J288+J287+J286+J283+J282+J281+J278+J276+J274+J273+J267+J254+J253+J251+J249+J247+J243+J242+J241+J234+J230+J228+J227+J226+J224+J222+J221+J220+J219+J218+J216+J209+J208+J207+J206+J205+J204+J201+J199+J196+J194+J190+J188+J187+J186+J185+J184+J183+J182+J181+J180+J178+J177+J176+J175+J174+J173+J172+J171+J170+J169+J168+J166+J165+J163+J161+J160+J159+J158+J157+J156+J155+J154+J153+J152+J139+J137+J134+J133+J131+J127+J126+J125+J123+J114+J112+J110+J107+J106+J89+J87+J85+J84+J80+J77+J73+J71+J67+J64+J60+J53+J52+J51+J49+J47+J46+J45+J44+J43+J40+J39+J38+J37+J35+J33+J31+J27+J25+J24+J17+J396+J50+J54</f>
        <v>1</v>
      </c>
    </row>
    <row r="390" spans="1:16" ht="138.75" hidden="1" thickTop="1" thickBot="1" x14ac:dyDescent="0.25">
      <c r="A390" s="119" t="s">
        <v>302</v>
      </c>
      <c r="B390" s="119" t="s">
        <v>303</v>
      </c>
      <c r="C390" s="119" t="s">
        <v>304</v>
      </c>
      <c r="D390" s="119" t="s">
        <v>451</v>
      </c>
      <c r="E390" s="196" t="s">
        <v>1093</v>
      </c>
      <c r="F390" s="180" t="s">
        <v>900</v>
      </c>
      <c r="G390" s="197">
        <f t="shared" si="60"/>
        <v>0</v>
      </c>
      <c r="H390" s="341"/>
      <c r="I390" s="180">
        <v>0</v>
      </c>
      <c r="J390" s="180">
        <v>0</v>
      </c>
      <c r="K390" s="130"/>
      <c r="L390" s="130"/>
      <c r="M390" s="130"/>
    </row>
    <row r="391" spans="1:16" ht="138.75" hidden="1" thickTop="1" thickBot="1" x14ac:dyDescent="0.25">
      <c r="A391" s="119" t="s">
        <v>361</v>
      </c>
      <c r="B391" s="119" t="s">
        <v>362</v>
      </c>
      <c r="C391" s="119" t="s">
        <v>167</v>
      </c>
      <c r="D391" s="119" t="s">
        <v>363</v>
      </c>
      <c r="E391" s="196" t="s">
        <v>1386</v>
      </c>
      <c r="F391" s="180" t="s">
        <v>1409</v>
      </c>
      <c r="G391" s="197">
        <f t="shared" si="60"/>
        <v>0</v>
      </c>
      <c r="H391" s="180">
        <f>'d3'!E441</f>
        <v>0</v>
      </c>
      <c r="I391" s="180">
        <f>'d3'!J441</f>
        <v>0</v>
      </c>
      <c r="J391" s="180">
        <f>'d3'!K441</f>
        <v>0</v>
      </c>
    </row>
    <row r="392" spans="1:16" ht="170.45" customHeight="1" thickTop="1" thickBot="1" x14ac:dyDescent="0.25">
      <c r="A392" s="535" t="s">
        <v>165</v>
      </c>
      <c r="B392" s="535"/>
      <c r="C392" s="535"/>
      <c r="D392" s="536" t="s">
        <v>27</v>
      </c>
      <c r="E392" s="536"/>
      <c r="F392" s="536"/>
      <c r="G392" s="537">
        <f>G393</f>
        <v>143231029.73999998</v>
      </c>
      <c r="H392" s="537">
        <f t="shared" ref="H392:J392" si="61">H393</f>
        <v>782309.64</v>
      </c>
      <c r="I392" s="537">
        <f t="shared" si="61"/>
        <v>142448720.09999999</v>
      </c>
      <c r="J392" s="537">
        <f t="shared" si="61"/>
        <v>142448720.09999999</v>
      </c>
      <c r="K392" s="130"/>
      <c r="L392" s="130"/>
      <c r="M392" s="130"/>
    </row>
    <row r="393" spans="1:16" ht="166.5" customHeight="1" thickTop="1" thickBot="1" x14ac:dyDescent="0.25">
      <c r="A393" s="532" t="s">
        <v>166</v>
      </c>
      <c r="B393" s="532"/>
      <c r="C393" s="532"/>
      <c r="D393" s="533" t="s">
        <v>40</v>
      </c>
      <c r="E393" s="533"/>
      <c r="F393" s="533"/>
      <c r="G393" s="534">
        <f>SUM(G394:G397)</f>
        <v>143231029.73999998</v>
      </c>
      <c r="H393" s="534">
        <f t="shared" ref="H393:J393" si="62">SUM(H394:H397)</f>
        <v>782309.64</v>
      </c>
      <c r="I393" s="534">
        <f>SUM(I394:I397)</f>
        <v>142448720.09999999</v>
      </c>
      <c r="J393" s="534">
        <f t="shared" si="62"/>
        <v>142448720.09999999</v>
      </c>
      <c r="K393" s="130"/>
      <c r="L393" s="130"/>
      <c r="M393" s="130"/>
    </row>
    <row r="394" spans="1:16" ht="138.75" hidden="1" thickTop="1" thickBot="1" x14ac:dyDescent="0.25">
      <c r="A394" s="119" t="s">
        <v>412</v>
      </c>
      <c r="B394" s="119" t="s">
        <v>233</v>
      </c>
      <c r="C394" s="119" t="s">
        <v>231</v>
      </c>
      <c r="D394" s="119" t="s">
        <v>232</v>
      </c>
      <c r="E394" s="196" t="s">
        <v>967</v>
      </c>
      <c r="F394" s="180" t="s">
        <v>823</v>
      </c>
      <c r="G394" s="180">
        <f t="shared" ref="G394:G397" si="63">H394+I394</f>
        <v>0</v>
      </c>
      <c r="H394" s="197">
        <f>0</f>
        <v>0</v>
      </c>
      <c r="I394" s="214"/>
      <c r="J394" s="214"/>
      <c r="K394" s="130"/>
      <c r="L394" s="130"/>
      <c r="M394" s="130"/>
    </row>
    <row r="395" spans="1:16" ht="276" hidden="1" thickTop="1" thickBot="1" x14ac:dyDescent="1.2">
      <c r="A395" s="119" t="s">
        <v>612</v>
      </c>
      <c r="B395" s="119" t="s">
        <v>355</v>
      </c>
      <c r="C395" s="119" t="s">
        <v>603</v>
      </c>
      <c r="D395" s="119" t="s">
        <v>604</v>
      </c>
      <c r="E395" s="196" t="s">
        <v>1066</v>
      </c>
      <c r="F395" s="180" t="s">
        <v>1067</v>
      </c>
      <c r="G395" s="180">
        <f t="shared" si="63"/>
        <v>0</v>
      </c>
      <c r="H395" s="197">
        <f>'d3'!E446</f>
        <v>0</v>
      </c>
      <c r="I395" s="214">
        <v>0</v>
      </c>
      <c r="J395" s="214">
        <v>0</v>
      </c>
      <c r="O395" s="219"/>
    </row>
    <row r="396" spans="1:16" ht="144" customHeight="1" thickTop="1" thickBot="1" x14ac:dyDescent="1.2">
      <c r="A396" s="94">
        <v>3718600</v>
      </c>
      <c r="B396" s="94">
        <v>8600</v>
      </c>
      <c r="C396" s="94" t="s">
        <v>355</v>
      </c>
      <c r="D396" s="94" t="s">
        <v>444</v>
      </c>
      <c r="E396" s="526" t="s">
        <v>1545</v>
      </c>
      <c r="F396" s="432"/>
      <c r="G396" s="432">
        <f t="shared" si="63"/>
        <v>782309.64</v>
      </c>
      <c r="H396" s="524">
        <f>'d3'!E451</f>
        <v>782309.64</v>
      </c>
      <c r="I396" s="521">
        <f>'d3'!J451</f>
        <v>0</v>
      </c>
      <c r="J396" s="521">
        <f>'d3'!K451</f>
        <v>0</v>
      </c>
      <c r="O396" s="219"/>
    </row>
    <row r="397" spans="1:16" ht="138.75" thickTop="1" thickBot="1" x14ac:dyDescent="1.2">
      <c r="A397" s="490" t="s">
        <v>1194</v>
      </c>
      <c r="B397" s="490" t="s">
        <v>1195</v>
      </c>
      <c r="C397" s="490" t="s">
        <v>167</v>
      </c>
      <c r="D397" s="490" t="s">
        <v>1049</v>
      </c>
      <c r="E397" s="498" t="s">
        <v>1545</v>
      </c>
      <c r="F397" s="499"/>
      <c r="G397" s="499">
        <f t="shared" si="63"/>
        <v>142448720.09999999</v>
      </c>
      <c r="H397" s="494">
        <f>'d4'!F25</f>
        <v>0</v>
      </c>
      <c r="I397" s="553">
        <f>'d4'!G26</f>
        <v>142448720.09999999</v>
      </c>
      <c r="J397" s="553">
        <f>'d4'!H26</f>
        <v>142448720.09999999</v>
      </c>
      <c r="O397" s="219"/>
    </row>
    <row r="398" spans="1:16" ht="91.5" thickTop="1" thickBot="1" x14ac:dyDescent="1.2">
      <c r="A398" s="448" t="s">
        <v>374</v>
      </c>
      <c r="B398" s="448" t="s">
        <v>374</v>
      </c>
      <c r="C398" s="448" t="s">
        <v>374</v>
      </c>
      <c r="D398" s="449" t="s">
        <v>384</v>
      </c>
      <c r="E398" s="448" t="s">
        <v>374</v>
      </c>
      <c r="F398" s="448" t="s">
        <v>374</v>
      </c>
      <c r="G398" s="450">
        <f>G16+G63+G214+G119+G147+G193+G318+G364+G380+G387+G350+G342+G270+G237+G393</f>
        <v>4267353292.7199998</v>
      </c>
      <c r="H398" s="450">
        <f>H16+H63+H214+H119+H147+H193+H318+H364+H380+H387+H350+H342+H270+H237+H393</f>
        <v>3690500020.4200001</v>
      </c>
      <c r="I398" s="450">
        <f>I16+I63+I214+I119+I147+I193+I318+I364+I380+I387+I350+I342+I270+I237+I393</f>
        <v>576853272.29999995</v>
      </c>
      <c r="J398" s="450">
        <f>J16+J63+J214+J119+J147+J193+J318+J364+J380+J387+J350+J342+J270+J237+J393</f>
        <v>281052854.29999995</v>
      </c>
      <c r="K398" s="635" t="b">
        <f>G398=H398+I398</f>
        <v>1</v>
      </c>
      <c r="L398" s="634" t="b">
        <f>'d3'!K460-'d3'!K181-'d3'!J185-'d3'!J187+'d4'!P25=J398</f>
        <v>1</v>
      </c>
      <c r="M398" s="130"/>
    </row>
    <row r="399" spans="1:16" ht="31.7" customHeight="1" thickTop="1" x14ac:dyDescent="0.2">
      <c r="A399" s="754" t="s">
        <v>1626</v>
      </c>
      <c r="B399" s="755"/>
      <c r="C399" s="755"/>
      <c r="D399" s="755"/>
      <c r="E399" s="755"/>
      <c r="F399" s="755"/>
      <c r="G399" s="755"/>
      <c r="H399" s="755"/>
      <c r="I399" s="755"/>
      <c r="J399" s="755"/>
      <c r="L399" s="865"/>
      <c r="M399" s="865"/>
      <c r="N399" s="865"/>
      <c r="O399" s="865"/>
      <c r="P399" s="865"/>
    </row>
    <row r="400" spans="1:16" ht="4.7" customHeight="1" x14ac:dyDescent="0.2">
      <c r="A400" s="14"/>
      <c r="B400" s="15"/>
      <c r="C400" s="15"/>
      <c r="D400" s="15"/>
      <c r="E400" s="15"/>
      <c r="F400" s="15"/>
      <c r="G400" s="15"/>
      <c r="H400" s="15"/>
      <c r="I400" s="15"/>
      <c r="J400" s="15"/>
      <c r="L400" s="865"/>
      <c r="M400" s="865"/>
      <c r="N400" s="865"/>
      <c r="O400" s="865"/>
      <c r="P400" s="865"/>
    </row>
    <row r="401" spans="1:17" ht="45.75" customHeight="1" x14ac:dyDescent="0.55000000000000004">
      <c r="A401" s="14"/>
      <c r="B401" s="15"/>
      <c r="C401" s="15"/>
      <c r="D401" s="843"/>
      <c r="E401" s="753"/>
      <c r="F401" s="2"/>
      <c r="G401" s="2"/>
      <c r="H401" s="451"/>
      <c r="I401" s="451"/>
      <c r="J401" s="451"/>
      <c r="K401" s="220"/>
      <c r="L401" s="865"/>
      <c r="M401" s="865"/>
      <c r="N401" s="865"/>
      <c r="O401" s="865"/>
      <c r="P401" s="865"/>
      <c r="Q401" s="222"/>
    </row>
    <row r="402" spans="1:17" ht="45.75" x14ac:dyDescent="0.55000000000000004">
      <c r="A402" s="74"/>
      <c r="B402" s="74"/>
      <c r="C402" s="74"/>
      <c r="D402" s="843" t="s">
        <v>1447</v>
      </c>
      <c r="E402" s="753"/>
      <c r="F402" s="2"/>
      <c r="G402" s="2" t="s">
        <v>1448</v>
      </c>
      <c r="H402" s="2"/>
      <c r="I402" s="2"/>
      <c r="J402" s="2"/>
      <c r="K402" s="186"/>
      <c r="L402" s="865"/>
      <c r="M402" s="865"/>
      <c r="N402" s="865"/>
      <c r="O402" s="865"/>
      <c r="P402" s="865"/>
      <c r="Q402" s="222"/>
    </row>
    <row r="403" spans="1:17" ht="45.75" hidden="1" x14ac:dyDescent="0.65">
      <c r="A403" s="74"/>
      <c r="B403" s="74"/>
      <c r="C403" s="74"/>
      <c r="D403" s="3" t="s">
        <v>1283</v>
      </c>
      <c r="E403" s="243"/>
      <c r="F403" s="3"/>
      <c r="G403" s="3" t="s">
        <v>1255</v>
      </c>
      <c r="H403" s="2"/>
      <c r="I403" s="2"/>
      <c r="J403" s="2"/>
      <c r="K403" s="186"/>
      <c r="L403" s="865"/>
      <c r="M403" s="865"/>
      <c r="N403" s="865"/>
      <c r="O403" s="865"/>
      <c r="P403" s="865"/>
      <c r="Q403" s="222"/>
    </row>
    <row r="404" spans="1:17" ht="45.75" hidden="1" x14ac:dyDescent="0.65">
      <c r="A404" s="74"/>
      <c r="B404" s="74"/>
      <c r="C404" s="74"/>
      <c r="D404" s="871" t="s">
        <v>1509</v>
      </c>
      <c r="E404" s="872"/>
      <c r="F404" s="3"/>
      <c r="G404" s="452" t="s">
        <v>1508</v>
      </c>
      <c r="H404" s="2"/>
      <c r="I404" s="2"/>
      <c r="J404" s="2"/>
      <c r="K404" s="186"/>
      <c r="L404" s="865"/>
      <c r="M404" s="865"/>
      <c r="N404" s="865"/>
      <c r="O404" s="865"/>
      <c r="P404" s="865"/>
      <c r="Q404" s="222"/>
    </row>
    <row r="405" spans="1:17" ht="120.75" customHeight="1" x14ac:dyDescent="0.65">
      <c r="A405" s="73"/>
      <c r="B405" s="73"/>
      <c r="C405" s="73"/>
      <c r="D405" s="870" t="s">
        <v>506</v>
      </c>
      <c r="E405" s="753"/>
      <c r="F405" s="3"/>
      <c r="G405" s="3" t="s">
        <v>1175</v>
      </c>
      <c r="H405" s="453"/>
      <c r="I405" s="454"/>
      <c r="J405" s="455"/>
      <c r="K405" s="115"/>
      <c r="L405" s="865"/>
      <c r="M405" s="865"/>
      <c r="N405" s="865"/>
      <c r="O405" s="865"/>
      <c r="P405" s="865"/>
      <c r="Q405" s="6"/>
    </row>
    <row r="406" spans="1:17" ht="45.75" customHeight="1" x14ac:dyDescent="0.65">
      <c r="D406" s="839"/>
      <c r="E406" s="839"/>
      <c r="F406" s="839"/>
      <c r="G406" s="839"/>
      <c r="H406" s="839"/>
      <c r="I406" s="839"/>
      <c r="J406" s="839"/>
      <c r="K406" s="115"/>
      <c r="L406" s="865"/>
      <c r="M406" s="865"/>
      <c r="N406" s="865"/>
      <c r="O406" s="865"/>
      <c r="P406" s="865"/>
      <c r="Q406" s="6"/>
    </row>
    <row r="407" spans="1:17" ht="12.75" customHeight="1" x14ac:dyDescent="0.2">
      <c r="E407" s="224"/>
      <c r="F407" s="225"/>
      <c r="L407" s="865"/>
      <c r="M407" s="865"/>
      <c r="N407" s="865"/>
      <c r="O407" s="865"/>
      <c r="P407" s="865"/>
    </row>
    <row r="408" spans="1:17" ht="12.75" customHeight="1" x14ac:dyDescent="0.2">
      <c r="E408" s="224"/>
      <c r="F408" s="225"/>
      <c r="L408" s="865"/>
      <c r="M408" s="865"/>
      <c r="N408" s="865"/>
      <c r="O408" s="865"/>
      <c r="P408" s="865"/>
    </row>
    <row r="409" spans="1:17" ht="62.45" customHeight="1" x14ac:dyDescent="0.8">
      <c r="A409" s="13"/>
      <c r="B409" s="13"/>
      <c r="C409" s="13"/>
      <c r="D409" s="13"/>
      <c r="E409" s="222"/>
      <c r="F409" s="221"/>
      <c r="I409" s="13"/>
      <c r="J409" s="227"/>
      <c r="L409" s="865"/>
      <c r="M409" s="865"/>
      <c r="N409" s="865"/>
      <c r="O409" s="865"/>
      <c r="P409" s="865"/>
    </row>
    <row r="410" spans="1:17" ht="45.75" customHeight="1" x14ac:dyDescent="0.2">
      <c r="E410" s="228"/>
      <c r="F410" s="223"/>
      <c r="L410" s="865"/>
      <c r="M410" s="865"/>
      <c r="N410" s="865"/>
      <c r="O410" s="865"/>
      <c r="P410" s="865"/>
    </row>
    <row r="411" spans="1:17" ht="45.75" customHeight="1" x14ac:dyDescent="0.2">
      <c r="A411" s="13"/>
      <c r="B411" s="13"/>
      <c r="C411" s="13"/>
      <c r="D411" s="13"/>
      <c r="E411" s="222"/>
      <c r="F411" s="221"/>
      <c r="I411" s="13"/>
      <c r="J411" s="13"/>
      <c r="L411" s="865"/>
      <c r="M411" s="865"/>
      <c r="N411" s="865"/>
      <c r="O411" s="865"/>
      <c r="P411" s="865"/>
    </row>
    <row r="412" spans="1:17" ht="45.75" customHeight="1" x14ac:dyDescent="0.2">
      <c r="E412" s="228"/>
      <c r="F412" s="223"/>
      <c r="L412" s="865"/>
      <c r="M412" s="865"/>
      <c r="N412" s="865"/>
      <c r="O412" s="865"/>
      <c r="P412" s="865"/>
    </row>
    <row r="413" spans="1:17" ht="45.75" customHeight="1" x14ac:dyDescent="0.2">
      <c r="E413" s="228"/>
      <c r="F413" s="223"/>
      <c r="L413" s="865"/>
      <c r="M413" s="865"/>
      <c r="N413" s="865"/>
      <c r="O413" s="865"/>
      <c r="P413" s="865"/>
    </row>
    <row r="414" spans="1:17" ht="45.75" customHeight="1" x14ac:dyDescent="0.2">
      <c r="E414" s="228"/>
      <c r="F414" s="223"/>
      <c r="L414" s="865"/>
      <c r="M414" s="865"/>
      <c r="N414" s="865"/>
      <c r="O414" s="865"/>
      <c r="P414" s="865"/>
    </row>
    <row r="415" spans="1:17" ht="45.75" customHeight="1" x14ac:dyDescent="0.2">
      <c r="A415" s="13"/>
      <c r="B415" s="13"/>
      <c r="C415" s="13"/>
      <c r="D415" s="13"/>
      <c r="E415" s="228"/>
      <c r="F415" s="223"/>
      <c r="G415" s="13"/>
      <c r="H415" s="13"/>
      <c r="I415" s="13"/>
      <c r="J415" s="13"/>
      <c r="L415" s="865"/>
      <c r="M415" s="865"/>
      <c r="N415" s="865"/>
      <c r="O415" s="865"/>
      <c r="P415" s="865"/>
    </row>
    <row r="416" spans="1:17" ht="45.75" customHeight="1" x14ac:dyDescent="0.2">
      <c r="A416" s="13"/>
      <c r="B416" s="13"/>
      <c r="C416" s="13"/>
      <c r="D416" s="13"/>
      <c r="E416" s="228"/>
      <c r="F416" s="223"/>
      <c r="G416" s="13"/>
      <c r="H416" s="13"/>
      <c r="I416" s="13"/>
      <c r="J416" s="13"/>
      <c r="L416" s="865"/>
      <c r="M416" s="865"/>
      <c r="N416" s="865"/>
      <c r="O416" s="865"/>
      <c r="P416" s="865"/>
    </row>
    <row r="417" spans="1:16" ht="45.75" customHeight="1" x14ac:dyDescent="0.2">
      <c r="A417" s="13"/>
      <c r="B417" s="13"/>
      <c r="C417" s="13"/>
      <c r="D417" s="13"/>
      <c r="E417" s="228"/>
      <c r="F417" s="223"/>
      <c r="G417" s="13"/>
      <c r="H417" s="13"/>
      <c r="I417" s="13"/>
      <c r="J417" s="13"/>
      <c r="L417" s="865"/>
      <c r="M417" s="865"/>
      <c r="N417" s="865"/>
      <c r="O417" s="865"/>
      <c r="P417" s="865"/>
    </row>
    <row r="418" spans="1:16" ht="45.75" customHeight="1" x14ac:dyDescent="0.2">
      <c r="A418" s="13"/>
      <c r="B418" s="13"/>
      <c r="C418" s="13"/>
      <c r="D418" s="13"/>
      <c r="E418" s="228"/>
      <c r="F418" s="223"/>
      <c r="G418" s="13"/>
      <c r="H418" s="13"/>
      <c r="I418" s="13"/>
      <c r="J418" s="13"/>
      <c r="L418" s="865"/>
      <c r="M418" s="865"/>
      <c r="N418" s="865"/>
      <c r="O418" s="865"/>
      <c r="P418" s="865"/>
    </row>
    <row r="419" spans="1:16" ht="12.75" customHeight="1" x14ac:dyDescent="0.2">
      <c r="L419" s="865"/>
      <c r="M419" s="865"/>
      <c r="N419" s="865"/>
      <c r="O419" s="865"/>
      <c r="P419" s="865"/>
    </row>
    <row r="420" spans="1:16" ht="12.75" customHeight="1" x14ac:dyDescent="0.2">
      <c r="L420" s="865"/>
      <c r="M420" s="865"/>
      <c r="N420" s="865"/>
      <c r="O420" s="865"/>
      <c r="P420" s="865"/>
    </row>
    <row r="421" spans="1:16" ht="12.75" customHeight="1" x14ac:dyDescent="0.2">
      <c r="L421" s="865"/>
      <c r="M421" s="865"/>
      <c r="N421" s="865"/>
      <c r="O421" s="865"/>
      <c r="P421" s="865"/>
    </row>
    <row r="422" spans="1:16" ht="12.75" customHeight="1" x14ac:dyDescent="0.2">
      <c r="L422" s="865"/>
      <c r="M422" s="865"/>
      <c r="N422" s="865"/>
      <c r="O422" s="865"/>
      <c r="P422" s="865"/>
    </row>
    <row r="423" spans="1:16" ht="12.75" customHeight="1" x14ac:dyDescent="0.2">
      <c r="L423" s="865"/>
      <c r="M423" s="865"/>
      <c r="N423" s="865"/>
      <c r="O423" s="865"/>
      <c r="P423" s="865"/>
    </row>
    <row r="424" spans="1:16" ht="12.75" customHeight="1" x14ac:dyDescent="0.2">
      <c r="L424" s="865"/>
      <c r="M424" s="865"/>
      <c r="N424" s="865"/>
      <c r="O424" s="865"/>
      <c r="P424" s="865"/>
    </row>
    <row r="425" spans="1:16" ht="12.75" customHeight="1" x14ac:dyDescent="0.2">
      <c r="L425" s="865"/>
      <c r="M425" s="865"/>
      <c r="N425" s="865"/>
      <c r="O425" s="865"/>
      <c r="P425" s="865"/>
    </row>
    <row r="426" spans="1:16" ht="12.75" customHeight="1" x14ac:dyDescent="0.2">
      <c r="L426" s="865"/>
      <c r="M426" s="865"/>
      <c r="N426" s="865"/>
      <c r="O426" s="865"/>
      <c r="P426" s="865"/>
    </row>
    <row r="427" spans="1:16" ht="12.75" customHeight="1" x14ac:dyDescent="0.2">
      <c r="L427" s="865"/>
      <c r="M427" s="865"/>
      <c r="N427" s="865"/>
      <c r="O427" s="865"/>
      <c r="P427" s="865"/>
    </row>
    <row r="428" spans="1:16" ht="12.75" customHeight="1" x14ac:dyDescent="0.2">
      <c r="L428" s="865"/>
      <c r="M428" s="865"/>
      <c r="N428" s="865"/>
      <c r="O428" s="865"/>
      <c r="P428" s="865"/>
    </row>
    <row r="429" spans="1:16" ht="12.75" customHeight="1" x14ac:dyDescent="0.2">
      <c r="L429" s="865"/>
      <c r="M429" s="865"/>
      <c r="N429" s="865"/>
      <c r="O429" s="865"/>
      <c r="P429" s="865"/>
    </row>
    <row r="430" spans="1:16" ht="12.75" customHeight="1" x14ac:dyDescent="0.2">
      <c r="L430" s="865"/>
      <c r="M430" s="865"/>
      <c r="N430" s="865"/>
      <c r="O430" s="865"/>
      <c r="P430" s="865"/>
    </row>
    <row r="431" spans="1:16" ht="12.75" customHeight="1" x14ac:dyDescent="0.2">
      <c r="L431" s="865"/>
      <c r="M431" s="865"/>
      <c r="N431" s="865"/>
      <c r="O431" s="865"/>
      <c r="P431" s="865"/>
    </row>
    <row r="432" spans="1:16" ht="12.75" customHeight="1" x14ac:dyDescent="0.2">
      <c r="L432" s="865"/>
      <c r="M432" s="865"/>
      <c r="N432" s="865"/>
      <c r="O432" s="865"/>
      <c r="P432" s="865"/>
    </row>
    <row r="433" spans="12:16" ht="12.75" customHeight="1" x14ac:dyDescent="0.2">
      <c r="L433" s="865"/>
      <c r="M433" s="865"/>
      <c r="N433" s="865"/>
      <c r="O433" s="865"/>
      <c r="P433" s="865"/>
    </row>
    <row r="434" spans="12:16" ht="12.75" customHeight="1" x14ac:dyDescent="0.2">
      <c r="L434" s="865"/>
      <c r="M434" s="865"/>
      <c r="N434" s="865"/>
      <c r="O434" s="865"/>
      <c r="P434" s="865"/>
    </row>
    <row r="435" spans="12:16" ht="12.75" customHeight="1" x14ac:dyDescent="0.2">
      <c r="L435" s="865"/>
      <c r="M435" s="865"/>
      <c r="N435" s="865"/>
      <c r="O435" s="865"/>
      <c r="P435" s="865"/>
    </row>
    <row r="436" spans="12:16" ht="12.75" customHeight="1" x14ac:dyDescent="0.2">
      <c r="L436" s="865"/>
      <c r="M436" s="865"/>
      <c r="N436" s="865"/>
      <c r="O436" s="865"/>
      <c r="P436" s="865"/>
    </row>
    <row r="437" spans="12:16" ht="12.75" customHeight="1" x14ac:dyDescent="0.2">
      <c r="L437" s="865"/>
      <c r="M437" s="865"/>
      <c r="N437" s="865"/>
      <c r="O437" s="865"/>
      <c r="P437" s="865"/>
    </row>
    <row r="438" spans="12:16" ht="12.75" customHeight="1" x14ac:dyDescent="0.2">
      <c r="L438" s="865"/>
      <c r="M438" s="865"/>
      <c r="N438" s="865"/>
      <c r="O438" s="865"/>
      <c r="P438" s="865"/>
    </row>
    <row r="439" spans="12:16" ht="12.75" customHeight="1" x14ac:dyDescent="0.2">
      <c r="L439" s="865"/>
      <c r="M439" s="865"/>
      <c r="N439" s="865"/>
      <c r="O439" s="865"/>
      <c r="P439" s="865"/>
    </row>
    <row r="440" spans="12:16" ht="12.75" customHeight="1" x14ac:dyDescent="0.2">
      <c r="L440" s="865"/>
      <c r="M440" s="865"/>
      <c r="N440" s="865"/>
      <c r="O440" s="865"/>
      <c r="P440" s="865"/>
    </row>
    <row r="441" spans="12:16" ht="12.75" customHeight="1" x14ac:dyDescent="0.2">
      <c r="L441" s="865"/>
      <c r="M441" s="865"/>
      <c r="N441" s="865"/>
      <c r="O441" s="865"/>
      <c r="P441" s="865"/>
    </row>
    <row r="442" spans="12:16" ht="12.75" customHeight="1" x14ac:dyDescent="0.2">
      <c r="L442" s="865"/>
      <c r="M442" s="865"/>
      <c r="N442" s="865"/>
      <c r="O442" s="865"/>
      <c r="P442" s="865"/>
    </row>
    <row r="443" spans="12:16" ht="12.75" customHeight="1" x14ac:dyDescent="0.2">
      <c r="L443" s="865"/>
      <c r="M443" s="865"/>
      <c r="N443" s="865"/>
      <c r="O443" s="865"/>
      <c r="P443" s="865"/>
    </row>
    <row r="444" spans="12:16" ht="12.75" customHeight="1" x14ac:dyDescent="0.2">
      <c r="L444" s="865"/>
      <c r="M444" s="865"/>
      <c r="N444" s="865"/>
      <c r="O444" s="865"/>
      <c r="P444" s="865"/>
    </row>
    <row r="445" spans="12:16" ht="12.75" customHeight="1" x14ac:dyDescent="0.2">
      <c r="L445" s="865"/>
      <c r="M445" s="865"/>
      <c r="N445" s="865"/>
      <c r="O445" s="865"/>
      <c r="P445" s="865"/>
    </row>
    <row r="446" spans="12:16" ht="12.75" customHeight="1" x14ac:dyDescent="0.2">
      <c r="L446" s="865"/>
      <c r="M446" s="865"/>
      <c r="N446" s="865"/>
      <c r="O446" s="865"/>
      <c r="P446" s="865"/>
    </row>
    <row r="447" spans="12:16" ht="12.75" customHeight="1" x14ac:dyDescent="0.2">
      <c r="L447" s="865"/>
      <c r="M447" s="865"/>
      <c r="N447" s="865"/>
      <c r="O447" s="865"/>
      <c r="P447" s="865"/>
    </row>
    <row r="448" spans="12:16" ht="12.75" customHeight="1" x14ac:dyDescent="0.2">
      <c r="L448" s="865"/>
      <c r="M448" s="865"/>
      <c r="N448" s="865"/>
      <c r="O448" s="865"/>
      <c r="P448" s="865"/>
    </row>
    <row r="449" spans="12:16" ht="12.75" customHeight="1" x14ac:dyDescent="0.2">
      <c r="L449" s="865"/>
      <c r="M449" s="865"/>
      <c r="N449" s="865"/>
      <c r="O449" s="865"/>
      <c r="P449" s="865"/>
    </row>
    <row r="450" spans="12:16" ht="12.75" customHeight="1" x14ac:dyDescent="0.2">
      <c r="L450" s="865"/>
      <c r="M450" s="865"/>
      <c r="N450" s="865"/>
      <c r="O450" s="865"/>
      <c r="P450" s="865"/>
    </row>
    <row r="451" spans="12:16" ht="12.75" customHeight="1" x14ac:dyDescent="0.2">
      <c r="L451" s="865"/>
      <c r="M451" s="865"/>
      <c r="N451" s="865"/>
      <c r="O451" s="865"/>
      <c r="P451" s="865"/>
    </row>
    <row r="452" spans="12:16" ht="12.75" customHeight="1" x14ac:dyDescent="0.2">
      <c r="L452" s="865"/>
      <c r="M452" s="865"/>
      <c r="N452" s="865"/>
      <c r="O452" s="865"/>
      <c r="P452" s="865"/>
    </row>
  </sheetData>
  <mergeCells count="78">
    <mergeCell ref="K359:K360"/>
    <mergeCell ref="L359:L360"/>
    <mergeCell ref="M359:M360"/>
    <mergeCell ref="G310:G311"/>
    <mergeCell ref="H310:H311"/>
    <mergeCell ref="I310:I311"/>
    <mergeCell ref="J310:J311"/>
    <mergeCell ref="M180:M183"/>
    <mergeCell ref="I338:I339"/>
    <mergeCell ref="J338:J339"/>
    <mergeCell ref="H338:H339"/>
    <mergeCell ref="K180:K183"/>
    <mergeCell ref="I265:I266"/>
    <mergeCell ref="J265:J266"/>
    <mergeCell ref="K295:K307"/>
    <mergeCell ref="L295:L307"/>
    <mergeCell ref="M295:M307"/>
    <mergeCell ref="L180:L183"/>
    <mergeCell ref="K106:K107"/>
    <mergeCell ref="L106:L107"/>
    <mergeCell ref="A310:A311"/>
    <mergeCell ref="B310:B311"/>
    <mergeCell ref="C310:C311"/>
    <mergeCell ref="E310:E311"/>
    <mergeCell ref="F310:F311"/>
    <mergeCell ref="F265:F266"/>
    <mergeCell ref="G265:G266"/>
    <mergeCell ref="H265:H266"/>
    <mergeCell ref="C265:C266"/>
    <mergeCell ref="E265:E266"/>
    <mergeCell ref="A338:A339"/>
    <mergeCell ref="B338:B339"/>
    <mergeCell ref="C338:C339"/>
    <mergeCell ref="E338:E339"/>
    <mergeCell ref="F338:F339"/>
    <mergeCell ref="L24:L27"/>
    <mergeCell ref="M24:M27"/>
    <mergeCell ref="A6:J6"/>
    <mergeCell ref="A9:J9"/>
    <mergeCell ref="A10:J10"/>
    <mergeCell ref="F12:F13"/>
    <mergeCell ref="G12:G13"/>
    <mergeCell ref="A12:A13"/>
    <mergeCell ref="B12:B13"/>
    <mergeCell ref="C12:C13"/>
    <mergeCell ref="D12:D13"/>
    <mergeCell ref="E12:E13"/>
    <mergeCell ref="H12:H13"/>
    <mergeCell ref="I12:J12"/>
    <mergeCell ref="A7:J7"/>
    <mergeCell ref="K24:K27"/>
    <mergeCell ref="I1:J1"/>
    <mergeCell ref="I2:J2"/>
    <mergeCell ref="I3:J3"/>
    <mergeCell ref="A5:J5"/>
    <mergeCell ref="A8:J8"/>
    <mergeCell ref="C357:C358"/>
    <mergeCell ref="G357:G358"/>
    <mergeCell ref="D405:E405"/>
    <mergeCell ref="D401:E401"/>
    <mergeCell ref="D402:E402"/>
    <mergeCell ref="D404:E404"/>
    <mergeCell ref="M106:M107"/>
    <mergeCell ref="L399:P452"/>
    <mergeCell ref="A265:A266"/>
    <mergeCell ref="B265:B266"/>
    <mergeCell ref="G142:G143"/>
    <mergeCell ref="H142:H143"/>
    <mergeCell ref="I142:I143"/>
    <mergeCell ref="J142:J143"/>
    <mergeCell ref="D406:J406"/>
    <mergeCell ref="A399:J399"/>
    <mergeCell ref="H357:H358"/>
    <mergeCell ref="I357:I358"/>
    <mergeCell ref="J357:J358"/>
    <mergeCell ref="D357:D358"/>
    <mergeCell ref="A357:A358"/>
    <mergeCell ref="B357:B358"/>
  </mergeCells>
  <pageMargins left="0.23622047244094491" right="0.27559055118110237" top="0.27559055118110237" bottom="0.15748031496062992" header="0.23622047244094491" footer="0.27559055118110237"/>
  <pageSetup paperSize="9" scale="16" orientation="landscape" horizontalDpi="300" verticalDpi="300" r:id="rId1"/>
  <headerFooter alignWithMargins="0">
    <oddFooter>&amp;C&amp;"Times New Roman Cyr,курсив"Сторінка &amp;P з &amp;N</oddFooter>
  </headerFooter>
  <rowBreaks count="2" manualBreakCount="2">
    <brk id="268" min="2" max="9" man="1"/>
    <brk id="405" max="9"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6"/>
  <dimension ref="A1:J169"/>
  <sheetViews>
    <sheetView view="pageBreakPreview" zoomScale="85" zoomScaleNormal="85" zoomScaleSheetLayoutView="85" workbookViewId="0">
      <selection activeCell="C3" sqref="C3:D3"/>
    </sheetView>
  </sheetViews>
  <sheetFormatPr defaultColWidth="9.140625" defaultRowHeight="12.75" x14ac:dyDescent="0.2"/>
  <cols>
    <col min="1" max="1" width="18.140625" style="93" customWidth="1"/>
    <col min="2" max="2" width="108.42578125" style="93" customWidth="1"/>
    <col min="3" max="3" width="4" style="93" hidden="1" customWidth="1"/>
    <col min="4" max="4" width="22.85546875" style="93" customWidth="1"/>
    <col min="5" max="5" width="14.7109375" style="93" customWidth="1"/>
    <col min="6" max="6" width="22" style="93" bestFit="1" customWidth="1"/>
    <col min="7" max="7" width="19" style="93" bestFit="1" customWidth="1"/>
    <col min="8" max="9" width="12.5703125" style="93" bestFit="1" customWidth="1"/>
    <col min="10" max="10" width="52.5703125" style="93" customWidth="1"/>
    <col min="11" max="16384" width="9.140625" style="93"/>
  </cols>
  <sheetData>
    <row r="1" spans="1:9" ht="16.5" customHeight="1" x14ac:dyDescent="0.2">
      <c r="A1" s="456"/>
      <c r="B1" s="456"/>
      <c r="C1" s="702" t="s">
        <v>571</v>
      </c>
      <c r="D1" s="702"/>
      <c r="E1" s="457"/>
      <c r="F1" s="457"/>
      <c r="G1" s="456"/>
      <c r="H1" s="456"/>
      <c r="I1" s="456"/>
    </row>
    <row r="2" spans="1:9" ht="16.5" customHeight="1" x14ac:dyDescent="0.2">
      <c r="A2" s="456"/>
      <c r="B2" s="456"/>
      <c r="C2" s="906" t="s">
        <v>1744</v>
      </c>
      <c r="D2" s="907"/>
      <c r="E2" s="907"/>
      <c r="F2" s="907"/>
      <c r="G2" s="456"/>
      <c r="H2" s="456"/>
      <c r="I2" s="456"/>
    </row>
    <row r="3" spans="1:9" ht="17.45" customHeight="1" x14ac:dyDescent="0.2">
      <c r="A3" s="456"/>
      <c r="B3" s="456"/>
      <c r="C3" s="702" t="s">
        <v>1745</v>
      </c>
      <c r="D3" s="902"/>
      <c r="E3" s="456"/>
      <c r="F3" s="456"/>
      <c r="G3" s="456"/>
      <c r="H3" s="456"/>
      <c r="I3" s="456"/>
    </row>
    <row r="4" spans="1:9" ht="12.75" customHeight="1" x14ac:dyDescent="0.2">
      <c r="A4" s="456"/>
      <c r="B4" s="456"/>
      <c r="C4" s="702"/>
      <c r="D4" s="705"/>
      <c r="E4" s="456"/>
      <c r="F4" s="456"/>
      <c r="G4" s="456"/>
      <c r="H4" s="456"/>
      <c r="I4" s="456"/>
    </row>
    <row r="5" spans="1:9" ht="16.5" x14ac:dyDescent="0.25">
      <c r="A5" s="891" t="s">
        <v>549</v>
      </c>
      <c r="B5" s="891"/>
      <c r="C5" s="891"/>
      <c r="D5" s="705"/>
      <c r="E5" s="908"/>
      <c r="F5" s="909"/>
      <c r="G5" s="909"/>
      <c r="H5" s="909"/>
      <c r="I5" s="707"/>
    </row>
    <row r="6" spans="1:9" ht="16.5" x14ac:dyDescent="0.25">
      <c r="A6" s="891" t="s">
        <v>548</v>
      </c>
      <c r="B6" s="891"/>
      <c r="C6" s="891"/>
      <c r="D6" s="705"/>
      <c r="E6" s="458"/>
      <c r="F6" s="459"/>
      <c r="G6" s="459"/>
      <c r="H6" s="459"/>
      <c r="I6" s="393"/>
    </row>
    <row r="7" spans="1:9" ht="16.5" x14ac:dyDescent="0.25">
      <c r="A7" s="892" t="s">
        <v>126</v>
      </c>
      <c r="B7" s="892"/>
      <c r="C7" s="892"/>
      <c r="D7" s="893"/>
      <c r="E7" s="908"/>
      <c r="F7" s="908"/>
      <c r="G7" s="908"/>
      <c r="H7" s="908"/>
      <c r="I7" s="703"/>
    </row>
    <row r="8" spans="1:9" ht="16.5" x14ac:dyDescent="0.2">
      <c r="A8" s="892" t="s">
        <v>1537</v>
      </c>
      <c r="B8" s="892"/>
      <c r="C8" s="892"/>
      <c r="D8" s="893"/>
      <c r="E8" s="910"/>
      <c r="F8" s="910"/>
      <c r="G8" s="910"/>
      <c r="H8" s="910"/>
      <c r="I8" s="911"/>
    </row>
    <row r="9" spans="1:9" ht="16.5" x14ac:dyDescent="0.2">
      <c r="A9" s="460"/>
      <c r="B9" s="460"/>
      <c r="C9" s="460"/>
      <c r="D9" s="461"/>
      <c r="E9" s="462"/>
      <c r="F9" s="462"/>
      <c r="G9" s="462"/>
      <c r="H9" s="462"/>
      <c r="I9" s="463"/>
    </row>
    <row r="10" spans="1:9" ht="16.5" x14ac:dyDescent="0.2">
      <c r="A10" s="421">
        <v>2256400000</v>
      </c>
      <c r="B10" s="464"/>
      <c r="C10" s="465"/>
      <c r="D10" s="461"/>
      <c r="E10" s="466"/>
      <c r="F10" s="466"/>
      <c r="G10" s="466"/>
      <c r="H10" s="462"/>
      <c r="I10" s="463"/>
    </row>
    <row r="11" spans="1:9" ht="16.5" x14ac:dyDescent="0.2">
      <c r="A11" s="440" t="s">
        <v>478</v>
      </c>
      <c r="B11" s="391"/>
      <c r="C11" s="465"/>
      <c r="D11" s="461"/>
      <c r="E11" s="466"/>
      <c r="F11" s="466"/>
      <c r="G11" s="466"/>
      <c r="H11" s="462"/>
      <c r="I11" s="463"/>
    </row>
    <row r="12" spans="1:9" ht="17.25" thickBot="1" x14ac:dyDescent="0.25">
      <c r="A12" s="467"/>
      <c r="B12" s="467"/>
      <c r="C12" s="468"/>
      <c r="D12" s="468" t="s">
        <v>397</v>
      </c>
      <c r="E12" s="466"/>
      <c r="F12" s="466"/>
      <c r="G12" s="469"/>
      <c r="H12" s="456"/>
      <c r="I12" s="456"/>
    </row>
    <row r="13" spans="1:9" s="229" customFormat="1" ht="50.25" customHeight="1" thickTop="1" thickBot="1" x14ac:dyDescent="0.25">
      <c r="A13" s="472" t="s">
        <v>127</v>
      </c>
      <c r="B13" s="903" t="s">
        <v>128</v>
      </c>
      <c r="C13" s="905"/>
      <c r="D13" s="905"/>
      <c r="E13" s="72"/>
      <c r="F13" s="72"/>
      <c r="G13" s="72"/>
    </row>
    <row r="14" spans="1:9" s="229" customFormat="1" ht="39.75" customHeight="1" thickTop="1" thickBot="1" x14ac:dyDescent="0.25">
      <c r="A14" s="609" t="s">
        <v>129</v>
      </c>
      <c r="B14" s="887" t="s">
        <v>1614</v>
      </c>
      <c r="C14" s="888"/>
      <c r="D14" s="610">
        <v>200</v>
      </c>
      <c r="E14" s="72"/>
      <c r="F14" s="72"/>
      <c r="G14" s="72"/>
    </row>
    <row r="15" spans="1:9" s="229" customFormat="1" ht="40.700000000000003" customHeight="1" thickTop="1" thickBot="1" x14ac:dyDescent="0.25">
      <c r="A15" s="609" t="s">
        <v>130</v>
      </c>
      <c r="B15" s="887" t="s">
        <v>1615</v>
      </c>
      <c r="C15" s="888"/>
      <c r="D15" s="610">
        <v>3500000</v>
      </c>
      <c r="E15" s="72"/>
      <c r="F15" s="72"/>
      <c r="G15" s="72"/>
    </row>
    <row r="16" spans="1:9" s="229" customFormat="1" ht="66" customHeight="1" thickTop="1" thickBot="1" x14ac:dyDescent="0.25">
      <c r="A16" s="609" t="s">
        <v>131</v>
      </c>
      <c r="B16" s="887" t="s">
        <v>1616</v>
      </c>
      <c r="C16" s="888"/>
      <c r="D16" s="610">
        <v>1858195</v>
      </c>
      <c r="E16" s="72"/>
      <c r="F16" s="72"/>
      <c r="G16" s="72"/>
    </row>
    <row r="17" spans="1:7" s="229" customFormat="1" ht="52.5" customHeight="1" thickTop="1" thickBot="1" x14ac:dyDescent="0.25">
      <c r="A17" s="609" t="s">
        <v>944</v>
      </c>
      <c r="B17" s="887" t="s">
        <v>1617</v>
      </c>
      <c r="C17" s="888"/>
      <c r="D17" s="610">
        <v>1070685</v>
      </c>
      <c r="E17" s="72"/>
      <c r="F17" s="72"/>
      <c r="G17" s="72"/>
    </row>
    <row r="18" spans="1:7" s="229" customFormat="1" ht="56.25" customHeight="1" thickTop="1" thickBot="1" x14ac:dyDescent="0.25">
      <c r="A18" s="609" t="s">
        <v>132</v>
      </c>
      <c r="B18" s="887" t="s">
        <v>133</v>
      </c>
      <c r="C18" s="888"/>
      <c r="D18" s="610">
        <v>720</v>
      </c>
      <c r="E18" s="72"/>
      <c r="F18" s="72"/>
      <c r="G18" s="72"/>
    </row>
    <row r="19" spans="1:7" s="229" customFormat="1" ht="54.75" customHeight="1" thickTop="1" thickBot="1" x14ac:dyDescent="0.25">
      <c r="A19" s="609" t="s">
        <v>1122</v>
      </c>
      <c r="B19" s="887" t="s">
        <v>1123</v>
      </c>
      <c r="C19" s="888"/>
      <c r="D19" s="610">
        <v>175200</v>
      </c>
      <c r="E19" s="72"/>
      <c r="F19" s="72"/>
      <c r="G19" s="72"/>
    </row>
    <row r="20" spans="1:7" s="229" customFormat="1" ht="41.25" customHeight="1" thickTop="1" thickBot="1" x14ac:dyDescent="0.25">
      <c r="A20" s="609" t="s">
        <v>1124</v>
      </c>
      <c r="B20" s="887" t="s">
        <v>1125</v>
      </c>
      <c r="C20" s="888"/>
      <c r="D20" s="610">
        <v>500000</v>
      </c>
      <c r="E20" s="885"/>
      <c r="F20" s="886"/>
      <c r="G20" s="72"/>
    </row>
    <row r="21" spans="1:7" s="229" customFormat="1" ht="27" customHeight="1" thickTop="1" thickBot="1" x14ac:dyDescent="0.25">
      <c r="A21" s="230"/>
      <c r="B21" s="898" t="s">
        <v>134</v>
      </c>
      <c r="C21" s="888"/>
      <c r="D21" s="611">
        <f>SUM(D14:D20)</f>
        <v>7105000</v>
      </c>
      <c r="E21" s="72"/>
      <c r="F21" s="72"/>
      <c r="G21" s="72"/>
    </row>
    <row r="22" spans="1:7" s="229" customFormat="1" ht="18.75" hidden="1" thickTop="1" thickBot="1" x14ac:dyDescent="0.25">
      <c r="A22" s="230"/>
      <c r="B22" s="897" t="s">
        <v>431</v>
      </c>
      <c r="C22" s="890"/>
      <c r="D22" s="308"/>
      <c r="E22" s="72"/>
      <c r="F22" s="72"/>
      <c r="G22" s="72"/>
    </row>
    <row r="23" spans="1:7" s="229" customFormat="1" ht="18.75" hidden="1" thickTop="1" thickBot="1" x14ac:dyDescent="0.25">
      <c r="A23" s="230"/>
      <c r="B23" s="897" t="s">
        <v>1618</v>
      </c>
      <c r="C23" s="890"/>
      <c r="D23" s="308"/>
      <c r="E23" s="72"/>
      <c r="F23" s="72"/>
      <c r="G23" s="72"/>
    </row>
    <row r="24" spans="1:7" s="229" customFormat="1" ht="26.45" customHeight="1" thickTop="1" thickBot="1" x14ac:dyDescent="0.25">
      <c r="A24" s="470" t="s">
        <v>374</v>
      </c>
      <c r="B24" s="899" t="s">
        <v>482</v>
      </c>
      <c r="C24" s="900"/>
      <c r="D24" s="471">
        <f>D21+D23</f>
        <v>7105000</v>
      </c>
      <c r="E24" s="613" t="b">
        <f>D24='d1'!E111+D23</f>
        <v>1</v>
      </c>
      <c r="G24" s="72"/>
    </row>
    <row r="25" spans="1:7" s="229" customFormat="1" ht="47.25" customHeight="1" thickTop="1" thickBot="1" x14ac:dyDescent="0.25">
      <c r="A25" s="472" t="s">
        <v>127</v>
      </c>
      <c r="B25" s="903" t="s">
        <v>135</v>
      </c>
      <c r="C25" s="904"/>
      <c r="D25" s="904"/>
      <c r="E25" s="72"/>
      <c r="F25" s="72"/>
      <c r="G25" s="72"/>
    </row>
    <row r="26" spans="1:7" s="229" customFormat="1" ht="43.5" customHeight="1" thickTop="1" thickBot="1" x14ac:dyDescent="0.25">
      <c r="A26" s="609" t="s">
        <v>136</v>
      </c>
      <c r="B26" s="887" t="s">
        <v>137</v>
      </c>
      <c r="C26" s="888"/>
      <c r="D26" s="610">
        <v>60000</v>
      </c>
      <c r="E26" s="72"/>
      <c r="F26" s="72"/>
      <c r="G26" s="72"/>
    </row>
    <row r="27" spans="1:7" s="229" customFormat="1" ht="44.45" customHeight="1" thickTop="1" thickBot="1" x14ac:dyDescent="0.25">
      <c r="A27" s="609" t="s">
        <v>138</v>
      </c>
      <c r="B27" s="887" t="s">
        <v>139</v>
      </c>
      <c r="C27" s="888"/>
      <c r="D27" s="610">
        <f>54900+18000+50000</f>
        <v>122900</v>
      </c>
      <c r="E27" s="72"/>
      <c r="F27" s="72"/>
      <c r="G27" s="72"/>
    </row>
    <row r="28" spans="1:7" s="229" customFormat="1" ht="44.45" hidden="1" customHeight="1" thickTop="1" thickBot="1" x14ac:dyDescent="0.25">
      <c r="A28" s="230" t="s">
        <v>458</v>
      </c>
      <c r="B28" s="889" t="s">
        <v>401</v>
      </c>
      <c r="C28" s="890"/>
      <c r="D28" s="319">
        <v>0</v>
      </c>
      <c r="E28" s="72"/>
      <c r="F28" s="72"/>
      <c r="G28" s="72"/>
    </row>
    <row r="29" spans="1:7" s="229" customFormat="1" ht="32.25" customHeight="1" thickTop="1" thickBot="1" x14ac:dyDescent="0.25">
      <c r="A29" s="609" t="s">
        <v>140</v>
      </c>
      <c r="B29" s="887" t="s">
        <v>142</v>
      </c>
      <c r="C29" s="888"/>
      <c r="D29" s="610">
        <v>300000</v>
      </c>
      <c r="E29" s="72"/>
      <c r="F29" s="72"/>
      <c r="G29" s="72"/>
    </row>
    <row r="30" spans="1:7" s="229" customFormat="1" ht="39" customHeight="1" thickTop="1" thickBot="1" x14ac:dyDescent="0.25">
      <c r="A30" s="609" t="s">
        <v>141</v>
      </c>
      <c r="B30" s="887" t="s">
        <v>1287</v>
      </c>
      <c r="C30" s="888"/>
      <c r="D30" s="610">
        <f>1577362-54900+17000+100000+6038+200000</f>
        <v>1845500</v>
      </c>
      <c r="E30" s="72"/>
      <c r="F30" s="72"/>
      <c r="G30" s="72"/>
    </row>
    <row r="31" spans="1:7" s="229" customFormat="1" ht="17.25" hidden="1" thickTop="1" thickBot="1" x14ac:dyDescent="0.25">
      <c r="A31" s="230" t="s">
        <v>143</v>
      </c>
      <c r="B31" s="889" t="s">
        <v>1096</v>
      </c>
      <c r="C31" s="890"/>
      <c r="D31" s="319">
        <v>0</v>
      </c>
      <c r="E31" s="72"/>
      <c r="F31" s="72"/>
      <c r="G31" s="72"/>
    </row>
    <row r="32" spans="1:7" s="229" customFormat="1" ht="51" hidden="1" thickTop="1" thickBot="1" x14ac:dyDescent="0.25">
      <c r="A32" s="230" t="s">
        <v>933</v>
      </c>
      <c r="B32" s="352" t="s">
        <v>934</v>
      </c>
      <c r="C32" s="353"/>
      <c r="D32" s="319">
        <v>0</v>
      </c>
      <c r="E32" s="72"/>
      <c r="F32" s="72"/>
      <c r="G32" s="72"/>
    </row>
    <row r="33" spans="1:7" s="229" customFormat="1" ht="17.25" hidden="1" thickTop="1" thickBot="1" x14ac:dyDescent="0.25">
      <c r="A33" s="230" t="s">
        <v>459</v>
      </c>
      <c r="B33" s="889" t="s">
        <v>144</v>
      </c>
      <c r="C33" s="890"/>
      <c r="D33" s="319">
        <f>(20000)-20000</f>
        <v>0</v>
      </c>
      <c r="E33" s="72"/>
      <c r="F33" s="72"/>
      <c r="G33" s="72"/>
    </row>
    <row r="34" spans="1:7" s="229" customFormat="1" ht="17.25" hidden="1" thickTop="1" thickBot="1" x14ac:dyDescent="0.25">
      <c r="A34" s="230" t="s">
        <v>459</v>
      </c>
      <c r="B34" s="889" t="s">
        <v>144</v>
      </c>
      <c r="C34" s="890"/>
      <c r="D34" s="319"/>
      <c r="E34" s="72"/>
      <c r="F34" s="72"/>
      <c r="G34" s="72"/>
    </row>
    <row r="35" spans="1:7" s="229" customFormat="1" ht="138" customHeight="1" thickTop="1" thickBot="1" x14ac:dyDescent="0.25">
      <c r="A35" s="609" t="s">
        <v>460</v>
      </c>
      <c r="B35" s="901" t="s">
        <v>1126</v>
      </c>
      <c r="C35" s="705"/>
      <c r="D35" s="612">
        <f>60000+4716600</f>
        <v>4776600</v>
      </c>
      <c r="E35" s="72"/>
      <c r="F35" s="72"/>
      <c r="G35" s="72"/>
    </row>
    <row r="36" spans="1:7" s="229" customFormat="1" ht="27.75" customHeight="1" thickTop="1" thickBot="1" x14ac:dyDescent="0.25">
      <c r="A36" s="470" t="s">
        <v>374</v>
      </c>
      <c r="B36" s="899" t="s">
        <v>482</v>
      </c>
      <c r="C36" s="900"/>
      <c r="D36" s="471">
        <f>SUM(D26:D35)</f>
        <v>7105000</v>
      </c>
      <c r="E36" s="613" t="b">
        <f>D24=D36</f>
        <v>1</v>
      </c>
      <c r="F36" s="613" t="b">
        <f>D36='d3'!J36+'d3'!J209+'d3'!J295+'d3'!J326+'d3'!J368</f>
        <v>1</v>
      </c>
      <c r="G36" s="613" t="b">
        <f>D36='d7'!G310+'d7'!G265+'d7'!G191+'d7'!G38+'d7'!G338</f>
        <v>1</v>
      </c>
    </row>
    <row r="37" spans="1:7" s="231" customFormat="1" ht="27.75" customHeight="1" thickTop="1" x14ac:dyDescent="0.2">
      <c r="A37" s="473"/>
      <c r="B37" s="474"/>
      <c r="C37" s="399"/>
      <c r="D37" s="475"/>
      <c r="E37" s="10"/>
      <c r="F37" s="10"/>
    </row>
    <row r="38" spans="1:7" ht="15.75" x14ac:dyDescent="0.25">
      <c r="A38" s="456"/>
      <c r="B38" s="794" t="s">
        <v>1447</v>
      </c>
      <c r="C38" s="858"/>
      <c r="D38" s="250" t="s">
        <v>1448</v>
      </c>
      <c r="E38" s="272"/>
      <c r="F38" s="294"/>
    </row>
    <row r="39" spans="1:7" ht="15.75" hidden="1" x14ac:dyDescent="0.25">
      <c r="A39" s="456"/>
      <c r="B39" s="248" t="s">
        <v>1254</v>
      </c>
      <c r="C39" s="249"/>
      <c r="D39" s="248" t="s">
        <v>1255</v>
      </c>
      <c r="E39" s="272"/>
      <c r="F39" s="294"/>
    </row>
    <row r="40" spans="1:7" ht="30" hidden="1" x14ac:dyDescent="0.25">
      <c r="A40" s="456"/>
      <c r="B40" s="476" t="s">
        <v>1509</v>
      </c>
      <c r="C40" s="249"/>
      <c r="D40" s="350" t="s">
        <v>1508</v>
      </c>
      <c r="E40" s="272"/>
      <c r="F40" s="294"/>
    </row>
    <row r="41" spans="1:7" ht="15" x14ac:dyDescent="0.25">
      <c r="A41" s="456"/>
      <c r="B41" s="248"/>
      <c r="C41" s="248"/>
      <c r="D41" s="248"/>
      <c r="E41" s="11"/>
    </row>
    <row r="42" spans="1:7" ht="22.7" customHeight="1" x14ac:dyDescent="0.65">
      <c r="A42" s="477" t="s">
        <v>508</v>
      </c>
      <c r="B42" s="794" t="s">
        <v>506</v>
      </c>
      <c r="C42" s="858"/>
      <c r="D42" s="248" t="s">
        <v>1175</v>
      </c>
      <c r="E42" s="185"/>
    </row>
    <row r="43" spans="1:7" ht="18.75" x14ac:dyDescent="0.2">
      <c r="A43" s="232"/>
      <c r="B43" s="232"/>
      <c r="C43" s="232"/>
    </row>
    <row r="44" spans="1:7" ht="18.75" x14ac:dyDescent="0.2">
      <c r="A44" s="896"/>
      <c r="B44" s="896"/>
      <c r="C44" s="233"/>
    </row>
    <row r="50" spans="1:4" ht="16.5" x14ac:dyDescent="0.2">
      <c r="A50" s="895"/>
      <c r="B50" s="234"/>
      <c r="C50" s="235"/>
      <c r="D50" s="236"/>
    </row>
    <row r="51" spans="1:4" ht="16.5" x14ac:dyDescent="0.2">
      <c r="A51" s="895"/>
      <c r="B51" s="237"/>
      <c r="C51" s="235"/>
      <c r="D51" s="236"/>
    </row>
    <row r="52" spans="1:4" ht="16.5" x14ac:dyDescent="0.2">
      <c r="A52" s="895"/>
      <c r="B52" s="238"/>
      <c r="C52" s="235"/>
      <c r="D52" s="236"/>
    </row>
    <row r="53" spans="1:4" ht="16.5" x14ac:dyDescent="0.2">
      <c r="A53" s="895"/>
      <c r="B53" s="234"/>
      <c r="C53" s="235"/>
      <c r="D53" s="236"/>
    </row>
    <row r="54" spans="1:4" ht="16.5" x14ac:dyDescent="0.2">
      <c r="A54" s="895"/>
      <c r="B54" s="234" t="s">
        <v>1351</v>
      </c>
      <c r="C54" s="235"/>
      <c r="D54" s="236"/>
    </row>
    <row r="85" spans="6:6" x14ac:dyDescent="0.2">
      <c r="F85" s="894"/>
    </row>
    <row r="86" spans="6:6" x14ac:dyDescent="0.2">
      <c r="F86" s="787"/>
    </row>
    <row r="122" spans="4:6" x14ac:dyDescent="0.2">
      <c r="D122" s="93">
        <f>SUM(D123:D135)+D142</f>
        <v>88281</v>
      </c>
      <c r="F122" s="93">
        <f>G122+H122</f>
        <v>0</v>
      </c>
    </row>
    <row r="124" spans="4:6" x14ac:dyDescent="0.2">
      <c r="F124" s="93">
        <f t="shared" ref="F124:F134" si="0">G124+H124</f>
        <v>0</v>
      </c>
    </row>
    <row r="125" spans="4:6" x14ac:dyDescent="0.2">
      <c r="F125" s="93">
        <f t="shared" si="0"/>
        <v>0</v>
      </c>
    </row>
    <row r="126" spans="4:6" x14ac:dyDescent="0.2">
      <c r="F126" s="93">
        <f t="shared" si="0"/>
        <v>0</v>
      </c>
    </row>
    <row r="127" spans="4:6" x14ac:dyDescent="0.2">
      <c r="F127" s="93">
        <f t="shared" si="0"/>
        <v>0</v>
      </c>
    </row>
    <row r="128" spans="4:6" x14ac:dyDescent="0.2">
      <c r="F128" s="93">
        <f t="shared" si="0"/>
        <v>0</v>
      </c>
    </row>
    <row r="129" spans="1:10" x14ac:dyDescent="0.2">
      <c r="F129" s="93">
        <f t="shared" si="0"/>
        <v>0</v>
      </c>
    </row>
    <row r="130" spans="1:10" x14ac:dyDescent="0.2">
      <c r="F130" s="93">
        <f t="shared" si="0"/>
        <v>0</v>
      </c>
    </row>
    <row r="131" spans="1:10" x14ac:dyDescent="0.2">
      <c r="F131" s="93">
        <f t="shared" si="0"/>
        <v>0</v>
      </c>
    </row>
    <row r="132" spans="1:10" x14ac:dyDescent="0.2">
      <c r="F132" s="93">
        <f t="shared" si="0"/>
        <v>0</v>
      </c>
    </row>
    <row r="133" spans="1:10" x14ac:dyDescent="0.2">
      <c r="F133" s="93">
        <f t="shared" si="0"/>
        <v>0</v>
      </c>
    </row>
    <row r="134" spans="1:10" x14ac:dyDescent="0.2">
      <c r="F134" s="93">
        <f t="shared" si="0"/>
        <v>0</v>
      </c>
    </row>
    <row r="136" spans="1:10" x14ac:dyDescent="0.2">
      <c r="F136" s="93">
        <f>G137+H137</f>
        <v>0</v>
      </c>
    </row>
    <row r="137" spans="1:10" x14ac:dyDescent="0.2">
      <c r="F137" s="93">
        <f t="shared" ref="F137" si="1">G137+H137</f>
        <v>0</v>
      </c>
    </row>
    <row r="138" spans="1:10" x14ac:dyDescent="0.2">
      <c r="F138" s="93">
        <f>G138+H138</f>
        <v>0</v>
      </c>
    </row>
    <row r="139" spans="1:10" x14ac:dyDescent="0.2">
      <c r="F139" s="93">
        <f>G139+H139</f>
        <v>0</v>
      </c>
    </row>
    <row r="140" spans="1:10" x14ac:dyDescent="0.2">
      <c r="F140" s="93">
        <f>G140+H140</f>
        <v>0</v>
      </c>
    </row>
    <row r="141" spans="1:10" x14ac:dyDescent="0.2">
      <c r="F141" s="93">
        <f>G141+H141</f>
        <v>0</v>
      </c>
    </row>
    <row r="142" spans="1:10" x14ac:dyDescent="0.2">
      <c r="A142" s="93">
        <v>41057700</v>
      </c>
      <c r="B142" s="93" t="s">
        <v>1200</v>
      </c>
      <c r="D142" s="93">
        <v>88281</v>
      </c>
    </row>
    <row r="143" spans="1:10" x14ac:dyDescent="0.2">
      <c r="G143" s="93" t="b">
        <f>C143=C139+C138+C137+C117+C111+C105+C99+C98+C94+C93+C92+C91+C88+C87+C86+C85+C83+C82+C80+C78+C77+C76+C73+C72+C71+C69+C68+C64+C63+C62+C59+C58+C57+C55+C54+C50+C49+C48+C47+C46+C45+C44+C43+C42+C41+C35+C33+C30+C28+C26+C23+C21+C20+C19+C18+C103+C102+C36+C52+C128+C127+C109+C142</f>
        <v>1</v>
      </c>
      <c r="H143" s="93" t="e">
        <f>D143=D139+D138+D137+D117+D111+D105+D99+D98+D94+D93+D92+D91+D88+D87+D86+D85+D83+D82+D80+D78+D77+D76+D73+D72+D71+D69+D68+D64+D63+D62+D59+D58+D57+D55+D54+D50+D49+D48+D47+D46+D45+D44+D43+D42+D41+D35+D33+D30+D28+D26+D23+D21+D20+D19+D18+D103+D102+D36+D52+D128+D127+D109+D142</f>
        <v>#VALUE!</v>
      </c>
      <c r="I143" s="93" t="b">
        <f>E143=E139+E138+E137+E117+E111+E105+E99+E98+E94+E93+E92+E91+E88+E87+E86+E85+E83+E82+E80+E78+E77+E76+E73+E72+E71+E69+E68+E64+E63+E62+E59+E58+E57+E55+E54+E50+E49+E48+E47+E46+E45+E44+E43+E42+E41+E35+E33+E30+E28+E26+E23+E21+E20+E19+E18+E103+E102+E36+E52+E128+E127+E109+E142</f>
        <v>0</v>
      </c>
      <c r="J143" s="93" t="b">
        <f>F143=F139+F138+F137+F117+F111+F105+F99+F98+F94+F93+F92+F91+F88+F87+F86+F85+F83+F82+F80+F78+F77+F76+F73+F72+F71+F69+F68+F64+F63+F62+F59+F58+F57+F55+F54+F50+F49+F48+F47+F46+F45+F44+F43+F42+F41+F35+F33+F30+F28+F26+F23+F21+F20+F19+F18+F103+F102+F36+F52+F128+F127+F109+F142</f>
        <v>0</v>
      </c>
    </row>
    <row r="144" spans="1:10" x14ac:dyDescent="0.2">
      <c r="G144" s="93" t="b">
        <f>(3453807039-'d2'!C38+7423154+961639+622418100+3715400+4544686)+16400+4309689+6350319+16579700+88281=C143</f>
        <v>0</v>
      </c>
    </row>
    <row r="147" spans="6:9" ht="46.5" x14ac:dyDescent="0.2">
      <c r="I147" s="12"/>
    </row>
    <row r="150" spans="6:9" ht="46.5" x14ac:dyDescent="0.2">
      <c r="F150" s="12">
        <f>G150+H150</f>
        <v>0</v>
      </c>
      <c r="I150" s="12"/>
    </row>
    <row r="169" spans="10:10" ht="90" x14ac:dyDescent="0.2">
      <c r="J169" s="239" t="b">
        <f>F169=G169+H169</f>
        <v>1</v>
      </c>
    </row>
  </sheetData>
  <mergeCells count="40">
    <mergeCell ref="C1:D1"/>
    <mergeCell ref="C3:D3"/>
    <mergeCell ref="C4:D4"/>
    <mergeCell ref="B29:C29"/>
    <mergeCell ref="B28:C28"/>
    <mergeCell ref="B27:C27"/>
    <mergeCell ref="B26:C26"/>
    <mergeCell ref="B25:D25"/>
    <mergeCell ref="B13:D13"/>
    <mergeCell ref="B24:C24"/>
    <mergeCell ref="C2:F2"/>
    <mergeCell ref="E5:I5"/>
    <mergeCell ref="E7:I7"/>
    <mergeCell ref="E8:I8"/>
    <mergeCell ref="B18:C18"/>
    <mergeCell ref="A8:D8"/>
    <mergeCell ref="F85:F86"/>
    <mergeCell ref="A50:A54"/>
    <mergeCell ref="A44:B44"/>
    <mergeCell ref="B22:C22"/>
    <mergeCell ref="B21:C21"/>
    <mergeCell ref="B36:C36"/>
    <mergeCell ref="B35:C35"/>
    <mergeCell ref="B33:C33"/>
    <mergeCell ref="B31:C31"/>
    <mergeCell ref="B30:C30"/>
    <mergeCell ref="B23:C23"/>
    <mergeCell ref="B42:C42"/>
    <mergeCell ref="B38:C38"/>
    <mergeCell ref="B16:C16"/>
    <mergeCell ref="B15:C15"/>
    <mergeCell ref="B14:C14"/>
    <mergeCell ref="A5:D5"/>
    <mergeCell ref="A7:D7"/>
    <mergeCell ref="A6:D6"/>
    <mergeCell ref="E20:F20"/>
    <mergeCell ref="B17:C17"/>
    <mergeCell ref="B19:C19"/>
    <mergeCell ref="B20:C20"/>
    <mergeCell ref="B34:C34"/>
  </mergeCells>
  <pageMargins left="0.23622047244094491" right="0.31496062992125984" top="0.27559055118110237" bottom="0" header="0.23622047244094491" footer="0.19685039370078741"/>
  <pageSetup paperSize="9" scale="67" orientation="portrait"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80"/>
  <sheetViews>
    <sheetView tabSelected="1" view="pageBreakPreview" zoomScaleNormal="85" zoomScaleSheetLayoutView="100" workbookViewId="0">
      <selection activeCell="A4" sqref="A4:F4"/>
    </sheetView>
  </sheetViews>
  <sheetFormatPr defaultColWidth="9.140625" defaultRowHeight="12.75" x14ac:dyDescent="0.2"/>
  <cols>
    <col min="1" max="1" width="6.85546875" style="13" customWidth="1"/>
    <col min="2" max="2" width="15.140625" style="13" customWidth="1"/>
    <col min="3" max="3" width="15.28515625" style="13" customWidth="1"/>
    <col min="4" max="4" width="10.85546875" style="13" customWidth="1"/>
    <col min="5" max="5" width="57.28515625" style="13" customWidth="1"/>
    <col min="6" max="6" width="21.42578125" style="13" customWidth="1"/>
    <col min="7" max="10" width="15.7109375" style="13" bestFit="1" customWidth="1"/>
    <col min="11" max="11" width="52.5703125" style="13" customWidth="1"/>
    <col min="12" max="16384" width="9.140625" style="13"/>
  </cols>
  <sheetData>
    <row r="1" spans="1:10" x14ac:dyDescent="0.2">
      <c r="A1" s="478"/>
      <c r="B1" s="478"/>
      <c r="C1" s="478"/>
      <c r="D1" s="478"/>
      <c r="E1" s="478"/>
      <c r="F1" s="478" t="s">
        <v>572</v>
      </c>
      <c r="G1"/>
      <c r="H1"/>
      <c r="I1"/>
    </row>
    <row r="2" spans="1:10" x14ac:dyDescent="0.2">
      <c r="A2" s="478"/>
      <c r="B2" s="478"/>
      <c r="C2" s="478"/>
      <c r="D2" s="478"/>
      <c r="E2" s="478"/>
      <c r="F2" s="478" t="s">
        <v>1746</v>
      </c>
      <c r="G2"/>
      <c r="H2"/>
      <c r="I2"/>
    </row>
    <row r="3" spans="1:10" x14ac:dyDescent="0.2">
      <c r="A3" s="478"/>
      <c r="B3" s="478"/>
      <c r="C3" s="478"/>
      <c r="D3" s="478"/>
      <c r="E3" s="478"/>
      <c r="F3" s="914" t="s">
        <v>1747</v>
      </c>
      <c r="G3" s="827"/>
      <c r="H3" s="827"/>
      <c r="I3" s="827"/>
    </row>
    <row r="4" spans="1:10" ht="15.75" x14ac:dyDescent="0.25">
      <c r="A4" s="915" t="s">
        <v>551</v>
      </c>
      <c r="B4" s="720"/>
      <c r="C4" s="720"/>
      <c r="D4" s="720"/>
      <c r="E4" s="720"/>
      <c r="F4" s="720"/>
      <c r="G4"/>
      <c r="H4"/>
      <c r="I4"/>
    </row>
    <row r="5" spans="1:10" ht="15.75" x14ac:dyDescent="0.25">
      <c r="A5" s="915" t="s">
        <v>550</v>
      </c>
      <c r="B5" s="720"/>
      <c r="C5" s="720"/>
      <c r="D5" s="720"/>
      <c r="E5" s="720"/>
      <c r="F5" s="720"/>
      <c r="G5"/>
      <c r="H5"/>
      <c r="I5"/>
    </row>
    <row r="6" spans="1:10" ht="15.75" x14ac:dyDescent="0.25">
      <c r="A6" s="915" t="s">
        <v>860</v>
      </c>
      <c r="B6" s="720"/>
      <c r="C6" s="720"/>
      <c r="D6" s="720"/>
      <c r="E6" s="720"/>
      <c r="F6" s="720"/>
      <c r="G6"/>
      <c r="H6"/>
      <c r="I6"/>
    </row>
    <row r="7" spans="1:10" ht="15.75" x14ac:dyDescent="0.25">
      <c r="A7"/>
      <c r="B7"/>
      <c r="C7" s="915" t="s">
        <v>1538</v>
      </c>
      <c r="D7" s="720"/>
      <c r="E7" s="720"/>
      <c r="F7"/>
      <c r="G7"/>
      <c r="H7"/>
      <c r="I7"/>
    </row>
    <row r="8" spans="1:10" ht="12.75" customHeight="1" x14ac:dyDescent="0.25">
      <c r="A8" s="479"/>
      <c r="B8" s="479"/>
      <c r="C8" s="479"/>
      <c r="D8" s="479"/>
      <c r="E8" s="479"/>
      <c r="F8" s="479"/>
      <c r="G8" s="479"/>
      <c r="H8" s="479"/>
      <c r="I8" s="479"/>
      <c r="J8" s="240"/>
    </row>
    <row r="9" spans="1:10" x14ac:dyDescent="0.2">
      <c r="A9" s="782">
        <v>2256400000</v>
      </c>
      <c r="B9" s="720"/>
      <c r="C9" s="398"/>
      <c r="D9" s="398"/>
      <c r="E9" s="398"/>
      <c r="F9" s="398"/>
      <c r="G9"/>
      <c r="H9"/>
      <c r="I9"/>
    </row>
    <row r="10" spans="1:10" x14ac:dyDescent="0.2">
      <c r="A10" s="784" t="s">
        <v>478</v>
      </c>
      <c r="B10" s="912"/>
      <c r="C10" s="398"/>
      <c r="D10" s="398"/>
      <c r="E10" s="398"/>
      <c r="F10" s="398"/>
      <c r="G10"/>
      <c r="H10"/>
      <c r="I10"/>
    </row>
    <row r="11" spans="1:10" ht="13.5" thickBot="1" x14ac:dyDescent="0.25">
      <c r="A11" s="440"/>
      <c r="B11" s="440"/>
      <c r="C11" s="398"/>
      <c r="D11" s="398"/>
      <c r="E11" s="398"/>
      <c r="F11" s="398"/>
      <c r="G11"/>
      <c r="H11"/>
      <c r="I11"/>
    </row>
    <row r="12" spans="1:10" ht="48" customHeight="1" thickTop="1" thickBot="1" x14ac:dyDescent="0.25">
      <c r="A12" s="480" t="s">
        <v>311</v>
      </c>
      <c r="B12" s="481" t="s">
        <v>312</v>
      </c>
      <c r="C12" s="481" t="s">
        <v>20</v>
      </c>
      <c r="D12" s="481" t="s">
        <v>16</v>
      </c>
      <c r="E12" s="480" t="s">
        <v>313</v>
      </c>
      <c r="F12" s="482" t="s">
        <v>398</v>
      </c>
      <c r="G12" s="19"/>
      <c r="H12"/>
      <c r="I12"/>
    </row>
    <row r="13" spans="1:10" ht="48" customHeight="1" thickTop="1" thickBot="1" x14ac:dyDescent="0.25">
      <c r="A13" s="697">
        <v>1</v>
      </c>
      <c r="B13" s="698" t="s">
        <v>1034</v>
      </c>
      <c r="C13" s="698" t="s">
        <v>1035</v>
      </c>
      <c r="D13" s="698" t="s">
        <v>51</v>
      </c>
      <c r="E13" s="699" t="s">
        <v>1735</v>
      </c>
      <c r="F13" s="700">
        <v>2500000</v>
      </c>
      <c r="G13" s="19"/>
      <c r="H13"/>
      <c r="I13"/>
    </row>
    <row r="14" spans="1:10" ht="33.75" hidden="1" customHeight="1" thickTop="1" thickBot="1" x14ac:dyDescent="0.25">
      <c r="A14" s="697">
        <v>1</v>
      </c>
      <c r="B14" s="698" t="s">
        <v>1034</v>
      </c>
      <c r="C14" s="698" t="s">
        <v>1035</v>
      </c>
      <c r="D14" s="698" t="s">
        <v>51</v>
      </c>
      <c r="E14" s="699" t="s">
        <v>1295</v>
      </c>
      <c r="F14" s="700">
        <v>195000</v>
      </c>
      <c r="G14" s="18"/>
    </row>
    <row r="15" spans="1:10" ht="29.25" hidden="1" customHeight="1" thickTop="1" thickBot="1" x14ac:dyDescent="0.25">
      <c r="A15" s="697">
        <v>2</v>
      </c>
      <c r="B15" s="698" t="s">
        <v>1034</v>
      </c>
      <c r="C15" s="698" t="s">
        <v>1035</v>
      </c>
      <c r="D15" s="698" t="s">
        <v>51</v>
      </c>
      <c r="E15" s="699" t="s">
        <v>1374</v>
      </c>
      <c r="F15" s="700">
        <v>250000</v>
      </c>
      <c r="G15" s="18"/>
    </row>
    <row r="16" spans="1:10" ht="50.25" hidden="1" customHeight="1" thickTop="1" thickBot="1" x14ac:dyDescent="0.25">
      <c r="A16" s="697">
        <v>3</v>
      </c>
      <c r="B16" s="698" t="s">
        <v>1034</v>
      </c>
      <c r="C16" s="698" t="s">
        <v>1035</v>
      </c>
      <c r="D16" s="698" t="s">
        <v>51</v>
      </c>
      <c r="E16" s="699" t="s">
        <v>1725</v>
      </c>
      <c r="F16" s="701">
        <v>90000</v>
      </c>
      <c r="G16" s="18"/>
    </row>
    <row r="17" spans="1:7" ht="48.75" hidden="1" thickTop="1" thickBot="1" x14ac:dyDescent="0.25">
      <c r="A17" s="385">
        <v>3</v>
      </c>
      <c r="B17" s="386" t="s">
        <v>1034</v>
      </c>
      <c r="C17" s="386" t="s">
        <v>1035</v>
      </c>
      <c r="D17" s="386" t="s">
        <v>51</v>
      </c>
      <c r="E17" s="387" t="s">
        <v>1497</v>
      </c>
      <c r="F17" s="388"/>
      <c r="G17" s="18"/>
    </row>
    <row r="18" spans="1:7" ht="48.75" hidden="1" thickTop="1" thickBot="1" x14ac:dyDescent="0.25">
      <c r="A18" s="697">
        <v>4</v>
      </c>
      <c r="B18" s="698" t="s">
        <v>1034</v>
      </c>
      <c r="C18" s="698" t="s">
        <v>1035</v>
      </c>
      <c r="D18" s="698" t="s">
        <v>51</v>
      </c>
      <c r="E18" s="699" t="s">
        <v>1375</v>
      </c>
      <c r="F18" s="701">
        <v>70000</v>
      </c>
      <c r="G18" s="18"/>
    </row>
    <row r="19" spans="1:7" ht="48.75" hidden="1" thickTop="1" thickBot="1" x14ac:dyDescent="0.25">
      <c r="A19" s="697">
        <v>4.7</v>
      </c>
      <c r="B19" s="386" t="s">
        <v>1034</v>
      </c>
      <c r="C19" s="386" t="s">
        <v>1035</v>
      </c>
      <c r="D19" s="386" t="s">
        <v>51</v>
      </c>
      <c r="E19" s="387" t="s">
        <v>1376</v>
      </c>
      <c r="F19" s="388"/>
      <c r="G19" s="18"/>
    </row>
    <row r="20" spans="1:7" ht="33" hidden="1" thickTop="1" thickBot="1" x14ac:dyDescent="0.25">
      <c r="A20" s="697">
        <v>5</v>
      </c>
      <c r="B20" s="698" t="s">
        <v>1034</v>
      </c>
      <c r="C20" s="698" t="s">
        <v>1035</v>
      </c>
      <c r="D20" s="698" t="s">
        <v>51</v>
      </c>
      <c r="E20" s="699" t="s">
        <v>1726</v>
      </c>
      <c r="F20" s="701">
        <v>90000</v>
      </c>
      <c r="G20" s="18"/>
    </row>
    <row r="21" spans="1:7" ht="17.25" hidden="1" thickTop="1" thickBot="1" x14ac:dyDescent="0.25">
      <c r="A21" s="697">
        <v>6.1</v>
      </c>
      <c r="B21" s="386" t="s">
        <v>1034</v>
      </c>
      <c r="C21" s="386" t="s">
        <v>1035</v>
      </c>
      <c r="D21" s="386" t="s">
        <v>51</v>
      </c>
      <c r="E21" s="387" t="s">
        <v>1377</v>
      </c>
      <c r="F21" s="388"/>
      <c r="G21" s="18"/>
    </row>
    <row r="22" spans="1:7" ht="29.25" hidden="1" customHeight="1" thickTop="1" thickBot="1" x14ac:dyDescent="0.25">
      <c r="A22" s="697">
        <v>6</v>
      </c>
      <c r="B22" s="698" t="s">
        <v>1034</v>
      </c>
      <c r="C22" s="698" t="s">
        <v>1035</v>
      </c>
      <c r="D22" s="698" t="s">
        <v>51</v>
      </c>
      <c r="E22" s="699" t="s">
        <v>1727</v>
      </c>
      <c r="F22" s="701">
        <v>100000</v>
      </c>
      <c r="G22" s="18"/>
    </row>
    <row r="23" spans="1:7" ht="48.75" hidden="1" thickTop="1" thickBot="1" x14ac:dyDescent="0.25">
      <c r="A23" s="697">
        <v>7</v>
      </c>
      <c r="B23" s="698" t="s">
        <v>1034</v>
      </c>
      <c r="C23" s="698" t="s">
        <v>1035</v>
      </c>
      <c r="D23" s="698" t="s">
        <v>51</v>
      </c>
      <c r="E23" s="699" t="s">
        <v>1728</v>
      </c>
      <c r="F23" s="701">
        <v>20000</v>
      </c>
      <c r="G23" s="18"/>
    </row>
    <row r="24" spans="1:7" ht="80.25" hidden="1" thickTop="1" thickBot="1" x14ac:dyDescent="0.25">
      <c r="A24" s="697">
        <v>8</v>
      </c>
      <c r="B24" s="698" t="s">
        <v>1034</v>
      </c>
      <c r="C24" s="698" t="s">
        <v>1035</v>
      </c>
      <c r="D24" s="698" t="s">
        <v>51</v>
      </c>
      <c r="E24" s="699" t="s">
        <v>1729</v>
      </c>
      <c r="F24" s="701">
        <v>70000</v>
      </c>
      <c r="G24" s="18"/>
    </row>
    <row r="25" spans="1:7" ht="59.25" hidden="1" customHeight="1" thickTop="1" thickBot="1" x14ac:dyDescent="0.25">
      <c r="A25" s="697">
        <v>9</v>
      </c>
      <c r="B25" s="698" t="s">
        <v>1034</v>
      </c>
      <c r="C25" s="698" t="s">
        <v>1035</v>
      </c>
      <c r="D25" s="698" t="s">
        <v>51</v>
      </c>
      <c r="E25" s="699" t="s">
        <v>1730</v>
      </c>
      <c r="F25" s="701">
        <v>60000</v>
      </c>
      <c r="G25" s="18"/>
    </row>
    <row r="26" spans="1:7" ht="92.25" hidden="1" customHeight="1" thickTop="1" thickBot="1" x14ac:dyDescent="0.25">
      <c r="A26" s="697">
        <v>10</v>
      </c>
      <c r="B26" s="698" t="s">
        <v>1034</v>
      </c>
      <c r="C26" s="698" t="s">
        <v>1035</v>
      </c>
      <c r="D26" s="698" t="s">
        <v>51</v>
      </c>
      <c r="E26" s="699" t="s">
        <v>1731</v>
      </c>
      <c r="F26" s="701">
        <v>100000</v>
      </c>
      <c r="G26" s="18"/>
    </row>
    <row r="27" spans="1:7" ht="63" hidden="1" customHeight="1" thickTop="1" thickBot="1" x14ac:dyDescent="0.25">
      <c r="A27" s="697">
        <v>11</v>
      </c>
      <c r="B27" s="698" t="s">
        <v>1034</v>
      </c>
      <c r="C27" s="698" t="s">
        <v>1035</v>
      </c>
      <c r="D27" s="698" t="s">
        <v>51</v>
      </c>
      <c r="E27" s="699" t="s">
        <v>1732</v>
      </c>
      <c r="F27" s="701">
        <v>80000</v>
      </c>
      <c r="G27" s="18"/>
    </row>
    <row r="28" spans="1:7" ht="30" hidden="1" customHeight="1" thickTop="1" thickBot="1" x14ac:dyDescent="0.25">
      <c r="A28" s="697">
        <v>12</v>
      </c>
      <c r="B28" s="698" t="s">
        <v>1034</v>
      </c>
      <c r="C28" s="698" t="s">
        <v>1035</v>
      </c>
      <c r="D28" s="698" t="s">
        <v>51</v>
      </c>
      <c r="E28" s="699" t="s">
        <v>1733</v>
      </c>
      <c r="F28" s="701">
        <v>100000</v>
      </c>
      <c r="G28" s="18"/>
    </row>
    <row r="29" spans="1:7" ht="60.75" hidden="1" customHeight="1" thickTop="1" thickBot="1" x14ac:dyDescent="0.25">
      <c r="A29" s="697">
        <v>13</v>
      </c>
      <c r="B29" s="698" t="s">
        <v>1034</v>
      </c>
      <c r="C29" s="698" t="s">
        <v>1035</v>
      </c>
      <c r="D29" s="698" t="s">
        <v>51</v>
      </c>
      <c r="E29" s="699" t="s">
        <v>1734</v>
      </c>
      <c r="F29" s="701">
        <v>1275000</v>
      </c>
      <c r="G29" s="18"/>
    </row>
    <row r="30" spans="1:7" ht="33" hidden="1" thickTop="1" thickBot="1" x14ac:dyDescent="0.25">
      <c r="A30" s="385">
        <v>6</v>
      </c>
      <c r="B30" s="386" t="s">
        <v>1034</v>
      </c>
      <c r="C30" s="386" t="s">
        <v>1035</v>
      </c>
      <c r="D30" s="386" t="s">
        <v>51</v>
      </c>
      <c r="E30" s="387" t="s">
        <v>1378</v>
      </c>
      <c r="F30" s="388"/>
      <c r="G30" s="18"/>
    </row>
    <row r="31" spans="1:7" ht="48.75" hidden="1" thickTop="1" thickBot="1" x14ac:dyDescent="0.25">
      <c r="A31" s="385">
        <v>7</v>
      </c>
      <c r="B31" s="386" t="s">
        <v>1034</v>
      </c>
      <c r="C31" s="386" t="s">
        <v>1035</v>
      </c>
      <c r="D31" s="386" t="s">
        <v>51</v>
      </c>
      <c r="E31" s="387" t="s">
        <v>1379</v>
      </c>
      <c r="F31" s="388"/>
      <c r="G31" s="18"/>
    </row>
    <row r="32" spans="1:7" ht="48.75" hidden="1" thickTop="1" thickBot="1" x14ac:dyDescent="0.25">
      <c r="A32" s="385">
        <v>8</v>
      </c>
      <c r="B32" s="386" t="s">
        <v>1034</v>
      </c>
      <c r="C32" s="386" t="s">
        <v>1035</v>
      </c>
      <c r="D32" s="386" t="s">
        <v>51</v>
      </c>
      <c r="E32" s="387" t="s">
        <v>1382</v>
      </c>
      <c r="F32" s="388"/>
      <c r="G32" s="18"/>
    </row>
    <row r="33" spans="1:8" ht="33" hidden="1" thickTop="1" thickBot="1" x14ac:dyDescent="0.25">
      <c r="A33" s="385">
        <v>9</v>
      </c>
      <c r="B33" s="386" t="s">
        <v>1034</v>
      </c>
      <c r="C33" s="386" t="s">
        <v>1035</v>
      </c>
      <c r="D33" s="386" t="s">
        <v>51</v>
      </c>
      <c r="E33" s="387" t="s">
        <v>1380</v>
      </c>
      <c r="F33" s="388"/>
      <c r="G33" s="18"/>
    </row>
    <row r="34" spans="1:8" ht="80.25" hidden="1" thickTop="1" thickBot="1" x14ac:dyDescent="0.25">
      <c r="A34" s="385">
        <v>10</v>
      </c>
      <c r="B34" s="386" t="s">
        <v>1034</v>
      </c>
      <c r="C34" s="386" t="s">
        <v>1035</v>
      </c>
      <c r="D34" s="386" t="s">
        <v>51</v>
      </c>
      <c r="E34" s="387" t="s">
        <v>1381</v>
      </c>
      <c r="F34" s="388"/>
      <c r="G34" s="18"/>
    </row>
    <row r="35" spans="1:8" ht="80.25" hidden="1" thickTop="1" thickBot="1" x14ac:dyDescent="0.25">
      <c r="A35" s="385">
        <v>11</v>
      </c>
      <c r="B35" s="386" t="s">
        <v>1034</v>
      </c>
      <c r="C35" s="386" t="s">
        <v>1035</v>
      </c>
      <c r="D35" s="386" t="s">
        <v>51</v>
      </c>
      <c r="E35" s="387" t="s">
        <v>1465</v>
      </c>
      <c r="F35" s="388"/>
      <c r="G35" s="18"/>
    </row>
    <row r="36" spans="1:8" ht="127.5" hidden="1" thickTop="1" thickBot="1" x14ac:dyDescent="0.25">
      <c r="A36" s="385">
        <v>12</v>
      </c>
      <c r="B36" s="386" t="s">
        <v>1034</v>
      </c>
      <c r="C36" s="386" t="s">
        <v>1035</v>
      </c>
      <c r="D36" s="386" t="s">
        <v>51</v>
      </c>
      <c r="E36" s="387" t="s">
        <v>1466</v>
      </c>
      <c r="F36" s="388"/>
      <c r="G36" s="18"/>
    </row>
    <row r="37" spans="1:8" ht="33" hidden="1" thickTop="1" thickBot="1" x14ac:dyDescent="0.25">
      <c r="A37" s="385">
        <v>13</v>
      </c>
      <c r="B37" s="386" t="s">
        <v>1034</v>
      </c>
      <c r="C37" s="386" t="s">
        <v>1035</v>
      </c>
      <c r="D37" s="386" t="s">
        <v>51</v>
      </c>
      <c r="E37" s="387" t="s">
        <v>1467</v>
      </c>
      <c r="F37" s="388"/>
      <c r="G37" s="18"/>
    </row>
    <row r="38" spans="1:8" ht="32.25" customHeight="1" thickTop="1" thickBot="1" x14ac:dyDescent="0.25">
      <c r="A38" s="483" t="s">
        <v>374</v>
      </c>
      <c r="B38" s="483" t="s">
        <v>374</v>
      </c>
      <c r="C38" s="483" t="s">
        <v>374</v>
      </c>
      <c r="D38" s="483" t="s">
        <v>374</v>
      </c>
      <c r="E38" s="483" t="s">
        <v>384</v>
      </c>
      <c r="F38" s="484">
        <f>F13</f>
        <v>2500000</v>
      </c>
      <c r="G38" s="570" t="b">
        <f>F38='d3'!P430</f>
        <v>1</v>
      </c>
      <c r="H38" s="570" t="b">
        <f>F38='d7'!G383</f>
        <v>1</v>
      </c>
    </row>
    <row r="39" spans="1:8" ht="16.5" thickTop="1" x14ac:dyDescent="0.2">
      <c r="A39" s="485"/>
      <c r="B39" s="485"/>
      <c r="C39" s="485"/>
      <c r="D39" s="485"/>
      <c r="E39" s="485"/>
      <c r="F39" s="486"/>
    </row>
    <row r="40" spans="1:8" ht="15.75" hidden="1" customHeight="1" x14ac:dyDescent="0.25">
      <c r="A40" s="438"/>
      <c r="B40" s="1"/>
      <c r="C40" s="439"/>
      <c r="D40" s="1"/>
      <c r="E40" s="1"/>
      <c r="F40" s="1"/>
    </row>
    <row r="41" spans="1:8" ht="27" hidden="1" customHeight="1" x14ac:dyDescent="0.2">
      <c r="A41" s="913" t="s">
        <v>506</v>
      </c>
      <c r="B41" s="913"/>
      <c r="C41" s="913"/>
      <c r="D41" s="913"/>
      <c r="E41" s="438"/>
      <c r="F41" s="487" t="s">
        <v>507</v>
      </c>
    </row>
    <row r="42" spans="1:8" ht="15.75" hidden="1" x14ac:dyDescent="0.2">
      <c r="A42" s="488"/>
      <c r="B42" s="488"/>
      <c r="C42" s="488"/>
      <c r="D42" s="488"/>
      <c r="E42" s="438"/>
      <c r="F42" s="489"/>
    </row>
    <row r="43" spans="1:8" ht="15.75" x14ac:dyDescent="0.25">
      <c r="A43" s="438"/>
      <c r="B43" s="794" t="s">
        <v>1447</v>
      </c>
      <c r="C43" s="858"/>
      <c r="D43" s="250"/>
      <c r="E43" s="1"/>
      <c r="F43" s="250" t="s">
        <v>1448</v>
      </c>
    </row>
    <row r="44" spans="1:8" ht="15.75" hidden="1" x14ac:dyDescent="0.25">
      <c r="A44" s="438"/>
      <c r="B44" s="248" t="s">
        <v>1283</v>
      </c>
      <c r="C44" s="251"/>
      <c r="D44" s="248"/>
      <c r="E44" s="248"/>
      <c r="F44" s="248" t="s">
        <v>1255</v>
      </c>
    </row>
    <row r="45" spans="1:8" ht="15.75" hidden="1" x14ac:dyDescent="0.2">
      <c r="A45" s="438"/>
      <c r="B45" s="916" t="s">
        <v>1509</v>
      </c>
      <c r="C45" s="916"/>
      <c r="D45" s="916"/>
      <c r="E45" s="916"/>
      <c r="F45" s="350" t="s">
        <v>1508</v>
      </c>
    </row>
    <row r="46" spans="1:8" ht="15.75" x14ac:dyDescent="0.25">
      <c r="A46" s="488"/>
      <c r="B46" s="248"/>
      <c r="C46" s="248"/>
      <c r="D46" s="248"/>
      <c r="E46" s="248"/>
      <c r="F46" s="248"/>
    </row>
    <row r="47" spans="1:8" ht="15.75" x14ac:dyDescent="0.25">
      <c r="A47" s="488"/>
      <c r="B47" s="794" t="s">
        <v>506</v>
      </c>
      <c r="C47" s="858"/>
      <c r="D47" s="248"/>
      <c r="E47" s="248"/>
      <c r="F47" s="248" t="s">
        <v>1175</v>
      </c>
    </row>
    <row r="96" spans="7:7" x14ac:dyDescent="0.2">
      <c r="G96" s="787"/>
    </row>
    <row r="97" spans="7:7" x14ac:dyDescent="0.2">
      <c r="G97" s="787"/>
    </row>
    <row r="131" spans="4:4" x14ac:dyDescent="0.2">
      <c r="D131" s="13">
        <f>SUM(D132:D144)+D151</f>
        <v>88281</v>
      </c>
    </row>
    <row r="151" spans="1:10" x14ac:dyDescent="0.2">
      <c r="A151" s="13">
        <v>41057700</v>
      </c>
      <c r="B151" s="13" t="s">
        <v>1200</v>
      </c>
      <c r="D151" s="13">
        <v>88281</v>
      </c>
    </row>
    <row r="152" spans="1:10" x14ac:dyDescent="0.2">
      <c r="G152" s="13" t="e">
        <f>C152=C148+C147+C146+C126+C120+C114+C108+C107+C103+C102+C101+C100+C97+C96+C95+C94+C92+C91+C89+C87+C86+C85+C82+C81+C80+C78+C77+C73+C72+C71+C68+C67+C66+C64+C63+C59+C58+C57+C56+C55+C54+C53+C52+C51+C50+C46+C42+C39+#REF!+#REF!+#REF!+#REF!+#REF!+#REF!+#REF!+C112+C111+C47+C61+C137+C136+C118+C151</f>
        <v>#REF!</v>
      </c>
      <c r="H152" s="13" t="e">
        <f>D152=D148+D147+D146+D126+D120+D114+D108+D107+D103+D102+D101+D100+D97+D96+D95+D94+D92+D91+D89+D87+D86+D85+D82+D81+D80+D78+D77+D73+D72+D71+D68+D67+D66+D64+D63+D59+D58+D57+D56+D55+D54+D53+D52+D51+D50+D46+D42+D39+#REF!+#REF!+#REF!+#REF!+#REF!+#REF!+#REF!+D112+D111+D47+D61+D137+D136+D118+D151</f>
        <v>#REF!</v>
      </c>
      <c r="I152" s="13" t="e">
        <f>E152=E148+E147+E146+E126+E120+E114+E108+E107+E103+E102+E101+E100+E97+E96+E95+E94+E92+E91+E89+E87+E86+E85+E82+E81+E80+E78+E77+E73+E72+E71+E68+E67+E66+E64+E63+E59+E58+E57+E56+E55+E54+E53+E52+E51+E50+E46+E42+E39+#REF!+#REF!+#REF!+#REF!+#REF!+#REF!+#REF!+E112+E111+E47+E61+E137+E136+E118+E151</f>
        <v>#REF!</v>
      </c>
      <c r="J152" s="13" t="e">
        <f>F152=F148+F147+F146+F126+F120+F114+F108+F107+F103+F102+F101+F100+F97+F96+F95+F94+F92+F91+F89+F87+F86+F85+F82+F81+F80+F78+F77+F73+F72+F71+F68+F67+F66+F64+F63+F59+F58+F57+F56+F55+F54+F53+F52+F51+F50+F46+F42+F39+#REF!+#REF!+#REF!+#REF!+#REF!+#REF!+#REF!+F112+F111+F47+F61+F137+F136+F118+F151</f>
        <v>#REF!</v>
      </c>
    </row>
    <row r="153" spans="1:10" x14ac:dyDescent="0.2">
      <c r="G153" s="13" t="b">
        <f>(3453807039-'d2'!C38+7423154+961639+622418100+3715400+4544686)+16400+4309689+6350319+16579700+88281=C152</f>
        <v>0</v>
      </c>
    </row>
    <row r="158" spans="1:10" ht="46.5" x14ac:dyDescent="0.65">
      <c r="J158" s="9"/>
    </row>
    <row r="161" spans="7:10" ht="46.5" x14ac:dyDescent="0.65">
      <c r="G161" s="9"/>
      <c r="J161" s="9"/>
    </row>
    <row r="180" spans="11:11" ht="90" x14ac:dyDescent="1.1499999999999999">
      <c r="K180" s="241" t="b">
        <f>G180=H180+I180</f>
        <v>1</v>
      </c>
    </row>
  </sheetData>
  <mergeCells count="12">
    <mergeCell ref="A10:B10"/>
    <mergeCell ref="A41:D41"/>
    <mergeCell ref="G96:G97"/>
    <mergeCell ref="F3:I3"/>
    <mergeCell ref="A4:F4"/>
    <mergeCell ref="A5:F5"/>
    <mergeCell ref="A6:F6"/>
    <mergeCell ref="C7:E7"/>
    <mergeCell ref="A9:B9"/>
    <mergeCell ref="B47:C47"/>
    <mergeCell ref="B43:C43"/>
    <mergeCell ref="B45:E45"/>
  </mergeCells>
  <pageMargins left="0.74803149606299213" right="0.74803149606299213" top="0.98425196850393704" bottom="0.98425196850393704" header="0.51181102362204722" footer="0.51181102362204722"/>
  <pageSetup paperSize="9" scale="69"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9</vt:i4>
      </vt:variant>
      <vt:variant>
        <vt:lpstr>Іменовані діапазони</vt:lpstr>
      </vt:variant>
      <vt:variant>
        <vt:i4>12</vt:i4>
      </vt:variant>
    </vt:vector>
  </HeadingPairs>
  <TitlesOfParts>
    <vt:vector size="21" baseType="lpstr">
      <vt:lpstr>d1</vt:lpstr>
      <vt:lpstr>d2</vt:lpstr>
      <vt:lpstr>d3</vt:lpstr>
      <vt:lpstr>d4</vt:lpstr>
      <vt:lpstr>d5</vt:lpstr>
      <vt:lpstr>d6</vt:lpstr>
      <vt:lpstr>d7</vt:lpstr>
      <vt:lpstr>d8</vt:lpstr>
      <vt:lpstr>d9</vt:lpstr>
      <vt:lpstr>'d3'!Заголовки_для_друку</vt:lpstr>
      <vt:lpstr>'d6'!Заголовки_для_друку</vt:lpstr>
      <vt:lpstr>'d7'!Заголовки_для_друку</vt:lpstr>
      <vt:lpstr>'d1'!Область_друку</vt:lpstr>
      <vt:lpstr>'d2'!Область_друку</vt:lpstr>
      <vt:lpstr>'d3'!Область_друку</vt:lpstr>
      <vt:lpstr>'d4'!Область_друку</vt:lpstr>
      <vt:lpstr>'d5'!Область_друку</vt:lpstr>
      <vt:lpstr>'d6'!Область_друку</vt:lpstr>
      <vt:lpstr>'d7'!Область_друку</vt:lpstr>
      <vt:lpstr>'d8'!Область_друку</vt:lpstr>
      <vt:lpstr>'d9'!Область_друку</vt:lpstr>
    </vt:vector>
  </TitlesOfParts>
  <Company>Міське фінуправління</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Власюк Олена</dc:creator>
  <cp:lastModifiedBy>Кірічук Оксана Володимирівна</cp:lastModifiedBy>
  <cp:lastPrinted>2025-12-16T11:27:49Z</cp:lastPrinted>
  <dcterms:created xsi:type="dcterms:W3CDTF">2001-12-03T09:30:42Z</dcterms:created>
  <dcterms:modified xsi:type="dcterms:W3CDTF">2025-12-17T14:16:03Z</dcterms:modified>
</cp:coreProperties>
</file>