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ocs\ZagVid\Рішення 2025\13.11.2025\"/>
    </mc:Choice>
  </mc:AlternateContent>
  <bookViews>
    <workbookView xWindow="0" yWindow="0" windowWidth="28800" windowHeight="12435"/>
  </bookViews>
  <sheets>
    <sheet name="d2" sheetId="1" r:id="rId1"/>
  </sheets>
  <definedNames>
    <definedName name="_xlnm.Print_Titles" localSheetId="0">'d2'!$10:$13</definedName>
    <definedName name="_xlnm.Print_Area" localSheetId="0">'d2'!$B$1:$N$252</definedName>
    <definedName name="С16">#REF!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14" i="1" l="1"/>
  <c r="S207" i="1"/>
  <c r="S147" i="1"/>
  <c r="S137" i="1"/>
  <c r="T248" i="1"/>
  <c r="K234" i="1"/>
  <c r="K225" i="1"/>
  <c r="I212" i="1"/>
  <c r="I209" i="1"/>
  <c r="I207" i="1"/>
  <c r="I179" i="1"/>
  <c r="O147" i="1"/>
  <c r="J147" i="1"/>
  <c r="G147" i="1"/>
  <c r="F147" i="1"/>
  <c r="E147" i="1"/>
  <c r="N163" i="1"/>
  <c r="K163" i="1"/>
  <c r="I134" i="1"/>
  <c r="I133" i="1"/>
  <c r="I131" i="1"/>
  <c r="J132" i="1"/>
  <c r="I132" i="1"/>
  <c r="G132" i="1"/>
  <c r="F132" i="1"/>
  <c r="E132" i="1"/>
  <c r="N135" i="1"/>
  <c r="K135" i="1"/>
  <c r="N128" i="1"/>
  <c r="I114" i="1"/>
  <c r="J114" i="1"/>
  <c r="G114" i="1"/>
  <c r="F114" i="1"/>
  <c r="E114" i="1"/>
  <c r="K74" i="1"/>
  <c r="I61" i="1"/>
  <c r="K39" i="1"/>
  <c r="K65" i="1"/>
  <c r="N65" i="1"/>
  <c r="J64" i="1"/>
  <c r="I64" i="1"/>
  <c r="G64" i="1"/>
  <c r="F64" i="1"/>
  <c r="E64" i="1"/>
  <c r="J55" i="1"/>
  <c r="I55" i="1"/>
  <c r="G55" i="1"/>
  <c r="F55" i="1"/>
  <c r="E55" i="1"/>
  <c r="K57" i="1"/>
  <c r="N57" i="1"/>
  <c r="I18" i="1"/>
  <c r="I16" i="1"/>
  <c r="N15" i="1"/>
  <c r="K128" i="1" l="1"/>
  <c r="K64" i="1"/>
  <c r="N64" i="1"/>
  <c r="F192" i="1"/>
  <c r="G192" i="1"/>
  <c r="H182" i="1"/>
  <c r="H105" i="1" l="1"/>
  <c r="K56" i="1"/>
  <c r="N56" i="1"/>
  <c r="H56" i="1"/>
  <c r="N55" i="1"/>
  <c r="K200" i="1"/>
  <c r="K178" i="1"/>
  <c r="K173" i="1"/>
  <c r="K168" i="1"/>
  <c r="K113" i="1"/>
  <c r="N82" i="1"/>
  <c r="K82" i="1"/>
  <c r="K71" i="1"/>
  <c r="H55" i="1" l="1"/>
  <c r="H226" i="1"/>
  <c r="H190" i="1"/>
  <c r="F156" i="1"/>
  <c r="H152" i="1"/>
  <c r="G96" i="1"/>
  <c r="N96" i="1" s="1"/>
  <c r="F96" i="1"/>
  <c r="E96" i="1"/>
  <c r="N97" i="1"/>
  <c r="H97" i="1"/>
  <c r="G143" i="1"/>
  <c r="F143" i="1"/>
  <c r="E143" i="1"/>
  <c r="J143" i="1"/>
  <c r="J137" i="1" s="1"/>
  <c r="I143" i="1"/>
  <c r="I137" i="1" s="1"/>
  <c r="J232" i="1"/>
  <c r="I232" i="1"/>
  <c r="K232" i="1" s="1"/>
  <c r="F232" i="1"/>
  <c r="K217" i="1"/>
  <c r="J215" i="1"/>
  <c r="I215" i="1"/>
  <c r="G215" i="1"/>
  <c r="F215" i="1"/>
  <c r="I211" i="1"/>
  <c r="K187" i="1"/>
  <c r="N187" i="1"/>
  <c r="J194" i="1"/>
  <c r="I194" i="1"/>
  <c r="G194" i="1"/>
  <c r="F194" i="1"/>
  <c r="J192" i="1"/>
  <c r="I192" i="1"/>
  <c r="J181" i="1"/>
  <c r="I181" i="1"/>
  <c r="G181" i="1"/>
  <c r="F181" i="1"/>
  <c r="N179" i="1"/>
  <c r="K179" i="1"/>
  <c r="H171" i="1"/>
  <c r="J165" i="1"/>
  <c r="I165" i="1"/>
  <c r="G165" i="1"/>
  <c r="F165" i="1"/>
  <c r="I151" i="1"/>
  <c r="J159" i="1"/>
  <c r="I159" i="1"/>
  <c r="G159" i="1"/>
  <c r="F159" i="1"/>
  <c r="J153" i="1"/>
  <c r="I153" i="1"/>
  <c r="G153" i="1"/>
  <c r="F153" i="1"/>
  <c r="K215" i="1" l="1"/>
  <c r="H96" i="1"/>
  <c r="J151" i="1"/>
  <c r="G151" i="1"/>
  <c r="F151" i="1"/>
  <c r="J148" i="1"/>
  <c r="I148" i="1"/>
  <c r="G148" i="1"/>
  <c r="F148" i="1"/>
  <c r="N146" i="1"/>
  <c r="K146" i="1"/>
  <c r="G137" i="1"/>
  <c r="F137" i="1"/>
  <c r="N136" i="1"/>
  <c r="K136" i="1"/>
  <c r="H151" i="1" l="1"/>
  <c r="J110" i="1"/>
  <c r="I110" i="1"/>
  <c r="G110" i="1"/>
  <c r="F110" i="1"/>
  <c r="E110" i="1"/>
  <c r="N112" i="1"/>
  <c r="H112" i="1"/>
  <c r="G107" i="1"/>
  <c r="F107" i="1"/>
  <c r="G102" i="1"/>
  <c r="F102" i="1"/>
  <c r="G98" i="1"/>
  <c r="F98" i="1"/>
  <c r="G93" i="1"/>
  <c r="F93" i="1"/>
  <c r="G84" i="1"/>
  <c r="F84" i="1"/>
  <c r="E84" i="1"/>
  <c r="F83" i="1" l="1"/>
  <c r="G83" i="1"/>
  <c r="G77" i="1"/>
  <c r="F77" i="1"/>
  <c r="E77" i="1"/>
  <c r="G73" i="1"/>
  <c r="F73" i="1"/>
  <c r="E73" i="1"/>
  <c r="N63" i="1"/>
  <c r="J62" i="1"/>
  <c r="I62" i="1"/>
  <c r="K63" i="1"/>
  <c r="G62" i="1"/>
  <c r="F62" i="1"/>
  <c r="E62" i="1"/>
  <c r="N61" i="1"/>
  <c r="J42" i="1"/>
  <c r="I42" i="1"/>
  <c r="G42" i="1"/>
  <c r="F42" i="1"/>
  <c r="E42" i="1"/>
  <c r="N46" i="1"/>
  <c r="N45" i="1"/>
  <c r="K46" i="1"/>
  <c r="K45" i="1"/>
  <c r="K37" i="1"/>
  <c r="N66" i="1"/>
  <c r="H66" i="1"/>
  <c r="G58" i="1"/>
  <c r="G38" i="1"/>
  <c r="F38" i="1"/>
  <c r="E38" i="1"/>
  <c r="G35" i="1"/>
  <c r="F35" i="1"/>
  <c r="E35" i="1"/>
  <c r="G32" i="1"/>
  <c r="F32" i="1"/>
  <c r="E32" i="1"/>
  <c r="F28" i="1"/>
  <c r="E25" i="1"/>
  <c r="G25" i="1"/>
  <c r="F25" i="1"/>
  <c r="G21" i="1"/>
  <c r="F21" i="1"/>
  <c r="E21" i="1"/>
  <c r="K145" i="1"/>
  <c r="K235" i="1"/>
  <c r="J211" i="1"/>
  <c r="G211" i="1"/>
  <c r="F211" i="1"/>
  <c r="J204" i="1"/>
  <c r="I204" i="1"/>
  <c r="G204" i="1"/>
  <c r="F204" i="1"/>
  <c r="J98" i="1"/>
  <c r="I98" i="1"/>
  <c r="N101" i="1"/>
  <c r="N213" i="1"/>
  <c r="N212" i="1"/>
  <c r="N217" i="1"/>
  <c r="N220" i="1"/>
  <c r="N221" i="1"/>
  <c r="N62" i="1" l="1"/>
  <c r="K62" i="1"/>
  <c r="K61" i="1"/>
  <c r="J243" i="1"/>
  <c r="J240" i="1"/>
  <c r="E98" i="1"/>
  <c r="H101" i="1" l="1"/>
  <c r="K185" i="1" l="1"/>
  <c r="J156" i="1"/>
  <c r="I156" i="1"/>
  <c r="I147" i="1" s="1"/>
  <c r="E156" i="1"/>
  <c r="G156" i="1"/>
  <c r="H156" i="1" s="1"/>
  <c r="G80" i="1"/>
  <c r="F80" i="1"/>
  <c r="E80" i="1"/>
  <c r="N81" i="1"/>
  <c r="N53" i="1"/>
  <c r="K51" i="1"/>
  <c r="K50" i="1"/>
  <c r="H59" i="1"/>
  <c r="I58" i="1"/>
  <c r="K59" i="1"/>
  <c r="H48" i="1"/>
  <c r="N206" i="1"/>
  <c r="G245" i="1"/>
  <c r="F245" i="1"/>
  <c r="E245" i="1"/>
  <c r="J245" i="1"/>
  <c r="I245" i="1"/>
  <c r="N247" i="1"/>
  <c r="K247" i="1"/>
  <c r="H234" i="1"/>
  <c r="H233" i="1"/>
  <c r="E192" i="1"/>
  <c r="N59" i="1"/>
  <c r="N60" i="1"/>
  <c r="K60" i="1"/>
  <c r="J58" i="1"/>
  <c r="F58" i="1"/>
  <c r="E58" i="1"/>
  <c r="K156" i="1" l="1"/>
  <c r="N80" i="1"/>
  <c r="H58" i="1"/>
  <c r="K58" i="1"/>
  <c r="N58" i="1"/>
  <c r="K68" i="1"/>
  <c r="K70" i="1"/>
  <c r="J73" i="1"/>
  <c r="I73" i="1"/>
  <c r="K73" i="1" l="1"/>
  <c r="J52" i="1"/>
  <c r="I52" i="1"/>
  <c r="G52" i="1"/>
  <c r="F52" i="1"/>
  <c r="E52" i="1"/>
  <c r="K53" i="1"/>
  <c r="N41" i="1"/>
  <c r="K52" i="1" l="1"/>
  <c r="N52" i="1"/>
  <c r="E194" i="1" l="1"/>
  <c r="H170" i="1" l="1"/>
  <c r="N170" i="1"/>
  <c r="N105" i="1" l="1"/>
  <c r="N244" i="1" l="1"/>
  <c r="I243" i="1"/>
  <c r="G243" i="1"/>
  <c r="F243" i="1"/>
  <c r="E243" i="1"/>
  <c r="N243" i="1" l="1"/>
  <c r="K246" i="1"/>
  <c r="N246" i="1"/>
  <c r="N245" i="1" l="1"/>
  <c r="K220" i="1" l="1"/>
  <c r="K99" i="1"/>
  <c r="N54" i="1"/>
  <c r="K54" i="1"/>
  <c r="N236" i="1" l="1"/>
  <c r="H236" i="1"/>
  <c r="H193" i="1" l="1"/>
  <c r="H158" i="1"/>
  <c r="N158" i="1"/>
  <c r="H138" i="1" l="1"/>
  <c r="H91" i="1"/>
  <c r="K241" i="1" l="1"/>
  <c r="H235" i="1"/>
  <c r="H231" i="1"/>
  <c r="H225" i="1"/>
  <c r="H221" i="1"/>
  <c r="H220" i="1"/>
  <c r="H219" i="1"/>
  <c r="H217" i="1"/>
  <c r="H216" i="1"/>
  <c r="H213" i="1" l="1"/>
  <c r="H210" i="1"/>
  <c r="H207" i="1"/>
  <c r="H206" i="1"/>
  <c r="H205" i="1"/>
  <c r="H203" i="1"/>
  <c r="H201" i="1"/>
  <c r="H200" i="1"/>
  <c r="H196" i="1"/>
  <c r="H195" i="1"/>
  <c r="H178" i="1" l="1"/>
  <c r="H176" i="1"/>
  <c r="H173" i="1"/>
  <c r="H172" i="1"/>
  <c r="H168" i="1"/>
  <c r="H167" i="1"/>
  <c r="H166" i="1"/>
  <c r="H162" i="1"/>
  <c r="H161" i="1"/>
  <c r="H160" i="1"/>
  <c r="H155" i="1"/>
  <c r="H154" i="1"/>
  <c r="H150" i="1"/>
  <c r="H149" i="1"/>
  <c r="H145" i="1"/>
  <c r="H144" i="1"/>
  <c r="H142" i="1"/>
  <c r="H141" i="1"/>
  <c r="H140" i="1"/>
  <c r="H139" i="1"/>
  <c r="H134" i="1" l="1"/>
  <c r="H133" i="1"/>
  <c r="H131" i="1"/>
  <c r="H113" i="1"/>
  <c r="H111" i="1"/>
  <c r="H109" i="1"/>
  <c r="H108" i="1"/>
  <c r="H106" i="1"/>
  <c r="H104" i="1"/>
  <c r="H103" i="1"/>
  <c r="H100" i="1"/>
  <c r="H99" i="1"/>
  <c r="H95" i="1"/>
  <c r="H94" i="1"/>
  <c r="H92" i="1"/>
  <c r="H90" i="1"/>
  <c r="H89" i="1"/>
  <c r="H88" i="1"/>
  <c r="H87" i="1"/>
  <c r="H86" i="1"/>
  <c r="H85" i="1"/>
  <c r="K131" i="1" l="1"/>
  <c r="H79" i="1"/>
  <c r="H78" i="1"/>
  <c r="H74" i="1"/>
  <c r="H71" i="1"/>
  <c r="H70" i="1"/>
  <c r="H69" i="1"/>
  <c r="H68" i="1"/>
  <c r="H47" i="1"/>
  <c r="H44" i="1"/>
  <c r="H43" i="1"/>
  <c r="H41" i="1"/>
  <c r="H40" i="1"/>
  <c r="H39" i="1"/>
  <c r="H37" i="1"/>
  <c r="H36" i="1"/>
  <c r="H34" i="1"/>
  <c r="E14" i="1"/>
  <c r="F14" i="1"/>
  <c r="G14" i="1"/>
  <c r="I14" i="1"/>
  <c r="J14" i="1"/>
  <c r="H33" i="1"/>
  <c r="H31" i="1"/>
  <c r="H30" i="1"/>
  <c r="H29" i="1"/>
  <c r="H27" i="1"/>
  <c r="H26" i="1"/>
  <c r="H24" i="1"/>
  <c r="H23" i="1"/>
  <c r="H22" i="1"/>
  <c r="G49" i="1"/>
  <c r="H20" i="1"/>
  <c r="H18" i="1"/>
  <c r="H17" i="1"/>
  <c r="H16" i="1"/>
  <c r="K14" i="1" l="1"/>
  <c r="H14" i="1"/>
  <c r="K15" i="1"/>
  <c r="H15" i="1" l="1"/>
  <c r="N24" i="1" l="1"/>
  <c r="K24" i="1"/>
  <c r="F240" i="1" l="1"/>
  <c r="F239" i="1" s="1"/>
  <c r="F238" i="1" s="1"/>
  <c r="F230" i="1"/>
  <c r="F227" i="1"/>
  <c r="F224" i="1"/>
  <c r="F222" i="1"/>
  <c r="F218" i="1"/>
  <c r="F199" i="1"/>
  <c r="F197" i="1"/>
  <c r="F191" i="1" s="1"/>
  <c r="F188" i="1"/>
  <c r="F183" i="1" s="1"/>
  <c r="F174" i="1"/>
  <c r="F164" i="1" s="1"/>
  <c r="F75" i="1"/>
  <c r="F67" i="1" s="1"/>
  <c r="F49" i="1"/>
  <c r="F19" i="1" s="1"/>
  <c r="F202" i="1" l="1"/>
  <c r="F229" i="1"/>
  <c r="F214" i="1"/>
  <c r="F180" i="1" l="1"/>
  <c r="F237" i="1" s="1"/>
  <c r="F270" i="1" s="1"/>
  <c r="N241" i="1"/>
  <c r="K162" i="1"/>
  <c r="N113" i="1"/>
  <c r="F248" i="1" l="1"/>
  <c r="K18" i="1"/>
  <c r="G218" i="1" l="1"/>
  <c r="J218" i="1"/>
  <c r="I218" i="1"/>
  <c r="E218" i="1"/>
  <c r="H218" i="1" l="1"/>
  <c r="N218" i="1"/>
  <c r="N219" i="1"/>
  <c r="N190" i="1" l="1"/>
  <c r="H181" i="1"/>
  <c r="E181" i="1"/>
  <c r="N142" i="1" l="1"/>
  <c r="N131" i="1"/>
  <c r="N91" i="1"/>
  <c r="K221" i="1" l="1"/>
  <c r="J197" i="1"/>
  <c r="J191" i="1" s="1"/>
  <c r="N162" i="1"/>
  <c r="H73" i="1" l="1"/>
  <c r="N16" i="1" l="1"/>
  <c r="N17" i="1"/>
  <c r="N18" i="1"/>
  <c r="K20" i="1"/>
  <c r="N20" i="1"/>
  <c r="I21" i="1"/>
  <c r="J21" i="1"/>
  <c r="K22" i="1"/>
  <c r="N22" i="1"/>
  <c r="K23" i="1"/>
  <c r="N23" i="1"/>
  <c r="I25" i="1"/>
  <c r="J25" i="1"/>
  <c r="N26" i="1"/>
  <c r="N27" i="1"/>
  <c r="E28" i="1"/>
  <c r="G28" i="1"/>
  <c r="G19" i="1" s="1"/>
  <c r="I28" i="1"/>
  <c r="J28" i="1"/>
  <c r="N29" i="1"/>
  <c r="K30" i="1"/>
  <c r="N30" i="1"/>
  <c r="K31" i="1"/>
  <c r="N31" i="1"/>
  <c r="H32" i="1"/>
  <c r="I32" i="1"/>
  <c r="J32" i="1"/>
  <c r="K33" i="1"/>
  <c r="N33" i="1"/>
  <c r="N34" i="1"/>
  <c r="H35" i="1"/>
  <c r="I35" i="1"/>
  <c r="J35" i="1"/>
  <c r="K36" i="1"/>
  <c r="N36" i="1"/>
  <c r="N37" i="1"/>
  <c r="H38" i="1"/>
  <c r="I38" i="1"/>
  <c r="J38" i="1"/>
  <c r="N39" i="1"/>
  <c r="N40" i="1"/>
  <c r="K43" i="1"/>
  <c r="N43" i="1"/>
  <c r="K44" i="1"/>
  <c r="N44" i="1"/>
  <c r="N47" i="1"/>
  <c r="N48" i="1"/>
  <c r="E49" i="1"/>
  <c r="I49" i="1"/>
  <c r="J49" i="1"/>
  <c r="N50" i="1"/>
  <c r="N51" i="1"/>
  <c r="N68" i="1"/>
  <c r="N69" i="1"/>
  <c r="N70" i="1"/>
  <c r="N71" i="1"/>
  <c r="K72" i="1"/>
  <c r="N72" i="1"/>
  <c r="N73" i="1"/>
  <c r="N74" i="1"/>
  <c r="E75" i="1"/>
  <c r="E67" i="1" s="1"/>
  <c r="G75" i="1"/>
  <c r="G67" i="1" s="1"/>
  <c r="N76" i="1"/>
  <c r="I77" i="1"/>
  <c r="I67" i="1" s="1"/>
  <c r="J77" i="1"/>
  <c r="J67" i="1" s="1"/>
  <c r="N78" i="1"/>
  <c r="N79" i="1"/>
  <c r="I84" i="1"/>
  <c r="J84" i="1"/>
  <c r="K85" i="1"/>
  <c r="N85" i="1"/>
  <c r="N86" i="1"/>
  <c r="N87" i="1"/>
  <c r="N88" i="1"/>
  <c r="N89" i="1"/>
  <c r="N90" i="1"/>
  <c r="N92" i="1"/>
  <c r="E93" i="1"/>
  <c r="H93" i="1"/>
  <c r="I93" i="1"/>
  <c r="J93" i="1"/>
  <c r="K94" i="1"/>
  <c r="N94" i="1"/>
  <c r="K95" i="1"/>
  <c r="N95" i="1"/>
  <c r="H98" i="1"/>
  <c r="N99" i="1"/>
  <c r="K100" i="1"/>
  <c r="N100" i="1"/>
  <c r="E102" i="1"/>
  <c r="H102" i="1"/>
  <c r="I102" i="1"/>
  <c r="J102" i="1"/>
  <c r="K103" i="1"/>
  <c r="N103" i="1"/>
  <c r="K104" i="1"/>
  <c r="N104" i="1"/>
  <c r="N106" i="1"/>
  <c r="E107" i="1"/>
  <c r="N108" i="1"/>
  <c r="N109" i="1"/>
  <c r="H110" i="1"/>
  <c r="N111" i="1"/>
  <c r="K115" i="1"/>
  <c r="N115" i="1"/>
  <c r="K118" i="1"/>
  <c r="N118" i="1"/>
  <c r="K122" i="1"/>
  <c r="N122" i="1"/>
  <c r="K125" i="1"/>
  <c r="N125" i="1"/>
  <c r="H132" i="1"/>
  <c r="K133" i="1"/>
  <c r="N133" i="1"/>
  <c r="K134" i="1"/>
  <c r="N134" i="1"/>
  <c r="N138" i="1"/>
  <c r="K139" i="1"/>
  <c r="N139" i="1"/>
  <c r="K140" i="1"/>
  <c r="N140" i="1"/>
  <c r="K141" i="1"/>
  <c r="N141" i="1"/>
  <c r="E137" i="1"/>
  <c r="K144" i="1"/>
  <c r="N144" i="1"/>
  <c r="N145" i="1"/>
  <c r="E148" i="1"/>
  <c r="N149" i="1"/>
  <c r="N150" i="1"/>
  <c r="E151" i="1"/>
  <c r="N152" i="1"/>
  <c r="E153" i="1"/>
  <c r="H153" i="1"/>
  <c r="K154" i="1"/>
  <c r="N154" i="1"/>
  <c r="N155" i="1"/>
  <c r="K157" i="1"/>
  <c r="N157" i="1"/>
  <c r="E159" i="1"/>
  <c r="H159" i="1"/>
  <c r="N160" i="1"/>
  <c r="N161" i="1"/>
  <c r="E165" i="1"/>
  <c r="H165" i="1"/>
  <c r="K166" i="1"/>
  <c r="N166" i="1"/>
  <c r="N167" i="1"/>
  <c r="N168" i="1"/>
  <c r="K169" i="1"/>
  <c r="N169" i="1"/>
  <c r="N171" i="1"/>
  <c r="N173" i="1"/>
  <c r="E174" i="1"/>
  <c r="G174" i="1"/>
  <c r="G164" i="1" s="1"/>
  <c r="I174" i="1"/>
  <c r="I164" i="1" s="1"/>
  <c r="J174" i="1"/>
  <c r="J164" i="1" s="1"/>
  <c r="K175" i="1"/>
  <c r="N175" i="1"/>
  <c r="K176" i="1"/>
  <c r="N176" i="1"/>
  <c r="N177" i="1"/>
  <c r="N178" i="1"/>
  <c r="N182" i="1"/>
  <c r="K184" i="1"/>
  <c r="N184" i="1"/>
  <c r="N185" i="1"/>
  <c r="K186" i="1"/>
  <c r="N186" i="1"/>
  <c r="E188" i="1"/>
  <c r="E183" i="1" s="1"/>
  <c r="G188" i="1"/>
  <c r="G183" i="1" s="1"/>
  <c r="H183" i="1" s="1"/>
  <c r="I188" i="1"/>
  <c r="I183" i="1" s="1"/>
  <c r="J188" i="1"/>
  <c r="J183" i="1" s="1"/>
  <c r="K189" i="1"/>
  <c r="N189" i="1"/>
  <c r="H192" i="1"/>
  <c r="N193" i="1"/>
  <c r="N195" i="1"/>
  <c r="N196" i="1"/>
  <c r="E197" i="1"/>
  <c r="G197" i="1"/>
  <c r="G191" i="1" s="1"/>
  <c r="I197" i="1"/>
  <c r="I191" i="1" s="1"/>
  <c r="K198" i="1"/>
  <c r="N198" i="1"/>
  <c r="E199" i="1"/>
  <c r="G199" i="1"/>
  <c r="H199" i="1" s="1"/>
  <c r="I199" i="1"/>
  <c r="J199" i="1"/>
  <c r="N200" i="1"/>
  <c r="N201" i="1"/>
  <c r="N203" i="1"/>
  <c r="E204" i="1"/>
  <c r="H204" i="1"/>
  <c r="N205" i="1"/>
  <c r="K207" i="1"/>
  <c r="N207" i="1"/>
  <c r="K208" i="1"/>
  <c r="N208" i="1"/>
  <c r="N209" i="1"/>
  <c r="N210" i="1"/>
  <c r="E211" i="1"/>
  <c r="E215" i="1"/>
  <c r="H215" i="1"/>
  <c r="N216" i="1"/>
  <c r="K218" i="1"/>
  <c r="E222" i="1"/>
  <c r="G222" i="1"/>
  <c r="I222" i="1"/>
  <c r="J222" i="1"/>
  <c r="K223" i="1"/>
  <c r="N223" i="1"/>
  <c r="E224" i="1"/>
  <c r="G224" i="1"/>
  <c r="H224" i="1" s="1"/>
  <c r="I224" i="1"/>
  <c r="K224" i="1" s="1"/>
  <c r="J224" i="1"/>
  <c r="N225" i="1"/>
  <c r="N226" i="1"/>
  <c r="E227" i="1"/>
  <c r="G227" i="1"/>
  <c r="I227" i="1"/>
  <c r="J227" i="1"/>
  <c r="N228" i="1"/>
  <c r="E230" i="1"/>
  <c r="G230" i="1"/>
  <c r="I230" i="1"/>
  <c r="J230" i="1"/>
  <c r="N231" i="1"/>
  <c r="E232" i="1"/>
  <c r="G232" i="1"/>
  <c r="H232" i="1" s="1"/>
  <c r="N233" i="1"/>
  <c r="N234" i="1"/>
  <c r="N235" i="1"/>
  <c r="L237" i="1"/>
  <c r="M237" i="1"/>
  <c r="E240" i="1"/>
  <c r="E239" i="1" s="1"/>
  <c r="E238" i="1" s="1"/>
  <c r="G240" i="1"/>
  <c r="G239" i="1" s="1"/>
  <c r="I240" i="1"/>
  <c r="I239" i="1" s="1"/>
  <c r="I238" i="1" s="1"/>
  <c r="J239" i="1"/>
  <c r="N242" i="1"/>
  <c r="L248" i="1"/>
  <c r="M248" i="1"/>
  <c r="E83" i="1" l="1"/>
  <c r="J83" i="1"/>
  <c r="I83" i="1"/>
  <c r="E164" i="1"/>
  <c r="J19" i="1"/>
  <c r="E19" i="1"/>
  <c r="I19" i="1"/>
  <c r="H28" i="1"/>
  <c r="H19" i="1"/>
  <c r="H84" i="1"/>
  <c r="H83" i="1"/>
  <c r="H77" i="1"/>
  <c r="H67" i="1"/>
  <c r="N49" i="1"/>
  <c r="K49" i="1"/>
  <c r="K159" i="1"/>
  <c r="I229" i="1"/>
  <c r="E229" i="1"/>
  <c r="H21" i="1"/>
  <c r="H230" i="1"/>
  <c r="G229" i="1"/>
  <c r="H229" i="1" s="1"/>
  <c r="K98" i="1"/>
  <c r="N227" i="1"/>
  <c r="J229" i="1"/>
  <c r="N107" i="1"/>
  <c r="H107" i="1"/>
  <c r="N25" i="1"/>
  <c r="H25" i="1"/>
  <c r="N197" i="1"/>
  <c r="N194" i="1"/>
  <c r="H194" i="1"/>
  <c r="N148" i="1"/>
  <c r="H148" i="1"/>
  <c r="H137" i="1"/>
  <c r="H143" i="1"/>
  <c r="N28" i="1"/>
  <c r="K102" i="1"/>
  <c r="N165" i="1"/>
  <c r="K114" i="1"/>
  <c r="N132" i="1"/>
  <c r="N77" i="1"/>
  <c r="K222" i="1"/>
  <c r="N215" i="1"/>
  <c r="N114" i="1"/>
  <c r="N75" i="1"/>
  <c r="N240" i="1"/>
  <c r="K165" i="1"/>
  <c r="K35" i="1"/>
  <c r="K21" i="1"/>
  <c r="N159" i="1"/>
  <c r="N32" i="1"/>
  <c r="K197" i="1"/>
  <c r="E214" i="1"/>
  <c r="K188" i="1"/>
  <c r="K132" i="1"/>
  <c r="N102" i="1"/>
  <c r="N98" i="1"/>
  <c r="N35" i="1"/>
  <c r="N230" i="1"/>
  <c r="N222" i="1"/>
  <c r="I214" i="1"/>
  <c r="E202" i="1"/>
  <c r="H191" i="1"/>
  <c r="K16" i="1"/>
  <c r="N232" i="1"/>
  <c r="N224" i="1"/>
  <c r="H211" i="1"/>
  <c r="N204" i="1"/>
  <c r="N172" i="1"/>
  <c r="H164" i="1"/>
  <c r="N156" i="1"/>
  <c r="N153" i="1"/>
  <c r="K143" i="1"/>
  <c r="K93" i="1"/>
  <c r="G238" i="1"/>
  <c r="I202" i="1"/>
  <c r="E191" i="1"/>
  <c r="N183" i="1"/>
  <c r="K153" i="1"/>
  <c r="K84" i="1"/>
  <c r="K42" i="1"/>
  <c r="K32" i="1"/>
  <c r="K211" i="1"/>
  <c r="J238" i="1"/>
  <c r="N188" i="1"/>
  <c r="N38" i="1"/>
  <c r="J214" i="1"/>
  <c r="K212" i="1"/>
  <c r="N199" i="1"/>
  <c r="K67" i="1"/>
  <c r="G214" i="1"/>
  <c r="H214" i="1" s="1"/>
  <c r="J202" i="1"/>
  <c r="N192" i="1"/>
  <c r="N181" i="1"/>
  <c r="N174" i="1"/>
  <c r="N151" i="1"/>
  <c r="H147" i="1"/>
  <c r="N143" i="1"/>
  <c r="N110" i="1"/>
  <c r="N93" i="1"/>
  <c r="N84" i="1"/>
  <c r="N42" i="1"/>
  <c r="K209" i="1"/>
  <c r="K174" i="1"/>
  <c r="N21" i="1"/>
  <c r="E180" i="1" l="1"/>
  <c r="E237" i="1" s="1"/>
  <c r="N67" i="1"/>
  <c r="O67" i="1" s="1"/>
  <c r="K229" i="1"/>
  <c r="K214" i="1"/>
  <c r="G202" i="1"/>
  <c r="H202" i="1" s="1"/>
  <c r="N211" i="1"/>
  <c r="K202" i="1"/>
  <c r="K147" i="1"/>
  <c r="K164" i="1"/>
  <c r="N238" i="1"/>
  <c r="K191" i="1"/>
  <c r="K19" i="1"/>
  <c r="N164" i="1"/>
  <c r="O164" i="1" s="1"/>
  <c r="N191" i="1"/>
  <c r="N239" i="1"/>
  <c r="I180" i="1"/>
  <c r="I237" i="1" s="1"/>
  <c r="I270" i="1" s="1"/>
  <c r="K137" i="1"/>
  <c r="N137" i="1"/>
  <c r="O137" i="1" s="1"/>
  <c r="N229" i="1"/>
  <c r="O229" i="1" s="1"/>
  <c r="N147" i="1"/>
  <c r="N14" i="1"/>
  <c r="O14" i="1" s="1"/>
  <c r="N83" i="1"/>
  <c r="O83" i="1" s="1"/>
  <c r="K83" i="1"/>
  <c r="N19" i="1"/>
  <c r="O19" i="1" s="1"/>
  <c r="K183" i="1"/>
  <c r="J180" i="1"/>
  <c r="J237" i="1" s="1"/>
  <c r="N214" i="1"/>
  <c r="O214" i="1" s="1"/>
  <c r="I248" i="1" l="1"/>
  <c r="E248" i="1"/>
  <c r="E270" i="1"/>
  <c r="N202" i="1"/>
  <c r="G180" i="1"/>
  <c r="H180" i="1" s="1"/>
  <c r="K180" i="1"/>
  <c r="K237" i="1"/>
  <c r="J248" i="1"/>
  <c r="N180" i="1" l="1"/>
  <c r="O180" i="1" s="1"/>
  <c r="G237" i="1"/>
  <c r="H237" i="1" s="1"/>
  <c r="K248" i="1"/>
  <c r="N237" i="1" l="1"/>
  <c r="N248" i="1" s="1"/>
  <c r="S248" i="1" s="1"/>
  <c r="G248" i="1"/>
  <c r="H248" i="1" l="1"/>
  <c r="O237" i="1"/>
  <c r="O248" i="1"/>
</calcChain>
</file>

<file path=xl/sharedStrings.xml><?xml version="1.0" encoding="utf-8"?>
<sst xmlns="http://schemas.openxmlformats.org/spreadsheetml/2006/main" count="781" uniqueCount="618">
  <si>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</si>
  <si>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</si>
  <si>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</si>
  <si>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</si>
  <si>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</si>
  <si>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Загальний фонд</t>
  </si>
  <si>
    <t>Спеціальний фонд</t>
  </si>
  <si>
    <t>1</t>
  </si>
  <si>
    <t>2</t>
  </si>
  <si>
    <t>3</t>
  </si>
  <si>
    <t>4</t>
  </si>
  <si>
    <t>5</t>
  </si>
  <si>
    <t>6</t>
  </si>
  <si>
    <t>0210100</t>
  </si>
  <si>
    <t>0100</t>
  </si>
  <si>
    <t>Державне управління</t>
  </si>
  <si>
    <t>0210150</t>
  </si>
  <si>
    <t>0150</t>
  </si>
  <si>
    <t>0111</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</si>
  <si>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</si>
  <si>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0210160</t>
  </si>
  <si>
    <t>0160</t>
  </si>
  <si>
    <t>0210170</t>
  </si>
  <si>
    <t>0170</t>
  </si>
  <si>
    <t>0131</t>
  </si>
  <si>
    <t>Підвищення кваліфікації депутатів місцевих рад та посадових осіб місцевого самоврядування</t>
  </si>
  <si>
    <t>0210180</t>
  </si>
  <si>
    <t>0180</t>
  </si>
  <si>
    <t>0133</t>
  </si>
  <si>
    <t>Інша діяльність у сфері державного управління</t>
  </si>
  <si>
    <t>7000</t>
  </si>
  <si>
    <t>7500</t>
  </si>
  <si>
    <t>Зв'язок, телекомунікації та інформатика</t>
  </si>
  <si>
    <t>7520</t>
  </si>
  <si>
    <t>Реалізація Національної програми інформатизації</t>
  </si>
  <si>
    <t>7600</t>
  </si>
  <si>
    <t>Інші програми та заходи, пов'язані з економічною діяльністю</t>
  </si>
  <si>
    <t>7680</t>
  </si>
  <si>
    <t>0490</t>
  </si>
  <si>
    <t>Членські внески до асоціацій органів місцевого самоврядування</t>
  </si>
  <si>
    <t>7690</t>
  </si>
  <si>
    <t>7691</t>
  </si>
  <si>
    <t>7693</t>
  </si>
  <si>
    <t>Інші заходи, пов'язані з економічною діяльністю</t>
  </si>
  <si>
    <t>8000</t>
  </si>
  <si>
    <t>Інша діяльність</t>
  </si>
  <si>
    <t>8400</t>
  </si>
  <si>
    <t>8410</t>
  </si>
  <si>
    <t>0830</t>
  </si>
  <si>
    <t>9000</t>
  </si>
  <si>
    <t>Міжбюджетні трансферти</t>
  </si>
  <si>
    <t>9700</t>
  </si>
  <si>
    <t>Субвенції з місцевого бюджету іншим місцевим бюджетам на здійснення програм та заходів за рахунок коштів місцевих бюджетів</t>
  </si>
  <si>
    <t>9710</t>
  </si>
  <si>
    <t>Субвенція з місцевого бюджету на утримання об'єктів спільного користування чи ліквідацію негативних наслідків діяльності об'єктів спільного користування</t>
  </si>
  <si>
    <t>9770</t>
  </si>
  <si>
    <t>Інші субвенції з місцевого бюджету</t>
  </si>
  <si>
    <t>9800</t>
  </si>
  <si>
    <t>Субвенція з місцевого бюджету державному бюджету на виконання програм соціально-економічного розвитку регіонів</t>
  </si>
  <si>
    <t>0611000</t>
  </si>
  <si>
    <t>1000</t>
  </si>
  <si>
    <t>Освіта</t>
  </si>
  <si>
    <t>0611010</t>
  </si>
  <si>
    <t>1010</t>
  </si>
  <si>
    <t>0910</t>
  </si>
  <si>
    <t>Надання дошкільної освіти</t>
  </si>
  <si>
    <t>0611020</t>
  </si>
  <si>
    <t>1020</t>
  </si>
  <si>
    <t>Надання загальної середньої освіти за рахунок коштів місцевого бюджету</t>
  </si>
  <si>
    <t>0611021</t>
  </si>
  <si>
    <t>1021</t>
  </si>
  <si>
    <t>0921</t>
  </si>
  <si>
    <t>0611022</t>
  </si>
  <si>
    <t>1022</t>
  </si>
  <si>
    <t>0922</t>
  </si>
  <si>
    <t>0611030</t>
  </si>
  <si>
    <t>1030</t>
  </si>
  <si>
    <t>Надання загальної середньої освіти за рахунок освітньої субвенції</t>
  </si>
  <si>
    <t>0611031</t>
  </si>
  <si>
    <t>1031</t>
  </si>
  <si>
    <t>0611060</t>
  </si>
  <si>
    <t>1060</t>
  </si>
  <si>
    <t>0611061</t>
  </si>
  <si>
    <t>1061</t>
  </si>
  <si>
    <t>0611070</t>
  </si>
  <si>
    <t>1070</t>
  </si>
  <si>
    <t>0960</t>
  </si>
  <si>
    <t>Надання позашкільної освіти закладами позашкільної освіти, заходи із позашкільної роботи з дітьми</t>
  </si>
  <si>
    <t>0611090</t>
  </si>
  <si>
    <t>1090</t>
  </si>
  <si>
    <t>Підготовка кадрів закладами професійної (професійно-технічної) освіти та іншими закладами освіти</t>
  </si>
  <si>
    <t>0611091</t>
  </si>
  <si>
    <t>1091</t>
  </si>
  <si>
    <t>0930</t>
  </si>
  <si>
    <t>Підготовка кадрів закладами професійної (професійно-технічної) освіти та іншими закладами освіти за рахунок коштів місцевого бюджету</t>
  </si>
  <si>
    <t>0611092</t>
  </si>
  <si>
    <t>1092</t>
  </si>
  <si>
    <t>Підготовка кадрів закладами професійної (професійно-технічної) освіти та іншими закладами освіти за рахунок освітньої субвенції</t>
  </si>
  <si>
    <t>0611140</t>
  </si>
  <si>
    <t>1140</t>
  </si>
  <si>
    <t>Інші програми, заклади та заходи у сфері освіти</t>
  </si>
  <si>
    <t>0611141</t>
  </si>
  <si>
    <t>1141</t>
  </si>
  <si>
    <t>0990</t>
  </si>
  <si>
    <t>Забезпечення діяльності інших закладів у сфері освіти</t>
  </si>
  <si>
    <t>0611142</t>
  </si>
  <si>
    <t>1142</t>
  </si>
  <si>
    <t>Інші програми та заходи у сфері освіти</t>
  </si>
  <si>
    <t>0611150</t>
  </si>
  <si>
    <t>1150</t>
  </si>
  <si>
    <t>Забезпечення діяльності інклюзивно-ресурсних центрів</t>
  </si>
  <si>
    <t>0611151</t>
  </si>
  <si>
    <t>1151</t>
  </si>
  <si>
    <t>Забезпечення діяльності інклюзивно-ресурсних центрів за рахунок коштів місцевого бюджету</t>
  </si>
  <si>
    <t>0611152</t>
  </si>
  <si>
    <t>1152</t>
  </si>
  <si>
    <t>Забезпечення діяльності інклюзивно-ресурсних центрів за рахунок освітньої субвенції</t>
  </si>
  <si>
    <t>0611160</t>
  </si>
  <si>
    <t>1160</t>
  </si>
  <si>
    <t>0611180</t>
  </si>
  <si>
    <t>1180</t>
  </si>
  <si>
    <t>0611181</t>
  </si>
  <si>
    <t>1181</t>
  </si>
  <si>
    <t>Співфінансування заходів, що реалізуються за рахунок субвенції з державного бюджету місцевим бюджетам на забезпечення якісної, сучасної та доступної загальної середньої освіти "Нова українська школа"</t>
  </si>
  <si>
    <t>0611200</t>
  </si>
  <si>
    <t>1200</t>
  </si>
  <si>
    <t>1210</t>
  </si>
  <si>
    <t>3000</t>
  </si>
  <si>
    <t>Соціальний захист та соціальне забезпечення</t>
  </si>
  <si>
    <t>1040</t>
  </si>
  <si>
    <t>0712000</t>
  </si>
  <si>
    <t>2000</t>
  </si>
  <si>
    <t>Охорона здоров’я</t>
  </si>
  <si>
    <t>0712010</t>
  </si>
  <si>
    <t>2010</t>
  </si>
  <si>
    <t>0731</t>
  </si>
  <si>
    <t>Багатопрофільна стаціонарна медична допомога населенню</t>
  </si>
  <si>
    <t>0712020</t>
  </si>
  <si>
    <t>2020</t>
  </si>
  <si>
    <t>0732</t>
  </si>
  <si>
    <t>Спеціалізована стаціонарна медична допомога населенню</t>
  </si>
  <si>
    <t>0712030</t>
  </si>
  <si>
    <t>2030</t>
  </si>
  <si>
    <t>0733</t>
  </si>
  <si>
    <t>Лікарсько-акушерська допомога вагітним, породіллям та новонародженим</t>
  </si>
  <si>
    <t>0712080</t>
  </si>
  <si>
    <t>2080</t>
  </si>
  <si>
    <t>0721</t>
  </si>
  <si>
    <t>Амбулаторно-поліклінічна допомога населенню, крім первинної медичної допомоги</t>
  </si>
  <si>
    <t>0712100</t>
  </si>
  <si>
    <t>2100</t>
  </si>
  <si>
    <t>0722</t>
  </si>
  <si>
    <t>Стоматологічна допомога населенню</t>
  </si>
  <si>
    <t>0712110</t>
  </si>
  <si>
    <t>2110</t>
  </si>
  <si>
    <t>Первинна медична допомога населенню</t>
  </si>
  <si>
    <t>0712111</t>
  </si>
  <si>
    <t>2111</t>
  </si>
  <si>
    <t>0726</t>
  </si>
  <si>
    <t>Первинна медична допомога населенню, що надається центрами первинної медичної (медико-санітарної) допомоги</t>
  </si>
  <si>
    <t>0712140</t>
  </si>
  <si>
    <t>2140</t>
  </si>
  <si>
    <t>Програми і централізовані заходи у галузі охорони здоров’я</t>
  </si>
  <si>
    <t>0712144</t>
  </si>
  <si>
    <t>2144</t>
  </si>
  <si>
    <t>0763</t>
  </si>
  <si>
    <t>Централізовані заходи з лікування хворих на цукровий та нецукровий діабет</t>
  </si>
  <si>
    <t>0712150</t>
  </si>
  <si>
    <t>2150</t>
  </si>
  <si>
    <t>0712151</t>
  </si>
  <si>
    <t>2151</t>
  </si>
  <si>
    <t>0712152</t>
  </si>
  <si>
    <t>2152</t>
  </si>
  <si>
    <t>7670</t>
  </si>
  <si>
    <t>0813000</t>
  </si>
  <si>
    <t>0813030</t>
  </si>
  <si>
    <t>3030</t>
  </si>
  <si>
    <t>0813031</t>
  </si>
  <si>
    <t>3031</t>
  </si>
  <si>
    <t>Надання інших пільг окремим категоріям громадян відповідно до законодавства</t>
  </si>
  <si>
    <t>0813032</t>
  </si>
  <si>
    <t>3032</t>
  </si>
  <si>
    <t>Надання пільг окремим категоріям громадян з оплати послуг зв'язку</t>
  </si>
  <si>
    <t>0813033</t>
  </si>
  <si>
    <t>3033</t>
  </si>
  <si>
    <t>0813035</t>
  </si>
  <si>
    <t>3035</t>
  </si>
  <si>
    <t>Компенсаційні виплати за пільговий проїзд окремих категорій громадян на залізничному транспорті</t>
  </si>
  <si>
    <t>0813036</t>
  </si>
  <si>
    <t>3036</t>
  </si>
  <si>
    <t>Компенсаційні виплати на пільговий проїзд електротранспортом окремим категоріям громадян</t>
  </si>
  <si>
    <t>0813050</t>
  </si>
  <si>
    <t>3050</t>
  </si>
  <si>
    <t>Пільгове медичне обслуговування осіб, які постраждали внаслідок Чорнобильської катастрофи</t>
  </si>
  <si>
    <t>3060</t>
  </si>
  <si>
    <t>Оздоровлення громадян, які постраждали внаслідок Чорнобильської катастрофи</t>
  </si>
  <si>
    <t>0813090</t>
  </si>
  <si>
    <t>3090</t>
  </si>
  <si>
    <t>Видатки на поховання учасників бойових дій та осіб з інвалідністю внаслідок війни</t>
  </si>
  <si>
    <t>0813100</t>
  </si>
  <si>
    <t>3100</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</si>
  <si>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</si>
  <si>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0813104</t>
  </si>
  <si>
    <t>3104</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</si>
  <si>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</si>
  <si>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0813105</t>
  </si>
  <si>
    <t>3105</t>
  </si>
  <si>
    <t>Надання реабілітаційних послуг особам з інвалідністю та дітям з інвалідністю</t>
  </si>
  <si>
    <t>0813160</t>
  </si>
  <si>
    <t>3160</t>
  </si>
  <si>
    <t>0813170</t>
  </si>
  <si>
    <t>3170</t>
  </si>
  <si>
    <t>Забезпечення реалізації окремих програм для осіб з інвалідністю</t>
  </si>
  <si>
    <t>0813171</t>
  </si>
  <si>
    <t>3171</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</si>
  <si>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</si>
  <si>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0813180</t>
  </si>
  <si>
    <t>3180</t>
  </si>
  <si>
    <t>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t>
  </si>
  <si>
    <t>0813190</t>
  </si>
  <si>
    <t>3190</t>
  </si>
  <si>
    <t>0813192</t>
  </si>
  <si>
    <t>3192</t>
  </si>
  <si>
    <t>Надання фінансової підтримки громадським об'єднанням ветеранів і осіб з інвалідністю, діяльність яких має соціальну спрямованість</t>
  </si>
  <si>
    <t>0813210</t>
  </si>
  <si>
    <t>3210</t>
  </si>
  <si>
    <t>1050</t>
  </si>
  <si>
    <t>Організація та проведення громадських робіт</t>
  </si>
  <si>
    <t>0813240</t>
  </si>
  <si>
    <t>3240</t>
  </si>
  <si>
    <t>0813241</t>
  </si>
  <si>
    <t>3241</t>
  </si>
  <si>
    <t>0813242</t>
  </si>
  <si>
    <t>3242</t>
  </si>
  <si>
    <t>Інші заходи у сфері соціального захисту і соціального забезпечення</t>
  </si>
  <si>
    <t>6000</t>
  </si>
  <si>
    <t>Житлово-комунальне господарство</t>
  </si>
  <si>
    <t>6080</t>
  </si>
  <si>
    <t>6082</t>
  </si>
  <si>
    <t>0610</t>
  </si>
  <si>
    <t>7300</t>
  </si>
  <si>
    <t>0443</t>
  </si>
  <si>
    <t>1080</t>
  </si>
  <si>
    <t>1014000</t>
  </si>
  <si>
    <t>4000</t>
  </si>
  <si>
    <t>Культура i мистецтво</t>
  </si>
  <si>
    <t>1014010</t>
  </si>
  <si>
    <t>4010</t>
  </si>
  <si>
    <t>0821</t>
  </si>
  <si>
    <t>Фінансова підтримка театрів</t>
  </si>
  <si>
    <t>1014030</t>
  </si>
  <si>
    <t>4030</t>
  </si>
  <si>
    <t>0824</t>
  </si>
  <si>
    <t>Забезпечення діяльності бібліотек</t>
  </si>
  <si>
    <t>1014040</t>
  </si>
  <si>
    <t>4040</t>
  </si>
  <si>
    <t>1014060</t>
  </si>
  <si>
    <t>4060</t>
  </si>
  <si>
    <t>0828</t>
  </si>
  <si>
    <t>1014080</t>
  </si>
  <si>
    <t>4080</t>
  </si>
  <si>
    <t>Інші заклади та заходи в галузі культури і мистецтва</t>
  </si>
  <si>
    <t>1014081</t>
  </si>
  <si>
    <t>4081</t>
  </si>
  <si>
    <t>0829</t>
  </si>
  <si>
    <t>Забезпечення діяльності інших закладів в галузі культури і мистецтва</t>
  </si>
  <si>
    <t>1014082</t>
  </si>
  <si>
    <t>4082</t>
  </si>
  <si>
    <t>Інші заходи в галузі культури і мистецтва</t>
  </si>
  <si>
    <t>3120</t>
  </si>
  <si>
    <t>Здійснення соціальної роботи з вразливими категоріями населення</t>
  </si>
  <si>
    <t>3121</t>
  </si>
  <si>
    <t>3130</t>
  </si>
  <si>
    <t>3132</t>
  </si>
  <si>
    <t>3133</t>
  </si>
  <si>
    <t>1115000</t>
  </si>
  <si>
    <t>5000</t>
  </si>
  <si>
    <t xml:space="preserve"> Фiзична культура i спорт</t>
  </si>
  <si>
    <t>1115010</t>
  </si>
  <si>
    <t>5010</t>
  </si>
  <si>
    <t>Проведення спортивної роботи в регіоні</t>
  </si>
  <si>
    <t>1115011</t>
  </si>
  <si>
    <t>5011</t>
  </si>
  <si>
    <t>0810</t>
  </si>
  <si>
    <t>Проведення навчально-тренувальних зборів і змагань з олімпійських видів спорту</t>
  </si>
  <si>
    <t>1115012</t>
  </si>
  <si>
    <t>5012</t>
  </si>
  <si>
    <t>Проведення навчально-тренувальних зборів і змагань з неолімпійських видів спорту</t>
  </si>
  <si>
    <t>1115020</t>
  </si>
  <si>
    <t>5020</t>
  </si>
  <si>
    <t>Здійснення фізкультурно-спортивної та реабілітаційної роботи серед осіб з інвалідністю</t>
  </si>
  <si>
    <t>1115022</t>
  </si>
  <si>
    <t>5022</t>
  </si>
  <si>
    <t>1115030</t>
  </si>
  <si>
    <t>5030</t>
  </si>
  <si>
    <t xml:space="preserve"> Розвиток дитячо-юнацького та резервного спорту</t>
  </si>
  <si>
    <t>1115031</t>
  </si>
  <si>
    <t>5031</t>
  </si>
  <si>
    <t>1115032</t>
  </si>
  <si>
    <t>5032</t>
  </si>
  <si>
    <t>Фінансова підтримка дитячо-юнацьких спортивних шкіл фізкультурно-спортивних товариств</t>
  </si>
  <si>
    <t>1115060</t>
  </si>
  <si>
    <t>5060</t>
  </si>
  <si>
    <t>Інші заходи з розвитку фізичної культури та спорту</t>
  </si>
  <si>
    <t>1115061</t>
  </si>
  <si>
    <t>5061</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</si>
  <si>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</si>
  <si>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1115062</t>
  </si>
  <si>
    <t>5062</t>
  </si>
  <si>
    <t>Підтримка спорту вищих досягнень та організацій, які здійснюють фізкультурно-спортивну діяльність в регіоні</t>
  </si>
  <si>
    <t>1115063</t>
  </si>
  <si>
    <t>5063</t>
  </si>
  <si>
    <t>Забезпечення діяльності централізованої бухгалтерії</t>
  </si>
  <si>
    <t>6084</t>
  </si>
  <si>
    <t>Витрати, пов’язані з наданням та обслуговуванням пільгових довгострокових кредитів, наданих громадянам на будівництво/реконструкцію/ придбання житла</t>
  </si>
  <si>
    <t>1216000</t>
  </si>
  <si>
    <t>1216010</t>
  </si>
  <si>
    <t>6010</t>
  </si>
  <si>
    <t>1216011</t>
  </si>
  <si>
    <t>6011</t>
  </si>
  <si>
    <t>Експлуатація та технічне обслуговування житлового фонду</t>
  </si>
  <si>
    <t>1216015</t>
  </si>
  <si>
    <t>6015</t>
  </si>
  <si>
    <t>0620</t>
  </si>
  <si>
    <t>Забезпечення надійної та безперебійної експлуатації ліфтів</t>
  </si>
  <si>
    <t>1216017</t>
  </si>
  <si>
    <t>6017</t>
  </si>
  <si>
    <t>1216020</t>
  </si>
  <si>
    <t>6020</t>
  </si>
  <si>
    <t>Забезпечення функціонування підприємств, установ та організацій, що виробляють, виконують та/або надають житлово-комунальні послуги</t>
  </si>
  <si>
    <t>1216030</t>
  </si>
  <si>
    <t>6030</t>
  </si>
  <si>
    <t>Організація благоустрою населених пунктів</t>
  </si>
  <si>
    <t>1217000</t>
  </si>
  <si>
    <t>Економічна діяльність</t>
  </si>
  <si>
    <t>7640</t>
  </si>
  <si>
    <t>0470</t>
  </si>
  <si>
    <t>Заходи з енергозбереження</t>
  </si>
  <si>
    <t>6012</t>
  </si>
  <si>
    <t>Забезпечення діяльності з виробництва, транспортування, постачання теплової енергії</t>
  </si>
  <si>
    <t>6013</t>
  </si>
  <si>
    <t>Забезпечення діяльності водопровідно-каналізаційного господарства</t>
  </si>
  <si>
    <t>7400</t>
  </si>
  <si>
    <t>Транспорт та транспортна інфраструктура, дорожнє господарство</t>
  </si>
  <si>
    <t>7461</t>
  </si>
  <si>
    <t>0456</t>
  </si>
  <si>
    <t>Утримання та розвиток автомобільних доріг та дорожньої інфраструктури за рахунок коштів місцевого бюджету</t>
  </si>
  <si>
    <t>8100</t>
  </si>
  <si>
    <t>8110</t>
  </si>
  <si>
    <t>0320</t>
  </si>
  <si>
    <t>Заходи із запобігання та ліквідації надзвичайних ситуацій та наслідків стихійного лиха</t>
  </si>
  <si>
    <t>8120</t>
  </si>
  <si>
    <t>Заходи з організації рятування на водах</t>
  </si>
  <si>
    <t>5040</t>
  </si>
  <si>
    <t>Підтримка і розвиток спортивної інфраструктури</t>
  </si>
  <si>
    <t>5043</t>
  </si>
  <si>
    <t>7330</t>
  </si>
  <si>
    <t>7370</t>
  </si>
  <si>
    <t>Реалізація інших заходів щодо соціально-економічного розвитку територій</t>
  </si>
  <si>
    <t>7420</t>
  </si>
  <si>
    <t>Забезпечення надання послуг з перевезення пасажирів електротранспортом</t>
  </si>
  <si>
    <t>7426</t>
  </si>
  <si>
    <t>0453</t>
  </si>
  <si>
    <t>Інші заходи у сфері електротранспорту</t>
  </si>
  <si>
    <t>7610</t>
  </si>
  <si>
    <t>0411</t>
  </si>
  <si>
    <t>Сприяння розвитку малого та середнього підприємництва</t>
  </si>
  <si>
    <t>7630</t>
  </si>
  <si>
    <t>Реалізація програм і заходів в галузі зовнішньоекономічної діяльності</t>
  </si>
  <si>
    <t>8300</t>
  </si>
  <si>
    <t>Охорона навколишнього природного середовища</t>
  </si>
  <si>
    <t>0540</t>
  </si>
  <si>
    <t>7100</t>
  </si>
  <si>
    <t>Сільське, лісове, рибне господарство та мисливство</t>
  </si>
  <si>
    <t>7130</t>
  </si>
  <si>
    <t>0421</t>
  </si>
  <si>
    <t>Здійснення заходів із землеустрою</t>
  </si>
  <si>
    <t>7650</t>
  </si>
  <si>
    <t>Проведення експертної грошової оцінки земельної ділянки чи права на неї</t>
  </si>
  <si>
    <t>Обслуговування місцевого боргу</t>
  </si>
  <si>
    <t>Резервний фонд</t>
  </si>
  <si>
    <t>Резервний фонд місцевого бюджету</t>
  </si>
  <si>
    <t>9100</t>
  </si>
  <si>
    <t>Дотації з місцевого бюджету іншим бюджетам</t>
  </si>
  <si>
    <t>Реверсна дотація</t>
  </si>
  <si>
    <t>Х</t>
  </si>
  <si>
    <t>УСЬОГО</t>
  </si>
  <si>
    <t>Додаток 2</t>
  </si>
  <si>
    <t>Звіт про виконання видатків загального та спеціального фондів бюджету Хмельницької міської територіальної громади</t>
  </si>
  <si>
    <t>Найменування бюджетної програми згідно з Типовою програмною класифікацією видатків та кредитування місцевого бюджету</t>
  </si>
  <si>
    <t>% виконання</t>
  </si>
  <si>
    <t>Відсоток вручну</t>
  </si>
  <si>
    <t>Всього</t>
  </si>
  <si>
    <t>8821</t>
  </si>
  <si>
    <t>8822</t>
  </si>
  <si>
    <t>8800</t>
  </si>
  <si>
    <t>8820</t>
  </si>
  <si>
    <t xml:space="preserve"> Інша діяльність</t>
  </si>
  <si>
    <t>Кредитування</t>
  </si>
  <si>
    <t>Пільгові довгострокові кредити молодим сім'ям та одиноким молодим громадянам на будівництво/реконструкцію/придбання житла та їх повернення</t>
  </si>
  <si>
    <t xml:space="preserve"> Надання пільгових довгострокових кредитів молодим сім'ям та одиноким молодим громадянам на будівництво/реконструкцію/придбання житла</t>
  </si>
  <si>
    <t>Повернення пільгових довгострокових кредитів, наданих молодим сім'ям та одиноким молодим громадянам на будівництво/реконструкцію/придбання житла</t>
  </si>
  <si>
    <t>7460</t>
  </si>
  <si>
    <t>Утримання та розвиток автомобільних доріг та дорожньої інфраструктури</t>
  </si>
  <si>
    <t>7350</t>
  </si>
  <si>
    <t>7540</t>
  </si>
  <si>
    <t>Реалізація заходів, спрямованих на підвищення  доступності широкосмугового доступу до Інтернету в сільській місцевості</t>
  </si>
  <si>
    <t>1182</t>
  </si>
  <si>
    <t>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</si>
  <si>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1023</t>
  </si>
  <si>
    <t>1220</t>
  </si>
  <si>
    <t>1222</t>
  </si>
  <si>
    <t>3124</t>
  </si>
  <si>
    <t>Створення та забезпечення діяльності спеціалізованих служб підтримки осіб, які постраждали від домашнього насильства та/або насильства за ознакою статі</t>
  </si>
  <si>
    <t>7410</t>
  </si>
  <si>
    <t>Забезпечення надання послуг з перевезення пасажирів автомобільним транспортом</t>
  </si>
  <si>
    <t>7413</t>
  </si>
  <si>
    <t>0451</t>
  </si>
  <si>
    <t>Інші заходи у сфері автотранспорту</t>
  </si>
  <si>
    <t>7620</t>
  </si>
  <si>
    <t>7622</t>
  </si>
  <si>
    <t>Розвиток готельного господарства та туризму</t>
  </si>
  <si>
    <t>Реалізація програм і заходів в галузі туризму та курортів</t>
  </si>
  <si>
    <t>1221</t>
  </si>
  <si>
    <t>3220</t>
  </si>
  <si>
    <t>Грошова компенсація за належні для отримання жилі приміщення для окремих категорій населення відповідно до законодавства</t>
  </si>
  <si>
    <t>3221</t>
  </si>
  <si>
    <t>Грошова компенсація за належні для отримання жилі приміщення для сімей осіб, визначених абзацами 5-8 пункту 1 статті 10 Закону України "Про статус ветеранів війни, гарантії їх соціального захисту", для осіб з інвалідністю I-II групи, яка настала внаслідок поранення,</t>
  </si>
  <si>
    <t xml:space="preserve">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t>
  </si>
  <si>
    <t>Донецькій та Луганській областях, забезпеченні їх здійснення,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</si>
  <si>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3222</t>
  </si>
  <si>
    <t>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t>
  </si>
  <si>
    <t>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t>
  </si>
  <si>
    <t>перебуваючи безпосередньо в районах та у період здійснення зазначених заходів, та визнані особами з інвалідністю внаслідок війни III групи відповідно до пунктів 11-14 частини другої статті 7 або учасниками бойових дій відповідно до пунктів 19-20 частини першої статті 6 Закону</t>
  </si>
  <si>
    <t xml:space="preserve"> України "Про статус ветеранів війни, гарантії їх соціального захисту", та які потребують поліпшення житлових умов</t>
  </si>
  <si>
    <t>3223</t>
  </si>
  <si>
    <t>Грошова компенсація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I-II групи</t>
  </si>
  <si>
    <t>з числа 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t>
  </si>
  <si>
    <t>гарантії їх соціального захисту", та які потребують поліпшення житлових умов</t>
  </si>
  <si>
    <t>3224</t>
  </si>
  <si>
    <t>Грошова компенсація за належні для отримання жилі приміщення для сімей осіб, визначених у абзаці чотирнадцятому пункту 1 статті 10 Закону України "Про статус ветеранів війни, гарантії їх соціального захисту", для осіб з інвалідністю I-II групи, які стали особами з інвалідністю внаслідок</t>
  </si>
  <si>
    <t>поранень, каліцтва, контузії чи інших ушкоджень здоров'я, одержаних під час участі у Революції Гідності, визначених пунктом 10 частини другої статті 7 Закону України "Про статус ветеранів війни, гарантії їх соціального захисту", та які</t>
  </si>
  <si>
    <t>потребують поліпшення житлових умов</t>
  </si>
  <si>
    <t>6083</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</si>
  <si>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t>
  </si>
  <si>
    <t>7360</t>
  </si>
  <si>
    <t>7363</t>
  </si>
  <si>
    <t>Виконання інвестиційних проектів</t>
  </si>
  <si>
    <t>Виконання інвестиційних проектів в рамках здійснення заходів щодо соціально-економічного розвитку окремих територій</t>
  </si>
  <si>
    <t>0460</t>
  </si>
  <si>
    <t>1033</t>
  </si>
  <si>
    <t>7</t>
  </si>
  <si>
    <t>8</t>
  </si>
  <si>
    <t>9</t>
  </si>
  <si>
    <t>10</t>
  </si>
  <si>
    <t>Надання спеціалізованої освіти мистецькими школами</t>
  </si>
  <si>
    <t>6090</t>
  </si>
  <si>
    <t>0640</t>
  </si>
  <si>
    <t>Інша діяльність у сфері житлово-комунального господарства</t>
  </si>
  <si>
    <t>7450</t>
  </si>
  <si>
    <t>Інша діяльність у сфері транспорту</t>
  </si>
  <si>
    <t>8200</t>
  </si>
  <si>
    <t>Громадський порядок та безпека</t>
  </si>
  <si>
    <t>8240</t>
  </si>
  <si>
    <t>0380</t>
  </si>
  <si>
    <t>Заходи та роботи з територіальної оборони</t>
  </si>
  <si>
    <t>7325</t>
  </si>
  <si>
    <t>8340</t>
  </si>
  <si>
    <t>Природоохоронні заходи за рахунок цільових фондів</t>
  </si>
  <si>
    <t>Будівництво¹ споруд, установ та закладів фізичної культури і спорту</t>
  </si>
  <si>
    <t>Будівництво¹  інших об'єктів комунальної власності</t>
  </si>
  <si>
    <t>3230</t>
  </si>
  <si>
    <t>4070</t>
  </si>
  <si>
    <t>0823</t>
  </si>
  <si>
    <t>Фінансова підтримка кінематографії</t>
  </si>
  <si>
    <r>
      <t xml:space="preserve">1 </t>
    </r>
    <r>
      <rPr>
        <sz val="20"/>
        <rFont val="Times New Roman"/>
        <family val="1"/>
        <charset val="204"/>
      </rPr>
      <t>Будівни́цтво — будівництво, реконструкція і реставрація, капітальний ремонт об'єктів виробничої, комунікаційної та соціальної інфраструктури за рахунок власних коштів місцевих бюджетів.</t>
    </r>
  </si>
  <si>
    <t>8220</t>
  </si>
  <si>
    <t>Заходи та роботи з мобілізаційної підготовки місцевого значення</t>
  </si>
  <si>
    <t>8230</t>
  </si>
  <si>
    <t>Інші заходи громадського порядку та безпеки</t>
  </si>
  <si>
    <t>3140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</si>
  <si>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</si>
  <si>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Видатки, пов'язані з наданням підтримки внутрішньо переміщеним та/або евакуйованим особам у зв'язку із введенням воєнного стану</t>
  </si>
  <si>
    <t>5049</t>
  </si>
  <si>
    <t>Виконання окремих заходів з реалізації соціального проекту "Активні парки - локації здорової України"</t>
  </si>
  <si>
    <t>Субвенція з місцевого бюджету державному бюджету на перерахування коштів в умовах воєнного стану або для здійснення згідно із законом заходів загальної мобілізації та з метою відсічі збройної агресії Російської Федерації проти України та забезпечення національної безпеки, усунення загрози небезпеки державній незалежності України, її територіальній цілісності</t>
  </si>
  <si>
    <t>9820</t>
  </si>
  <si>
    <t>Виконання заходів щодо облаштування безпечних умов у закладах загальної середньої освіти за рахунок субвенції з державного бюджету місцевим бюджетам</t>
  </si>
  <si>
    <t>1262</t>
  </si>
  <si>
    <t>1260</t>
  </si>
  <si>
    <t>Виконання гарантійних зобов'язань за позичальників, що отримали кредити під місцеві гарантії</t>
  </si>
  <si>
    <t>Надання коштів для забезпечення гарантійних зобов'язань за позичальників, що отримали кредити під місцеві гарантії</t>
  </si>
  <si>
    <t>8881</t>
  </si>
  <si>
    <t>8880</t>
  </si>
  <si>
    <t>Довгострокові кредити громадянам на будівництво / реконструкцію / придбання житла та їх повернення</t>
  </si>
  <si>
    <t>8840</t>
  </si>
  <si>
    <t>8842</t>
  </si>
  <si>
    <t>Повернення довгострокових кредитів, наданих громадянам на будівництво/реконструкцію/придбання житла</t>
  </si>
  <si>
    <t>6016</t>
  </si>
  <si>
    <t xml:space="preserve">	Впровадження засобів обліку витрат та регулювання споживання води та теплової енергії</t>
  </si>
  <si>
    <t>1261</t>
  </si>
  <si>
    <t>Начальник фінансового управління</t>
  </si>
  <si>
    <t>Сергій ЯМЧУК</t>
  </si>
  <si>
    <t>Виконання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</si>
  <si>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1290</t>
  </si>
  <si>
    <t>1291</t>
  </si>
  <si>
    <t>1292</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</si>
  <si>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</si>
  <si>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8882</t>
  </si>
  <si>
    <t>Повернення коштів, наданих для виконання гарантійних зобов'язань за позичальників, що отримали кредити під місцеві гарантії</t>
  </si>
  <si>
    <t>Виконання заходів щодо облаштування безпечних умов у закладах охорони здоров'я</t>
  </si>
  <si>
    <t>2160</t>
  </si>
  <si>
    <t>2161</t>
  </si>
  <si>
    <t>Співфінансування заходів, що реалізуються за рахунок субвенції з державного бюджету місцевим бюджетам на облаштування безпечних умов у закладах охорони здоров'я</t>
  </si>
  <si>
    <t>Затверджено на 2025 рік з урахуванням змін</t>
  </si>
  <si>
    <t>Керівництво і управління у відповідній сфері у містах (місті Києві), селищах, селах, територіальних громадах</t>
  </si>
  <si>
    <t>Надання загальної середньої освіти закладами загальної середньої освіти за рахунок коштів місцевого бюджету</t>
  </si>
  <si>
    <t>Надання загальної середньої освіти спеціальними закладами загальної середньої освіти для осіб з особливими освітніми потребами, зумовленими порушеннями інтелектуального розвитку, фізичними та/або сенсорними порушеннями, за рахунок коштів місцевого бюджету</t>
  </si>
  <si>
    <t>Надання загальної середньої освіти спеціалізованими закладами загальної середньої освіти за рахунок коштів місцевого бюджету</t>
  </si>
  <si>
    <t>Надання загальної середньої освіти закладами загальної середньої освіти за рахунок освітньої субвенції</t>
  </si>
  <si>
    <t>Надання загальної середньої освіти спеціалізованими закладами загальної середньої освіти за рахунок освітньої субвенції</t>
  </si>
  <si>
    <t>Надання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</si>
  <si>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t>
  </si>
  <si>
    <t xml:space="preserve">	Забезпечення діяльності центрів професійного розвитку педагогічних працівників</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</si>
  <si>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</si>
  <si>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Проведення (надання) додаткових психолого-педагогічних і корекційно-розвиткових занять (послуг)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t>
  </si>
  <si>
    <t>Виконання заходів щодо модернізації майстерень і лабораторій закладів професійної та фахової передвищої освіти, забезпечення енергоефективності, безпеки та інклюзивності освітнього простору</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</si>
  <si>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модернізацію майстерень і лабораторій закладів професійної та фахової передвищої освіти, забезпечення енергоефективності, безпеки та інклюзивності освітнього простору</t>
  </si>
  <si>
    <t>Виконання заходів щодо реалізації публічного інвестиційного проекту на модернізацію майстерень і лабораторій закладів професійної та фахової передвищої освіти, забезпечення енергоефективності, безпеки та інклюзивності освітнього простору за рахунок субвенції з державного бюджету місцевим бюджетам</t>
  </si>
  <si>
    <t>Виконання заходів щодо облаштування безпечних умов у закладах, що надають загальну середню освіту (облаштування укриттів), зокрема військових (військово-морських, військово-спортивних) ліцеях, ліцеях із посиленою військово-фізичною підготовкою</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</si>
  <si>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 що надають загальну середню освіту (облаштування укриттів), зокрема військових (військово-морських, військово-спортивних) ліцеях, ліцеях із посиленою військово-фізичною підготовкою</t>
  </si>
  <si>
    <t>Інші програми, заклади та заходи у сфері охорони здоров'я</t>
  </si>
  <si>
    <t>Забезпечення діяльності інших закладів у сфері охорони здоров'я</t>
  </si>
  <si>
    <t>Інші програми та заходи у сфері охорони здоров'я</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</si>
  <si>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</si>
  <si>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</si>
  <si>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Розвиток та надання послуг спеціалізованими службами підтримки осіб, які постраждали від домашнього насильства та/або насильства за ознакою статі</t>
  </si>
  <si>
    <t>Реалізація державної політики у молодіжній сфері та сфері з утвердження української національної та громадянської ідентичності</t>
  </si>
  <si>
    <t>Створення умов для творчого, інтелектуального, духовного та фізичного розвитку дітей та молоді за місцем їх проживання</t>
  </si>
  <si>
    <t>Забезпечення молодіжними центрами соціального становлення та розвитку молоді та інші заходи у сфері молодіжної політики</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</si>
  <si>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</si>
  <si>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 xml:space="preserve">	Соціальний захист ветеранів війни та праці</t>
  </si>
  <si>
    <t xml:space="preserve">	Інші заклади та заходи</t>
  </si>
  <si>
    <t>Надання комплексу послуг особам/сім’ям у сфері соціального захисту та соціального забезпечення іншими надавачами соціальних послуг</t>
  </si>
  <si>
    <t>Забезпечення діяльності музеїв і виставок</t>
  </si>
  <si>
    <t>Забезпечення діяльності палаців і будинків культури, клубів, центрів дозвілля та інших клубних закладів</t>
  </si>
  <si>
    <t xml:space="preserve">	Проведення навчально-тренувальних зборів і змагань та заходів зі спорту осіб з інвалідністю</t>
  </si>
  <si>
    <t>Розвиток здібностей у дітей та молоді з фізичної культури та спорту комунальними дитячо-юнацькими спортивними школами</t>
  </si>
  <si>
    <t>Утримання та ефективна експлуатація об'єктів житлово-комунального господарства</t>
  </si>
  <si>
    <t>Реалізація державних та місцевих житлових програм</t>
  </si>
  <si>
    <t>Придбання житла для окремих категорій населення відповідно до законодавства</t>
  </si>
  <si>
    <t>Регіональний розвиток та інші інвестиційні проекти</t>
  </si>
  <si>
    <t>Внески до статутного капіталу суб'єктів господарювання</t>
  </si>
  <si>
    <t>Інша економічна діяльність</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</si>
  <si>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</si>
  <si>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Захист населення і територій від надзвичайних ситуацій</t>
  </si>
  <si>
    <t>Медіа (Засоби масової інформації)</t>
  </si>
  <si>
    <t>Фінансова підтримка медіа (засобів масової інформації)</t>
  </si>
  <si>
    <t>Здійснення доплат педагогічним працівникам закладів загальної середньої освіти за рахунок субвенції з державного бюджету місцевим бюджетам</t>
  </si>
  <si>
    <t>1600</t>
  </si>
  <si>
    <t>Виконання заходів, спрямованих на забезпечення якісної, сучасної та доступної загальної середньої освіти "Нова українська школа"</t>
  </si>
  <si>
    <t>1183</t>
  </si>
  <si>
    <t>1184</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</si>
  <si>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</si>
  <si>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</si>
  <si>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1300</t>
  </si>
  <si>
    <t>Будівництво¹ освітніх установ та закладів</t>
  </si>
  <si>
    <t>1400</t>
  </si>
  <si>
    <t>Виконання заходів із задоволення потреб у забезпеченні безпечного освітнього середовища</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</si>
  <si>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</si>
  <si>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1403</t>
  </si>
  <si>
    <t>3193</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</si>
  <si>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</si>
  <si>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3250</t>
  </si>
  <si>
    <t>Будівництво¹ установ та закладів соціальної сфери</t>
  </si>
  <si>
    <t>4084</t>
  </si>
  <si>
    <t>Проектування, реставрація та охорона пам'яток культурної спадщини</t>
  </si>
  <si>
    <t>Інша діяльність, пов'язана з експлуатацією об'єктів житлово-комунального господарства</t>
  </si>
  <si>
    <t>6091</t>
  </si>
  <si>
    <t>Будівництво¹ об'єктів житлово-комунального господарства</t>
  </si>
  <si>
    <t>7351</t>
  </si>
  <si>
    <t>Розроблення комплексних планів просторового розвитку територій територіальних громад</t>
  </si>
  <si>
    <t xml:space="preserve">Заступник міського голови                                                                                                                   </t>
  </si>
  <si>
    <t>Михайло КРИВАК</t>
  </si>
  <si>
    <t>11</t>
  </si>
  <si>
    <t>3110</t>
  </si>
  <si>
    <t>Заклади і заходи з питань дітей та їх соціального захисту</t>
  </si>
  <si>
    <t>3114</t>
  </si>
  <si>
    <t>Забезпечення умов для догляду та виховання дітей і молоді в дитячих будинках сімейного типу, прийомних сім’ях та сім’ях патронатних вихователів</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</si>
  <si>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</si>
  <si>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2170</t>
  </si>
  <si>
    <t>Будівництво¹ закладів охорони здоров'я</t>
  </si>
  <si>
    <t>Розвиток спортивної інфраструктури, у тому числі
реконструкція, будівельно-ремонтні роботи об’єктів
закладів фізичної культури і спорту, що забезпечують
розвиток резервного спорту, льодових палаців/арен та
стадіонів</t>
  </si>
  <si>
    <t>Розроблення схем планування та забудови територій
(містобудівної документації)</t>
  </si>
  <si>
    <t>1270</t>
  </si>
  <si>
    <t>Виконання заходів за рахунок коштів освітньої субвенції з державного бюджету місцевим бюджетам (за спеціальним фондом державного бюджету)</t>
  </si>
  <si>
    <t>1275</t>
  </si>
  <si>
    <t>Співфінансування заходів, що реалізуються за рахунок освітньої субвенції з державного бюджету місцевим бюджетам (за спеціальним фондом державного бюджету), на створення сучасного освітнього простору</t>
  </si>
  <si>
    <t>Компенсаційні виплати на пільговий проїзд автомобільним транспортом окремим категоріям громадян</t>
  </si>
  <si>
    <t>за 9-ть місяців 2025 року</t>
  </si>
  <si>
    <t>Затверджено на 9-ть місяців 2025 року з урахуванням змін</t>
  </si>
  <si>
    <t>Виконано за 9-ть місяців 2025 року</t>
  </si>
  <si>
    <t>Виконано за 9-ть місяців 2025 року разом по загальному та спеціальному фондах</t>
  </si>
  <si>
    <t>1276</t>
  </si>
  <si>
    <t>Реалізація заходів за рахунок освітньої субвенції з державного бюджету місцевим бюджетам (за спеціальним фондом державного бюджету) на створення сучасного освітнього простору</t>
  </si>
  <si>
    <t>1500</t>
  </si>
  <si>
    <t>1501</t>
  </si>
  <si>
    <t>Виконання заходів за рахунок субвенції з державного бюджету місцевим бюджетам на надання державної підтримки особам з особливими освітніми потребами (за спеціальним фондом державного бюджету)</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</si>
  <si>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 (за спеціальним фондом державного бюджету)</t>
  </si>
  <si>
    <t>3225</t>
  </si>
  <si>
    <t>Реалізація публічного інвестиційного проекту із виплати грошової компенсації за належні для отримання жилі приміщення для сімей осіб, визначених пунктами 2–5 частини першої статті 10-1 Закону України «Про статус ветеранів війни, гарантії їх соціального захисту», для осіб з інвалідністю I–II груп,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t>
  </si>
  <si>
    <t>гарантії їх соціального захисту», та які потребують поліпшення житлових умов</t>
  </si>
  <si>
    <t>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11–14 частини другої статті 7 Закону України «Про статус ветеранів війни,</t>
  </si>
  <si>
    <t>Реалізація публічного інвестиційного проекту із забезпечення житлом дитячих будинків сімейного типу, дітей-сиріт та дітей, позбавлених батьківського піклування</t>
  </si>
  <si>
    <t>3245</t>
  </si>
  <si>
    <t>5070</t>
  </si>
  <si>
    <t>Будівництво¹  споруд, установ та закладів фізичної культури і спорту</t>
  </si>
  <si>
    <t xml:space="preserve">до рішення  № 1423 від 13.11.2025 року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</si>
</sst>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7" x14ac:knownFonts="1">
    <font>
      <sz val="10"/>
      <name val="Arial Cyr"/>
      <charset val="204"/>
    </font>
    <font>
      <sz val="10"/>
      <name val="Arial Cyr"/>
      <charset val="204"/>
    </font>
    <font>
      <sz val="10"/>
      <name val="Times New Roman Cyr"/>
      <family val="1"/>
      <charset val="204"/>
    </font>
    <font>
      <sz val="36"/>
      <name val="Times New Roman"/>
      <family val="1"/>
      <charset val="204"/>
    </font>
    <font>
      <b/>
      <sz val="36"/>
      <name val="Times New Roman"/>
      <family val="1"/>
      <charset val="204"/>
    </font>
    <font>
      <sz val="10"/>
      <color rgb="FFFF0000"/>
      <name val="Arial Cyr"/>
      <charset val="204"/>
    </font>
    <font>
      <u/>
      <sz val="36"/>
      <color indexed="8"/>
      <name val="Times New Roman"/>
      <family val="1"/>
      <charset val="204"/>
    </font>
    <font>
      <sz val="36"/>
      <color indexed="8"/>
      <name val="Times New Roman"/>
      <family val="1"/>
      <charset val="204"/>
    </font>
    <font>
      <b/>
      <sz val="10"/>
      <name val="Arial Cyr"/>
      <charset val="204"/>
    </font>
    <font>
      <sz val="36"/>
      <color rgb="FFFF0000"/>
      <name val="Times New Roman"/>
      <family val="1"/>
      <charset val="204"/>
    </font>
    <font>
      <sz val="10"/>
      <name val="MS Sans Serif"/>
      <family val="2"/>
      <charset val="204"/>
    </font>
    <font>
      <b/>
      <i/>
      <sz val="36"/>
      <name val="Times New Roman"/>
      <family val="1"/>
      <charset val="204"/>
    </font>
    <font>
      <b/>
      <sz val="37"/>
      <name val="Times New Roman"/>
      <family val="1"/>
      <charset val="204"/>
    </font>
    <font>
      <b/>
      <i/>
      <sz val="10"/>
      <name val="Arial Cyr"/>
      <charset val="204"/>
    </font>
    <font>
      <sz val="37"/>
      <name val="Times New Roman"/>
      <family val="1"/>
      <charset val="204"/>
    </font>
    <font>
      <b/>
      <sz val="10"/>
      <color rgb="FFFF0000"/>
      <name val="Times New Roman"/>
      <family val="1"/>
      <charset val="204"/>
    </font>
    <font>
      <b/>
      <sz val="36"/>
      <color theme="1"/>
      <name val="Times New Roman"/>
      <family val="1"/>
      <charset val="204"/>
    </font>
    <font>
      <b/>
      <sz val="37"/>
      <color theme="1"/>
      <name val="Times New Roman"/>
      <family val="1"/>
      <charset val="204"/>
    </font>
    <font>
      <b/>
      <sz val="36"/>
      <color rgb="FFFF0000"/>
      <name val="Times New Roman"/>
      <family val="1"/>
      <charset val="204"/>
    </font>
    <font>
      <b/>
      <i/>
      <sz val="37"/>
      <name val="Times New Roman"/>
      <family val="1"/>
      <charset val="204"/>
    </font>
    <font>
      <i/>
      <sz val="10"/>
      <name val="Arial Cyr"/>
      <charset val="204"/>
    </font>
    <font>
      <i/>
      <sz val="37"/>
      <name val="Times New Roman"/>
      <family val="1"/>
      <charset val="204"/>
    </font>
    <font>
      <i/>
      <sz val="10"/>
      <color rgb="FFFF0000"/>
      <name val="Arial Cyr"/>
      <charset val="204"/>
    </font>
    <font>
      <sz val="36"/>
      <color rgb="FFFF0000"/>
      <name val="Arial Cyr"/>
      <charset val="204"/>
    </font>
    <font>
      <sz val="28"/>
      <name val="Arial Cyr"/>
      <charset val="204"/>
    </font>
    <font>
      <b/>
      <sz val="36"/>
      <color rgb="FFFF0000"/>
      <name val="Arial Cyr"/>
      <charset val="204"/>
    </font>
    <font>
      <b/>
      <sz val="37"/>
      <color rgb="FFFF0000"/>
      <name val="Times New Roman"/>
      <family val="1"/>
      <charset val="204"/>
    </font>
    <font>
      <sz val="37"/>
      <color rgb="FFFF0000"/>
      <name val="Times New Roman"/>
      <family val="1"/>
      <charset val="204"/>
    </font>
    <font>
      <b/>
      <i/>
      <sz val="37"/>
      <color rgb="FFFF0000"/>
      <name val="Times New Roman"/>
      <family val="1"/>
      <charset val="204"/>
    </font>
    <font>
      <vertAlign val="superscript"/>
      <sz val="20"/>
      <name val="Times New Roman"/>
      <family val="1"/>
      <charset val="204"/>
    </font>
    <font>
      <sz val="20"/>
      <name val="Arial Cyr"/>
      <charset val="204"/>
    </font>
    <font>
      <sz val="10"/>
      <name val="Times New Roman"/>
      <family val="1"/>
      <charset val="204"/>
    </font>
    <font>
      <b/>
      <sz val="10"/>
      <name val="Times New Roman Cyr"/>
      <family val="1"/>
      <charset val="204"/>
    </font>
    <font>
      <b/>
      <sz val="48"/>
      <name val="Times New Roman"/>
      <family val="1"/>
      <charset val="204"/>
    </font>
    <font>
      <i/>
      <sz val="37"/>
      <color rgb="FFFF0000"/>
      <name val="Times New Roman"/>
      <family val="1"/>
      <charset val="204"/>
    </font>
    <font>
      <b/>
      <sz val="36"/>
      <color rgb="FF99FF99"/>
      <name val="Times New Roman"/>
      <family val="1"/>
      <charset val="204"/>
    </font>
    <font>
      <sz val="48"/>
      <color rgb="FFFF0000"/>
      <name val="Arial Cyr"/>
      <charset val="204"/>
    </font>
    <font>
      <b/>
      <sz val="37"/>
      <color rgb="FF99FF99"/>
      <name val="Times New Roman"/>
      <family val="1"/>
      <charset val="204"/>
    </font>
    <font>
      <sz val="72"/>
      <name val="Arial Cyr"/>
      <charset val="204"/>
    </font>
    <font>
      <i/>
      <sz val="36"/>
      <color rgb="FFFF0000"/>
      <name val="Times New Roman"/>
      <family val="1"/>
      <charset val="204"/>
    </font>
    <font>
      <vertAlign val="superscript"/>
      <sz val="20"/>
      <color rgb="FFFF0000"/>
      <name val="Times New Roman"/>
      <family val="1"/>
      <charset val="204"/>
    </font>
    <font>
      <sz val="20"/>
      <color rgb="FFFF0000"/>
      <name val="Arial Cyr"/>
      <charset val="204"/>
    </font>
    <font>
      <sz val="20"/>
      <name val="Times New Roman"/>
      <family val="1"/>
      <charset val="204"/>
    </font>
    <font>
      <sz val="36"/>
      <color theme="1"/>
      <name val="Times New Roman"/>
      <family val="1"/>
      <charset val="204"/>
    </font>
    <font>
      <sz val="37"/>
      <color theme="1"/>
      <name val="Times New Roman"/>
      <family val="1"/>
      <charset val="204"/>
    </font>
    <font>
      <i/>
      <sz val="36"/>
      <name val="Times New Roman"/>
      <family val="1"/>
      <charset val="204"/>
    </font>
    <font>
      <sz val="28"/>
      <color rgb="FFFF0000"/>
      <name val="Arial Cyr"/>
      <charset val="204"/>
    </font>
  </fonts>
  <fills count="8">
    <fill>
      <patternFill patternType="none"/>
    </fill>
    <fill>
      <patternFill patternType="gray125"/>
    </fill>
    <fill>
      <patternFill patternType="solid">
        <fgColor rgb="FFFFFF00"/>
        <bgColor indexed="64"/>
      </patternFill>
    </fill>
    <fill>
      <patternFill patternType="solid">
        <fgColor rgb="FFFF0000"/>
        <bgColor indexed="64"/>
      </patternFill>
    </fill>
    <fill>
      <gradientFill degree="90">
        <stop position="0">
          <color theme="0"/>
        </stop>
        <stop position="1">
          <color rgb="FFCC99FF"/>
        </stop>
      </gradientFill>
    </fill>
    <fill>
      <patternFill patternType="solid">
        <fgColor theme="7" tint="0.59999389629810485"/>
        <bgColor indexed="64"/>
      </patternFill>
    </fill>
    <fill>
      <patternFill patternType="solid">
        <fgColor rgb="FF99FF99"/>
        <bgColor indexed="64"/>
      </patternFill>
    </fill>
    <fill>
      <gradientFill degree="270">
        <stop position="0">
          <color theme="0"/>
        </stop>
        <stop position="1">
          <color rgb="FFFFFFCC"/>
        </stop>
      </gradientFill>
    </fill>
  </fills>
  <borders count="11">
    <border>
      <left/>
      <right/>
      <top/>
      <bottom/>
      <diagonal/>
    </border>
    <border>
      <left style="double">
        <color theme="0" tint="-0.499984740745262"/>
      </left>
      <right style="double">
        <color theme="0" tint="-0.499984740745262"/>
      </right>
      <top style="double">
        <color theme="0" tint="-0.499984740745262"/>
      </top>
      <bottom style="double">
        <color theme="0" tint="-0.499984740745262"/>
      </bottom>
      <diagonal/>
    </border>
    <border>
      <left style="double">
        <color theme="0" tint="-0.499984740745262"/>
      </left>
      <right style="double">
        <color theme="0" tint="-0.499984740745262"/>
      </right>
      <top style="double">
        <color theme="0" tint="-0.499984740745262"/>
      </top>
      <bottom/>
      <diagonal/>
    </border>
    <border>
      <left style="double">
        <color theme="0" tint="-0.499984740745262"/>
      </left>
      <right style="double">
        <color theme="0" tint="-0.499984740745262"/>
      </right>
      <top/>
      <bottom style="double">
        <color theme="0" tint="-0.499984740745262"/>
      </bottom>
      <diagonal/>
    </border>
    <border>
      <left style="double">
        <color theme="0" tint="-0.499984740745262"/>
      </left>
      <right/>
      <top/>
      <bottom/>
      <diagonal/>
    </border>
    <border>
      <left style="double">
        <color theme="0" tint="-0.499984740745262"/>
      </left>
      <right style="double">
        <color theme="0" tint="-0.499984740745262"/>
      </right>
      <top/>
      <bottom/>
      <diagonal/>
    </border>
    <border>
      <left/>
      <right/>
      <top style="double">
        <color theme="0" tint="-0.499984740745262"/>
      </top>
      <bottom/>
      <diagonal/>
    </border>
    <border>
      <left style="double">
        <color theme="0" tint="-0.499984740745262"/>
      </left>
      <right/>
      <top style="double">
        <color theme="0" tint="-0.499984740745262"/>
      </top>
      <bottom style="double">
        <color theme="0" tint="-0.499984740745262"/>
      </bottom>
      <diagonal/>
    </border>
    <border>
      <left/>
      <right/>
      <top style="double">
        <color theme="0" tint="-0.499984740745262"/>
      </top>
      <bottom style="double">
        <color theme="0" tint="-0.499984740745262"/>
      </bottom>
      <diagonal/>
    </border>
    <border>
      <left/>
      <right style="double">
        <color theme="0" tint="-0.499984740745262"/>
      </right>
      <top style="double">
        <color theme="0" tint="-0.499984740745262"/>
      </top>
      <bottom style="double">
        <color theme="0" tint="-0.499984740745262"/>
      </bottom>
      <diagonal/>
    </border>
    <border>
      <left style="double">
        <color theme="0" tint="-0.499984740745262"/>
      </left>
      <right/>
      <top style="double">
        <color theme="0" tint="-0.499984740745262"/>
      </top>
      <bottom/>
      <diagonal/>
    </border>
  </borders>
  <cellStyleXfs count="4">
    <xf numFmtId="0" fontId="0" fillId="0" borderId="0"/>
    <xf numFmtId="0" fontId="10" fillId="0" borderId="0" applyNumberFormat="0" applyFont="0" applyFill="0" applyBorder="0" applyAlignment="0" applyProtection="0">
      <alignment vertical="top"/>
    </xf>
    <xf numFmtId="0" fontId="31" fillId="0" borderId="0"/>
    <xf numFmtId="0" fontId="31" fillId="0" borderId="0"/>
  </cellStyleXfs>
  <cellXfs count="219">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3" fillId="0" borderId="0" xfId="0" applyFont="1" applyAlignment="1">
      <alignment horizontal="center" vertical="center"/>
    </xf>
    <xf numFmtId="0" fontId="5" fillId="0" borderId="0" xfId="0" applyFont="1"/>
    <xf numFmtId="0" fontId="3" fillId="0" borderId="0" xfId="0" applyFont="1" applyAlignment="1">
      <alignment horizontal="right" vertical="center"/>
    </xf>
    <xf numFmtId="0" fontId="4" fillId="0" borderId="1" xfId="0" applyFont="1" applyBorder="1" applyAlignment="1">
      <alignment horizontal="center" vertical="top" wrapText="1"/>
    </xf>
    <xf numFmtId="49" fontId="4" fillId="0" borderId="1" xfId="0" applyNumberFormat="1" applyFont="1" applyBorder="1" applyAlignment="1">
      <alignment horizontal="center" vertical="center" wrapText="1"/>
    </xf>
    <xf numFmtId="49" fontId="9" fillId="0" borderId="0" xfId="0" applyNumberFormat="1" applyFont="1" applyAlignment="1">
      <alignment horizontal="center" vertical="center" wrapText="1"/>
    </xf>
    <xf numFmtId="0" fontId="9" fillId="0" borderId="0" xfId="1" applyFont="1" applyFill="1" applyBorder="1" applyAlignment="1" applyProtection="1">
      <alignment horizontal="center" vertical="center" wrapText="1"/>
      <protection locked="0"/>
    </xf>
    <xf numFmtId="0" fontId="8" fillId="0" borderId="0" xfId="0" applyFont="1"/>
    <xf numFmtId="4" fontId="4" fillId="0" borderId="0" xfId="0" applyNumberFormat="1" applyFont="1" applyAlignment="1">
      <alignment horizontal="left" vertical="center"/>
    </xf>
    <xf numFmtId="4" fontId="11" fillId="0" borderId="0" xfId="0" applyNumberFormat="1" applyFont="1" applyAlignment="1">
      <alignment horizontal="left" vertical="center"/>
    </xf>
    <xf numFmtId="0" fontId="13" fillId="0" borderId="0" xfId="0" applyFont="1"/>
    <xf numFmtId="0" fontId="15" fillId="0" borderId="0" xfId="0" applyFont="1"/>
    <xf numFmtId="4" fontId="16" fillId="0" borderId="0" xfId="0" applyNumberFormat="1" applyFont="1" applyAlignment="1">
      <alignment horizontal="left" vertical="center"/>
    </xf>
    <xf numFmtId="4" fontId="18" fillId="0" borderId="0" xfId="0" applyNumberFormat="1" applyFont="1" applyAlignment="1">
      <alignment horizontal="left" vertical="center"/>
    </xf>
    <xf numFmtId="0" fontId="20" fillId="0" borderId="0" xfId="0" applyFont="1"/>
    <xf numFmtId="4" fontId="9" fillId="0" borderId="0" xfId="0" applyNumberFormat="1" applyFont="1" applyAlignment="1">
      <alignment horizontal="left" vertical="center"/>
    </xf>
    <xf numFmtId="0" fontId="22" fillId="0" borderId="0" xfId="0" applyFont="1"/>
    <xf numFmtId="4" fontId="23" fillId="0" borderId="0" xfId="0" applyNumberFormat="1" applyFont="1"/>
    <xf numFmtId="4" fontId="3" fillId="0" borderId="0" xfId="0" applyNumberFormat="1" applyFont="1" applyAlignment="1">
      <alignment horizontal="left" vertical="center"/>
    </xf>
    <xf numFmtId="4" fontId="24" fillId="0" borderId="0" xfId="0" applyNumberFormat="1" applyFont="1"/>
    <xf numFmtId="4" fontId="25" fillId="0" borderId="0" xfId="0" applyNumberFormat="1" applyFont="1" applyAlignment="1">
      <alignment horizontal="left" vertical="center"/>
    </xf>
    <xf numFmtId="4" fontId="12" fillId="0" borderId="0" xfId="0" applyNumberFormat="1" applyFont="1" applyAlignment="1">
      <alignment horizontal="center" vertical="center" wrapText="1"/>
    </xf>
    <xf numFmtId="4" fontId="12" fillId="0" borderId="0" xfId="0" applyNumberFormat="1" applyFont="1" applyAlignment="1">
      <alignment horizontal="left" vertical="center" wrapText="1"/>
    </xf>
    <xf numFmtId="4" fontId="27" fillId="0" borderId="0" xfId="0" applyNumberFormat="1" applyFont="1" applyAlignment="1">
      <alignment horizontal="center" vertical="center" wrapText="1"/>
    </xf>
    <xf numFmtId="4" fontId="14" fillId="0" borderId="0" xfId="0" applyNumberFormat="1" applyFont="1" applyAlignment="1">
      <alignment horizontal="left" vertical="center" wrapText="1"/>
    </xf>
    <xf numFmtId="4" fontId="14" fillId="0" borderId="0" xfId="0" applyNumberFormat="1" applyFont="1" applyAlignment="1">
      <alignment horizontal="center" vertical="center" wrapText="1"/>
    </xf>
    <xf numFmtId="4" fontId="26" fillId="0" borderId="0" xfId="0" applyNumberFormat="1" applyFont="1" applyAlignment="1">
      <alignment horizontal="left" vertical="center" wrapText="1"/>
    </xf>
    <xf numFmtId="4" fontId="28" fillId="0" borderId="0" xfId="0" applyNumberFormat="1" applyFont="1" applyAlignment="1">
      <alignment horizontal="left" vertical="center" wrapText="1"/>
    </xf>
    <xf numFmtId="4" fontId="21" fillId="0" borderId="0" xfId="0" applyNumberFormat="1" applyFont="1" applyAlignment="1">
      <alignment horizontal="left" vertical="center" wrapText="1"/>
    </xf>
    <xf numFmtId="0" fontId="5" fillId="2" borderId="0" xfId="0" applyFont="1" applyFill="1"/>
    <xf numFmtId="4" fontId="12" fillId="2" borderId="0" xfId="0" applyNumberFormat="1" applyFont="1" applyFill="1" applyAlignment="1">
      <alignment horizontal="left" vertical="center" wrapText="1"/>
    </xf>
    <xf numFmtId="0" fontId="0" fillId="2" borderId="0" xfId="0" applyFill="1"/>
    <xf numFmtId="4" fontId="19" fillId="0" borderId="0" xfId="0" applyNumberFormat="1" applyFont="1" applyAlignment="1">
      <alignment horizontal="left" vertical="center" wrapText="1"/>
    </xf>
    <xf numFmtId="4" fontId="17" fillId="0" borderId="0" xfId="0" applyNumberFormat="1" applyFont="1" applyAlignment="1">
      <alignment horizontal="center" vertical="center" wrapText="1"/>
    </xf>
    <xf numFmtId="0" fontId="0" fillId="3" borderId="0" xfId="0" applyFill="1"/>
    <xf numFmtId="0" fontId="5" fillId="3" borderId="0" xfId="0" applyFont="1" applyFill="1"/>
    <xf numFmtId="4" fontId="9" fillId="0" borderId="0" xfId="0" applyNumberFormat="1" applyFont="1" applyAlignment="1">
      <alignment horizontal="center" vertical="center"/>
    </xf>
    <xf numFmtId="0" fontId="29" fillId="0" borderId="0" xfId="0" applyFont="1" applyAlignment="1">
      <alignment horizontal="left" vertical="center"/>
    </xf>
    <xf numFmtId="0" fontId="30" fillId="0" borderId="0" xfId="0" applyFont="1" applyAlignment="1">
      <alignment horizontal="left" vertical="center"/>
    </xf>
    <xf numFmtId="0" fontId="3" fillId="0" borderId="0" xfId="2" applyFont="1"/>
    <xf numFmtId="0" fontId="1" fillId="0" borderId="0" xfId="0" applyFont="1"/>
    <xf numFmtId="0" fontId="3" fillId="0" borderId="0" xfId="0" applyFont="1" applyAlignment="1">
      <alignment horizontal="left" vertical="center"/>
    </xf>
    <xf numFmtId="0" fontId="23" fillId="0" borderId="0" xfId="0" applyFont="1"/>
    <xf numFmtId="0" fontId="32"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49" fontId="33" fillId="0" borderId="1" xfId="0" applyNumberFormat="1" applyFont="1" applyBorder="1" applyAlignment="1">
      <alignment horizontal="center" vertical="center" wrapText="1"/>
    </xf>
    <xf numFmtId="4" fontId="26" fillId="3" borderId="0" xfId="0" applyNumberFormat="1" applyFont="1" applyFill="1" applyAlignment="1">
      <alignment horizontal="left" vertical="center" wrapText="1"/>
    </xf>
    <xf numFmtId="49" fontId="33" fillId="0" borderId="0" xfId="0" applyNumberFormat="1" applyFont="1" applyAlignment="1">
      <alignment horizontal="center" vertical="center" wrapText="1"/>
    </xf>
    <xf numFmtId="4" fontId="35" fillId="0" borderId="0" xfId="0" applyNumberFormat="1" applyFont="1" applyAlignment="1">
      <alignment horizontal="left" vertical="center"/>
    </xf>
    <xf numFmtId="4" fontId="36" fillId="3" borderId="0" xfId="0" applyNumberFormat="1" applyFont="1" applyFill="1"/>
    <xf numFmtId="4" fontId="37" fillId="4" borderId="1" xfId="0" applyNumberFormat="1" applyFont="1" applyFill="1" applyBorder="1" applyAlignment="1">
      <alignment horizontal="center" vertical="center"/>
    </xf>
    <xf numFmtId="0" fontId="38" fillId="3" borderId="0" xfId="0" applyFont="1" applyFill="1"/>
    <xf numFmtId="49" fontId="18" fillId="0" borderId="1"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49" fontId="39" fillId="0" borderId="1" xfId="0" applyNumberFormat="1" applyFont="1" applyBorder="1" applyAlignment="1">
      <alignment horizontal="center" vertical="center" wrapText="1"/>
    </xf>
    <xf numFmtId="49" fontId="18" fillId="3" borderId="1" xfId="0" applyNumberFormat="1" applyFont="1" applyFill="1" applyBorder="1" applyAlignment="1">
      <alignment horizontal="center" vertical="center" wrapText="1"/>
    </xf>
    <xf numFmtId="0" fontId="40" fillId="0" borderId="0" xfId="0" applyFont="1" applyAlignment="1">
      <alignment horizontal="left" vertical="center"/>
    </xf>
    <xf numFmtId="0" fontId="41" fillId="0" borderId="0" xfId="0" applyFont="1" applyAlignment="1">
      <alignment horizontal="left" vertical="center"/>
    </xf>
    <xf numFmtId="0" fontId="4" fillId="4" borderId="1" xfId="0" applyFont="1" applyFill="1" applyBorder="1" applyAlignment="1">
      <alignment horizontal="center" vertical="center"/>
    </xf>
    <xf numFmtId="0" fontId="4" fillId="4" borderId="1" xfId="0" applyFont="1" applyFill="1" applyBorder="1" applyAlignment="1">
      <alignment horizontal="left" vertical="center"/>
    </xf>
    <xf numFmtId="4" fontId="12" fillId="4" borderId="1" xfId="0" applyNumberFormat="1" applyFont="1" applyFill="1" applyBorder="1" applyAlignment="1">
      <alignment horizontal="center" vertical="center"/>
    </xf>
    <xf numFmtId="164" fontId="12" fillId="4" borderId="1" xfId="0" applyNumberFormat="1" applyFont="1" applyFill="1" applyBorder="1" applyAlignment="1">
      <alignment horizontal="center" vertical="center"/>
    </xf>
    <xf numFmtId="49" fontId="39" fillId="0" borderId="1" xfId="0" applyNumberFormat="1" applyFont="1" applyBorder="1" applyAlignment="1">
      <alignment horizontal="center" vertical="center"/>
    </xf>
    <xf numFmtId="49" fontId="9" fillId="0" borderId="1" xfId="0" applyNumberFormat="1" applyFont="1" applyBorder="1" applyAlignment="1">
      <alignment horizontal="center" vertical="center"/>
    </xf>
    <xf numFmtId="49" fontId="43"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49" fontId="45" fillId="0" borderId="1" xfId="0" applyNumberFormat="1" applyFont="1" applyBorder="1" applyAlignment="1">
      <alignment horizontal="center" vertical="center" wrapText="1"/>
    </xf>
    <xf numFmtId="4" fontId="46" fillId="3" borderId="0" xfId="0" applyNumberFormat="1" applyFont="1" applyFill="1"/>
    <xf numFmtId="164" fontId="14" fillId="5" borderId="1" xfId="1" applyNumberFormat="1" applyFont="1" applyFill="1" applyBorder="1" applyAlignment="1" applyProtection="1">
      <alignment horizontal="center" vertical="center" wrapText="1"/>
      <protection locked="0"/>
    </xf>
    <xf numFmtId="49" fontId="3" fillId="5" borderId="1" xfId="0" applyNumberFormat="1" applyFont="1" applyFill="1" applyBorder="1" applyAlignment="1">
      <alignment horizontal="center" vertical="center" wrapText="1"/>
    </xf>
    <xf numFmtId="4" fontId="14" fillId="5" borderId="1" xfId="0" applyNumberFormat="1" applyFont="1" applyFill="1" applyBorder="1" applyAlignment="1">
      <alignment horizontal="center" vertical="center" wrapText="1"/>
    </xf>
    <xf numFmtId="4" fontId="14" fillId="5" borderId="1" xfId="0" applyNumberFormat="1" applyFont="1" applyFill="1" applyBorder="1" applyAlignment="1">
      <alignment horizontal="center" vertical="center"/>
    </xf>
    <xf numFmtId="49" fontId="9" fillId="0" borderId="2" xfId="0" applyNumberFormat="1" applyFont="1" applyBorder="1" applyAlignment="1">
      <alignment horizontal="center" vertical="center" wrapText="1"/>
    </xf>
    <xf numFmtId="164" fontId="14" fillId="6" borderId="1" xfId="1" applyNumberFormat="1" applyFont="1" applyFill="1" applyBorder="1" applyAlignment="1" applyProtection="1">
      <alignment horizontal="center" vertical="center" wrapText="1"/>
      <protection locked="0"/>
    </xf>
    <xf numFmtId="49" fontId="3" fillId="6" borderId="1" xfId="0" applyNumberFormat="1" applyFont="1" applyFill="1" applyBorder="1" applyAlignment="1">
      <alignment horizontal="center" vertical="center" wrapText="1"/>
    </xf>
    <xf numFmtId="4" fontId="14" fillId="6" borderId="1" xfId="0" applyNumberFormat="1" applyFont="1" applyFill="1" applyBorder="1" applyAlignment="1">
      <alignment horizontal="center" vertical="center" wrapText="1"/>
    </xf>
    <xf numFmtId="4" fontId="14" fillId="6" borderId="1" xfId="0" applyNumberFormat="1" applyFont="1" applyFill="1" applyBorder="1" applyAlignment="1">
      <alignment horizontal="center" vertical="center"/>
    </xf>
    <xf numFmtId="4" fontId="37" fillId="4" borderId="0" xfId="0" applyNumberFormat="1" applyFont="1" applyFill="1" applyAlignment="1">
      <alignment horizontal="center" vertical="center"/>
    </xf>
    <xf numFmtId="49" fontId="39" fillId="0" borderId="2" xfId="0" applyNumberFormat="1" applyFont="1" applyBorder="1" applyAlignment="1">
      <alignment horizontal="center" vertical="center" wrapText="1"/>
    </xf>
    <xf numFmtId="49" fontId="33" fillId="0" borderId="10" xfId="0" applyNumberFormat="1" applyFont="1" applyBorder="1" applyAlignment="1">
      <alignment horizontal="center" vertical="center" wrapText="1"/>
    </xf>
    <xf numFmtId="4" fontId="44" fillId="2" borderId="1" xfId="1" applyNumberFormat="1" applyFont="1" applyFill="1" applyBorder="1" applyAlignment="1" applyProtection="1">
      <alignment horizontal="center" vertical="center" wrapText="1"/>
      <protection locked="0"/>
    </xf>
    <xf numFmtId="164" fontId="14" fillId="2" borderId="1" xfId="1" applyNumberFormat="1" applyFont="1" applyFill="1" applyBorder="1" applyAlignment="1" applyProtection="1">
      <alignment horizontal="center" vertical="center" wrapText="1"/>
      <protection locked="0"/>
    </xf>
    <xf numFmtId="49" fontId="3" fillId="2" borderId="1" xfId="0" applyNumberFormat="1" applyFont="1" applyFill="1" applyBorder="1" applyAlignment="1">
      <alignment horizontal="center" vertical="center" wrapText="1"/>
    </xf>
    <xf numFmtId="4" fontId="14" fillId="2" borderId="1" xfId="0" applyNumberFormat="1" applyFont="1" applyFill="1" applyBorder="1" applyAlignment="1">
      <alignment horizontal="center" vertical="center" wrapText="1"/>
    </xf>
    <xf numFmtId="4" fontId="14" fillId="2" borderId="1" xfId="0" applyNumberFormat="1" applyFont="1" applyFill="1" applyBorder="1" applyAlignment="1">
      <alignment horizontal="center" vertical="center"/>
    </xf>
    <xf numFmtId="49" fontId="45" fillId="2" borderId="1" xfId="0" applyNumberFormat="1" applyFont="1" applyFill="1" applyBorder="1" applyAlignment="1">
      <alignment horizontal="center" vertical="center" wrapText="1"/>
    </xf>
    <xf numFmtId="4" fontId="21" fillId="2" borderId="1" xfId="0" applyNumberFormat="1" applyFont="1" applyFill="1" applyBorder="1" applyAlignment="1">
      <alignment horizontal="center" vertical="center" wrapText="1"/>
    </xf>
    <xf numFmtId="164" fontId="21" fillId="2" borderId="1" xfId="1" applyNumberFormat="1" applyFont="1" applyFill="1" applyBorder="1" applyAlignment="1" applyProtection="1">
      <alignment horizontal="center" vertical="center" wrapText="1"/>
      <protection locked="0"/>
    </xf>
    <xf numFmtId="49" fontId="45" fillId="2" borderId="2" xfId="0" applyNumberFormat="1" applyFont="1" applyFill="1" applyBorder="1" applyAlignment="1">
      <alignment horizontal="center" vertical="center" wrapText="1"/>
    </xf>
    <xf numFmtId="49" fontId="45" fillId="2" borderId="0" xfId="0" applyNumberFormat="1" applyFont="1" applyFill="1" applyAlignment="1">
      <alignment horizontal="center" wrapText="1"/>
    </xf>
    <xf numFmtId="4" fontId="21" fillId="2" borderId="2" xfId="0" applyNumberFormat="1" applyFont="1" applyFill="1" applyBorder="1" applyAlignment="1">
      <alignment horizontal="center" vertical="center" wrapText="1"/>
    </xf>
    <xf numFmtId="164" fontId="14" fillId="2" borderId="2" xfId="1" applyNumberFormat="1" applyFont="1" applyFill="1" applyBorder="1" applyAlignment="1" applyProtection="1">
      <alignment horizontal="center" vertical="center" wrapText="1"/>
      <protection locked="0"/>
    </xf>
    <xf numFmtId="164" fontId="21" fillId="2" borderId="2" xfId="1" applyNumberFormat="1" applyFont="1" applyFill="1" applyBorder="1" applyAlignment="1" applyProtection="1">
      <alignment horizontal="center" vertical="center" wrapText="1"/>
      <protection locked="0"/>
    </xf>
    <xf numFmtId="4" fontId="27" fillId="2" borderId="1" xfId="0" applyNumberFormat="1" applyFont="1" applyFill="1" applyBorder="1" applyAlignment="1">
      <alignment horizontal="center" vertical="center" wrapText="1"/>
    </xf>
    <xf numFmtId="164" fontId="27" fillId="2" borderId="1" xfId="1" applyNumberFormat="1" applyFont="1" applyFill="1" applyBorder="1" applyAlignment="1" applyProtection="1">
      <alignment horizontal="center" vertical="center" wrapText="1"/>
      <protection locked="0"/>
    </xf>
    <xf numFmtId="4" fontId="26" fillId="2" borderId="1" xfId="0" applyNumberFormat="1" applyFont="1" applyFill="1" applyBorder="1" applyAlignment="1">
      <alignment horizontal="center" vertical="center" wrapText="1"/>
    </xf>
    <xf numFmtId="4" fontId="19" fillId="2" borderId="1" xfId="0" applyNumberFormat="1" applyFont="1" applyFill="1" applyBorder="1" applyAlignment="1">
      <alignment horizontal="center" vertical="center" wrapText="1"/>
    </xf>
    <xf numFmtId="4" fontId="12" fillId="2" borderId="1" xfId="0" applyNumberFormat="1" applyFont="1" applyFill="1" applyBorder="1" applyAlignment="1">
      <alignment horizontal="center" vertical="center" wrapText="1"/>
    </xf>
    <xf numFmtId="49" fontId="9" fillId="2" borderId="1" xfId="0" applyNumberFormat="1" applyFont="1" applyFill="1" applyBorder="1" applyAlignment="1">
      <alignment horizontal="center" vertical="center" wrapText="1"/>
    </xf>
    <xf numFmtId="4" fontId="27" fillId="2" borderId="1" xfId="0" applyNumberFormat="1" applyFont="1" applyFill="1" applyBorder="1" applyAlignment="1">
      <alignment horizontal="center" vertical="center"/>
    </xf>
    <xf numFmtId="49" fontId="39" fillId="2" borderId="1" xfId="0" applyNumberFormat="1" applyFont="1" applyFill="1" applyBorder="1" applyAlignment="1">
      <alignment horizontal="center" vertical="center" wrapText="1"/>
    </xf>
    <xf numFmtId="4" fontId="34" fillId="2" borderId="1" xfId="0" applyNumberFormat="1" applyFont="1" applyFill="1" applyBorder="1" applyAlignment="1">
      <alignment horizontal="center" vertical="center" wrapText="1"/>
    </xf>
    <xf numFmtId="164" fontId="34" fillId="2" borderId="1" xfId="1" applyNumberFormat="1" applyFont="1" applyFill="1" applyBorder="1" applyAlignment="1" applyProtection="1">
      <alignment horizontal="center" vertical="center" wrapText="1"/>
      <protection locked="0"/>
    </xf>
    <xf numFmtId="4" fontId="14" fillId="2" borderId="1" xfId="1" applyNumberFormat="1" applyFont="1" applyFill="1" applyBorder="1" applyAlignment="1" applyProtection="1">
      <alignment horizontal="center" vertical="center" wrapText="1"/>
      <protection locked="0"/>
    </xf>
    <xf numFmtId="4" fontId="14" fillId="2" borderId="1" xfId="1" applyNumberFormat="1" applyFont="1" applyFill="1" applyBorder="1" applyAlignment="1">
      <alignment horizontal="center" vertical="center" wrapText="1"/>
    </xf>
    <xf numFmtId="4" fontId="27" fillId="2" borderId="1" xfId="1" applyNumberFormat="1" applyFont="1" applyFill="1" applyBorder="1" applyAlignment="1" applyProtection="1">
      <alignment horizontal="center" vertical="center" wrapText="1"/>
      <protection locked="0"/>
    </xf>
    <xf numFmtId="4" fontId="27" fillId="2" borderId="1" xfId="1" applyNumberFormat="1" applyFont="1" applyFill="1" applyBorder="1" applyAlignment="1">
      <alignment horizontal="center" vertical="center" wrapText="1"/>
    </xf>
    <xf numFmtId="49" fontId="3" fillId="2" borderId="2" xfId="0" applyNumberFormat="1" applyFont="1" applyFill="1" applyBorder="1" applyAlignment="1">
      <alignment horizontal="center" wrapText="1"/>
    </xf>
    <xf numFmtId="49" fontId="3" fillId="2" borderId="0" xfId="0" applyNumberFormat="1" applyFont="1" applyFill="1" applyAlignment="1">
      <alignment horizontal="center" vertical="center" wrapText="1"/>
    </xf>
    <xf numFmtId="49" fontId="3" fillId="2" borderId="3" xfId="0" applyNumberFormat="1" applyFont="1" applyFill="1" applyBorder="1" applyAlignment="1">
      <alignment horizontal="center" vertical="top" wrapText="1"/>
    </xf>
    <xf numFmtId="49" fontId="3" fillId="2" borderId="1" xfId="0" applyNumberFormat="1" applyFont="1" applyFill="1" applyBorder="1" applyAlignment="1">
      <alignment horizontal="center" vertical="center"/>
    </xf>
    <xf numFmtId="4" fontId="26" fillId="2" borderId="1" xfId="1" applyNumberFormat="1" applyFont="1" applyFill="1" applyBorder="1" applyAlignment="1" applyProtection="1">
      <alignment horizontal="center" vertical="center" wrapText="1"/>
      <protection locked="0"/>
    </xf>
    <xf numFmtId="4" fontId="12" fillId="2" borderId="1" xfId="0" applyNumberFormat="1" applyFont="1" applyFill="1" applyBorder="1" applyAlignment="1">
      <alignment horizontal="center" vertical="center"/>
    </xf>
    <xf numFmtId="49" fontId="3" fillId="2" borderId="1" xfId="3" applyNumberFormat="1" applyFont="1" applyFill="1" applyBorder="1" applyAlignment="1">
      <alignment horizontal="center" vertical="center" wrapText="1"/>
    </xf>
    <xf numFmtId="0" fontId="3" fillId="2" borderId="1" xfId="3" applyFont="1" applyFill="1" applyBorder="1" applyAlignment="1">
      <alignment horizontal="center" vertical="center" wrapText="1"/>
    </xf>
    <xf numFmtId="49" fontId="16" fillId="7" borderId="1" xfId="0" applyNumberFormat="1" applyFont="1" applyFill="1" applyBorder="1" applyAlignment="1">
      <alignment horizontal="center" vertical="center" wrapText="1"/>
    </xf>
    <xf numFmtId="0" fontId="16" fillId="7" borderId="1" xfId="1" applyFont="1" applyFill="1" applyBorder="1" applyAlignment="1" applyProtection="1">
      <alignment horizontal="center" vertical="center" wrapText="1"/>
      <protection locked="0"/>
    </xf>
    <xf numFmtId="4" fontId="16" fillId="7" borderId="1" xfId="1" applyNumberFormat="1" applyFont="1" applyFill="1" applyBorder="1" applyAlignment="1" applyProtection="1">
      <alignment horizontal="center" vertical="center" wrapText="1"/>
      <protection locked="0"/>
    </xf>
    <xf numFmtId="164" fontId="4" fillId="7" borderId="1" xfId="1" applyNumberFormat="1" applyFont="1" applyFill="1" applyBorder="1" applyAlignment="1" applyProtection="1">
      <alignment horizontal="center" vertical="center" wrapText="1"/>
      <protection locked="0"/>
    </xf>
    <xf numFmtId="164" fontId="16" fillId="7" borderId="1" xfId="1" applyNumberFormat="1" applyFont="1" applyFill="1" applyBorder="1" applyAlignment="1" applyProtection="1">
      <alignment horizontal="center" vertical="center" wrapText="1"/>
      <protection locked="0"/>
    </xf>
    <xf numFmtId="4" fontId="16" fillId="7" borderId="1"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3" fillId="2" borderId="1" xfId="1" applyFont="1" applyFill="1" applyBorder="1" applyAlignment="1" applyProtection="1">
      <alignment horizontal="center" vertical="center" wrapText="1"/>
      <protection locked="0"/>
    </xf>
    <xf numFmtId="49" fontId="18" fillId="2" borderId="1" xfId="0" applyNumberFormat="1" applyFont="1" applyFill="1" applyBorder="1" applyAlignment="1">
      <alignment horizontal="center" vertical="center" wrapText="1"/>
    </xf>
    <xf numFmtId="49" fontId="43" fillId="2" borderId="1" xfId="0" applyNumberFormat="1" applyFont="1" applyFill="1" applyBorder="1" applyAlignment="1">
      <alignment horizontal="center" vertical="center" wrapText="1"/>
    </xf>
    <xf numFmtId="4" fontId="44" fillId="0" borderId="1" xfId="1" applyNumberFormat="1" applyFont="1" applyFill="1" applyBorder="1" applyAlignment="1" applyProtection="1">
      <alignment horizontal="center" vertical="center" wrapText="1"/>
      <protection locked="0"/>
    </xf>
    <xf numFmtId="164" fontId="14" fillId="0" borderId="1" xfId="1" applyNumberFormat="1" applyFont="1" applyFill="1" applyBorder="1" applyAlignment="1" applyProtection="1">
      <alignment horizontal="center" vertical="center" wrapText="1"/>
      <protection locked="0"/>
    </xf>
    <xf numFmtId="4" fontId="44" fillId="0" borderId="1" xfId="0" applyNumberFormat="1" applyFont="1" applyBorder="1" applyAlignment="1">
      <alignment horizontal="center" vertical="center" wrapText="1"/>
    </xf>
    <xf numFmtId="4" fontId="14" fillId="0" borderId="1" xfId="0" applyNumberFormat="1" applyFont="1" applyBorder="1" applyAlignment="1">
      <alignment horizontal="center" vertical="center" wrapText="1"/>
    </xf>
    <xf numFmtId="4" fontId="21" fillId="0" borderId="1" xfId="0" applyNumberFormat="1" applyFont="1" applyBorder="1" applyAlignment="1">
      <alignment horizontal="center" vertical="center" wrapText="1"/>
    </xf>
    <xf numFmtId="164" fontId="21" fillId="0" borderId="1" xfId="1" applyNumberFormat="1" applyFont="1" applyFill="1" applyBorder="1" applyAlignment="1" applyProtection="1">
      <alignment horizontal="center" vertical="center" wrapText="1"/>
      <protection locked="0"/>
    </xf>
    <xf numFmtId="49" fontId="3" fillId="0" borderId="2" xfId="0" applyNumberFormat="1" applyFont="1" applyBorder="1" applyAlignment="1">
      <alignment horizontal="center" vertical="center" wrapText="1"/>
    </xf>
    <xf numFmtId="4" fontId="14" fillId="0" borderId="2" xfId="0" applyNumberFormat="1" applyFont="1" applyBorder="1" applyAlignment="1">
      <alignment horizontal="center" vertical="center" wrapText="1"/>
    </xf>
    <xf numFmtId="4" fontId="12" fillId="0" borderId="1" xfId="0" applyNumberFormat="1" applyFont="1" applyBorder="1" applyAlignment="1">
      <alignment horizontal="center" vertical="center" wrapText="1"/>
    </xf>
    <xf numFmtId="0" fontId="3" fillId="0" borderId="1" xfId="1" applyFont="1" applyFill="1" applyBorder="1" applyAlignment="1" applyProtection="1">
      <alignment horizontal="center" vertical="center" wrapText="1"/>
      <protection locked="0"/>
    </xf>
    <xf numFmtId="0" fontId="3" fillId="0" borderId="1" xfId="0" applyFont="1" applyBorder="1" applyAlignment="1">
      <alignment horizontal="center" vertical="center" wrapText="1"/>
    </xf>
    <xf numFmtId="4" fontId="45" fillId="0" borderId="1" xfId="1" applyNumberFormat="1" applyFont="1" applyFill="1" applyBorder="1" applyAlignment="1" applyProtection="1">
      <alignment horizontal="center" vertical="center" wrapText="1"/>
      <protection locked="0"/>
    </xf>
    <xf numFmtId="4" fontId="14" fillId="0" borderId="1" xfId="1" applyNumberFormat="1" applyFont="1" applyFill="1" applyBorder="1" applyAlignment="1" applyProtection="1">
      <alignment horizontal="center" vertical="center" wrapText="1"/>
      <protection locked="0"/>
    </xf>
    <xf numFmtId="4" fontId="21" fillId="0" borderId="1" xfId="1" applyNumberFormat="1" applyFont="1" applyFill="1" applyBorder="1" applyAlignment="1" applyProtection="1">
      <alignment horizontal="center" vertical="center" wrapText="1"/>
      <protection locked="0"/>
    </xf>
    <xf numFmtId="49" fontId="3" fillId="0" borderId="3" xfId="0" applyNumberFormat="1" applyFont="1" applyBorder="1" applyAlignment="1">
      <alignment horizontal="center" vertical="center" wrapText="1"/>
    </xf>
    <xf numFmtId="4" fontId="14" fillId="0" borderId="3" xfId="0" applyNumberFormat="1" applyFont="1" applyBorder="1" applyAlignment="1">
      <alignment horizontal="center" vertical="center" wrapText="1"/>
    </xf>
    <xf numFmtId="49" fontId="3" fillId="0" borderId="1" xfId="0" applyNumberFormat="1" applyFont="1" applyBorder="1" applyAlignment="1">
      <alignment horizontal="center" vertical="center"/>
    </xf>
    <xf numFmtId="49" fontId="11" fillId="0" borderId="1" xfId="0" applyNumberFormat="1" applyFont="1" applyBorder="1" applyAlignment="1">
      <alignment horizontal="center" vertical="center" wrapText="1"/>
    </xf>
    <xf numFmtId="4" fontId="19" fillId="0" borderId="1" xfId="0" applyNumberFormat="1" applyFont="1" applyBorder="1" applyAlignment="1">
      <alignment horizontal="center" vertical="center" wrapText="1"/>
    </xf>
    <xf numFmtId="164" fontId="19" fillId="0" borderId="1" xfId="1" applyNumberFormat="1" applyFont="1" applyFill="1" applyBorder="1" applyAlignment="1" applyProtection="1">
      <alignment horizontal="center" vertical="center" wrapText="1"/>
      <protection locked="0"/>
    </xf>
    <xf numFmtId="4" fontId="19" fillId="0" borderId="1" xfId="1" applyNumberFormat="1" applyFont="1" applyFill="1" applyBorder="1" applyAlignment="1" applyProtection="1">
      <alignment horizontal="center" vertical="center" wrapText="1"/>
      <protection locked="0"/>
    </xf>
    <xf numFmtId="0" fontId="11" fillId="0" borderId="3" xfId="1" applyFont="1" applyFill="1" applyBorder="1" applyAlignment="1" applyProtection="1">
      <alignment horizontal="center" vertical="top" wrapText="1"/>
      <protection locked="0"/>
    </xf>
    <xf numFmtId="0" fontId="11" fillId="0" borderId="1" xfId="0" applyFont="1" applyBorder="1" applyAlignment="1">
      <alignment horizontal="center" vertical="center" wrapText="1"/>
    </xf>
    <xf numFmtId="164" fontId="12" fillId="0" borderId="1" xfId="1" applyNumberFormat="1" applyFont="1" applyFill="1" applyBorder="1" applyAlignment="1" applyProtection="1">
      <alignment horizontal="center" vertical="center" wrapText="1"/>
      <protection locked="0"/>
    </xf>
    <xf numFmtId="4" fontId="44" fillId="0" borderId="1" xfId="1" applyNumberFormat="1" applyFont="1" applyFill="1" applyBorder="1" applyAlignment="1">
      <alignment horizontal="center" vertical="center" wrapText="1"/>
    </xf>
    <xf numFmtId="164" fontId="44" fillId="0" borderId="1" xfId="1" applyNumberFormat="1" applyFont="1" applyFill="1" applyBorder="1" applyAlignment="1" applyProtection="1">
      <alignment horizontal="center" vertical="center" wrapText="1"/>
      <protection locked="0"/>
    </xf>
    <xf numFmtId="4" fontId="17" fillId="0" borderId="1" xfId="1" applyNumberFormat="1" applyFont="1" applyFill="1" applyBorder="1" applyAlignment="1">
      <alignment horizontal="center" vertical="center" wrapText="1"/>
    </xf>
    <xf numFmtId="4" fontId="44" fillId="0" borderId="1" xfId="0" applyNumberFormat="1" applyFont="1" applyBorder="1" applyAlignment="1">
      <alignment horizontal="center" vertical="center"/>
    </xf>
    <xf numFmtId="4" fontId="14" fillId="0" borderId="1" xfId="0" applyNumberFormat="1" applyFont="1" applyBorder="1" applyAlignment="1">
      <alignment horizontal="center" vertical="center"/>
    </xf>
    <xf numFmtId="4" fontId="21" fillId="0" borderId="1" xfId="0" applyNumberFormat="1" applyFont="1" applyBorder="1" applyAlignment="1">
      <alignment horizontal="center" vertical="center"/>
    </xf>
    <xf numFmtId="4" fontId="14" fillId="0" borderId="2" xfId="0" applyNumberFormat="1" applyFont="1" applyBorder="1" applyAlignment="1">
      <alignment horizontal="center" vertical="center"/>
    </xf>
    <xf numFmtId="4" fontId="14" fillId="0" borderId="1" xfId="1" applyNumberFormat="1" applyFont="1" applyFill="1" applyBorder="1" applyAlignment="1">
      <alignment horizontal="center" vertical="center" wrapText="1"/>
    </xf>
    <xf numFmtId="4" fontId="27" fillId="0" borderId="1" xfId="1" applyNumberFormat="1" applyFont="1" applyFill="1" applyBorder="1" applyAlignment="1">
      <alignment horizontal="center" vertical="center" wrapText="1"/>
    </xf>
    <xf numFmtId="49" fontId="3" fillId="0" borderId="3" xfId="0" applyNumberFormat="1" applyFont="1" applyBorder="1" applyAlignment="1">
      <alignment horizontal="center" vertical="top" wrapText="1"/>
    </xf>
    <xf numFmtId="49" fontId="3" fillId="0" borderId="5" xfId="0" applyNumberFormat="1" applyFont="1" applyBorder="1" applyAlignment="1">
      <alignment horizontal="center" vertical="top" wrapText="1"/>
    </xf>
    <xf numFmtId="49" fontId="3" fillId="0" borderId="0" xfId="0" applyNumberFormat="1" applyFont="1" applyAlignment="1">
      <alignment horizontal="center" vertical="top" wrapText="1"/>
    </xf>
    <xf numFmtId="4" fontId="27" fillId="0" borderId="1" xfId="1" applyNumberFormat="1" applyFont="1" applyFill="1" applyBorder="1" applyAlignment="1" applyProtection="1">
      <alignment horizontal="center" vertical="center" wrapText="1"/>
      <protection locked="0"/>
    </xf>
    <xf numFmtId="164" fontId="27" fillId="0" borderId="1" xfId="1" applyNumberFormat="1" applyFont="1" applyFill="1" applyBorder="1" applyAlignment="1" applyProtection="1">
      <alignment horizontal="center" vertical="center" wrapText="1"/>
      <protection locked="0"/>
    </xf>
    <xf numFmtId="4" fontId="27" fillId="0" borderId="1" xfId="0" applyNumberFormat="1" applyFont="1" applyBorder="1" applyAlignment="1">
      <alignment horizontal="center" vertical="center"/>
    </xf>
    <xf numFmtId="4" fontId="3" fillId="0" borderId="2" xfId="0" applyNumberFormat="1" applyFont="1" applyBorder="1" applyAlignment="1">
      <alignment horizontal="center" vertical="center" wrapText="1"/>
    </xf>
    <xf numFmtId="4" fontId="12" fillId="0" borderId="1" xfId="1" applyNumberFormat="1" applyFont="1" applyFill="1" applyBorder="1" applyAlignment="1" applyProtection="1">
      <alignment horizontal="center" vertical="center" wrapText="1"/>
      <protection locked="0"/>
    </xf>
    <xf numFmtId="0" fontId="3" fillId="0" borderId="0" xfId="1" applyFont="1" applyFill="1" applyBorder="1" applyAlignment="1" applyProtection="1">
      <alignment horizontal="center" vertical="center" wrapText="1"/>
      <protection locked="0"/>
    </xf>
    <xf numFmtId="164" fontId="3" fillId="0" borderId="2" xfId="0" applyNumberFormat="1" applyFont="1" applyBorder="1" applyAlignment="1">
      <alignment horizontal="center" vertical="center" wrapText="1"/>
    </xf>
    <xf numFmtId="4" fontId="19" fillId="0" borderId="1" xfId="0" applyNumberFormat="1" applyFont="1" applyBorder="1" applyAlignment="1">
      <alignment horizontal="center" vertical="center"/>
    </xf>
    <xf numFmtId="49" fontId="3" fillId="0" borderId="1" xfId="3" applyNumberFormat="1" applyFont="1" applyBorder="1" applyAlignment="1">
      <alignment horizontal="center" vertical="center" wrapText="1"/>
    </xf>
    <xf numFmtId="0" fontId="3" fillId="0" borderId="1" xfId="3" applyFont="1" applyBorder="1" applyAlignment="1">
      <alignment horizontal="center" vertical="center" wrapText="1"/>
    </xf>
    <xf numFmtId="4" fontId="12" fillId="0" borderId="1" xfId="0" applyNumberFormat="1" applyFont="1" applyBorder="1" applyAlignment="1">
      <alignment horizontal="center" vertical="center"/>
    </xf>
    <xf numFmtId="49" fontId="45" fillId="0" borderId="1" xfId="3" applyNumberFormat="1" applyFont="1" applyBorder="1" applyAlignment="1">
      <alignment horizontal="center" vertical="center" wrapText="1"/>
    </xf>
    <xf numFmtId="0" fontId="4" fillId="0" borderId="1" xfId="0" applyFont="1" applyBorder="1" applyAlignment="1">
      <alignment horizontal="center" vertical="center"/>
    </xf>
    <xf numFmtId="0" fontId="45" fillId="0" borderId="1" xfId="1" applyFont="1" applyFill="1" applyBorder="1" applyAlignment="1" applyProtection="1">
      <alignment horizontal="center" vertical="center" wrapText="1"/>
      <protection locked="0"/>
    </xf>
    <xf numFmtId="0" fontId="45" fillId="0" borderId="1" xfId="3" applyFont="1" applyBorder="1" applyAlignment="1">
      <alignment horizontal="center" vertical="center" wrapText="1"/>
    </xf>
    <xf numFmtId="0" fontId="11" fillId="0" borderId="1" xfId="1" applyFont="1" applyFill="1" applyBorder="1" applyAlignment="1" applyProtection="1">
      <alignment horizontal="center" vertical="center" wrapText="1"/>
      <protection locked="0"/>
    </xf>
    <xf numFmtId="0" fontId="4" fillId="0" borderId="1" xfId="1" applyFont="1" applyFill="1" applyBorder="1" applyAlignment="1" applyProtection="1">
      <alignment horizontal="center" vertical="center" wrapText="1"/>
      <protection locked="0"/>
    </xf>
    <xf numFmtId="49" fontId="33" fillId="0" borderId="4" xfId="0" applyNumberFormat="1" applyFont="1" applyBorder="1" applyAlignment="1">
      <alignment horizontal="left" vertical="center" wrapText="1"/>
    </xf>
    <xf numFmtId="49" fontId="33" fillId="0" borderId="0" xfId="0" applyNumberFormat="1" applyFont="1" applyAlignment="1">
      <alignment horizontal="left" vertical="center" wrapText="1"/>
    </xf>
    <xf numFmtId="49" fontId="33" fillId="0" borderId="4" xfId="0" applyNumberFormat="1" applyFont="1" applyBorder="1" applyAlignment="1">
      <alignment horizontal="center" vertical="center" wrapText="1"/>
    </xf>
    <xf numFmtId="49" fontId="33" fillId="0" borderId="0" xfId="0" applyNumberFormat="1" applyFont="1" applyAlignment="1">
      <alignment horizontal="center" vertical="center" wrapText="1"/>
    </xf>
    <xf numFmtId="164" fontId="14" fillId="2" borderId="2" xfId="1" applyNumberFormat="1" applyFont="1" applyFill="1" applyBorder="1" applyAlignment="1" applyProtection="1">
      <alignment horizontal="center" vertical="center" wrapText="1"/>
      <protection locked="0"/>
    </xf>
    <xf numFmtId="164" fontId="14" fillId="2" borderId="5" xfId="1" applyNumberFormat="1" applyFont="1" applyFill="1" applyBorder="1" applyAlignment="1" applyProtection="1">
      <alignment horizontal="center" vertical="center" wrapText="1"/>
      <protection locked="0"/>
    </xf>
    <xf numFmtId="164" fontId="14" fillId="2" borderId="3" xfId="1" applyNumberFormat="1" applyFont="1" applyFill="1" applyBorder="1" applyAlignment="1" applyProtection="1">
      <alignment horizontal="center" vertical="center" wrapText="1"/>
      <protection locked="0"/>
    </xf>
    <xf numFmtId="4" fontId="14" fillId="2" borderId="2" xfId="0" applyNumberFormat="1" applyFont="1" applyFill="1" applyBorder="1" applyAlignment="1">
      <alignment horizontal="center" vertical="center" wrapText="1"/>
    </xf>
    <xf numFmtId="4" fontId="14" fillId="2" borderId="5" xfId="0" applyNumberFormat="1" applyFont="1" applyFill="1" applyBorder="1" applyAlignment="1">
      <alignment horizontal="center" vertical="center" wrapText="1"/>
    </xf>
    <xf numFmtId="4" fontId="14" fillId="2" borderId="3" xfId="0" applyNumberFormat="1" applyFont="1" applyFill="1" applyBorder="1" applyAlignment="1">
      <alignment horizontal="center" vertical="center" wrapText="1"/>
    </xf>
    <xf numFmtId="4" fontId="14" fillId="0" borderId="2" xfId="0" applyNumberFormat="1" applyFont="1" applyBorder="1" applyAlignment="1">
      <alignment horizontal="center" vertical="center" wrapText="1"/>
    </xf>
    <xf numFmtId="4" fontId="14" fillId="0" borderId="5" xfId="0" applyNumberFormat="1" applyFont="1" applyBorder="1" applyAlignment="1">
      <alignment horizontal="center" vertical="center" wrapText="1"/>
    </xf>
    <xf numFmtId="4" fontId="14" fillId="0" borderId="3" xfId="0" applyNumberFormat="1" applyFont="1" applyBorder="1" applyAlignment="1">
      <alignment horizontal="center" vertical="center" wrapText="1"/>
    </xf>
    <xf numFmtId="49" fontId="3" fillId="2" borderId="2" xfId="0" applyNumberFormat="1" applyFont="1" applyFill="1" applyBorder="1" applyAlignment="1">
      <alignment horizontal="center" vertical="center" wrapText="1"/>
    </xf>
    <xf numFmtId="49" fontId="3" fillId="2" borderId="5" xfId="0" applyNumberFormat="1"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0" fontId="3" fillId="0" borderId="0" xfId="0" applyFont="1"/>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29" fillId="0" borderId="6" xfId="0" applyFont="1" applyBorder="1" applyAlignment="1">
      <alignment horizontal="left" vertical="center"/>
    </xf>
    <xf numFmtId="0" fontId="9" fillId="0" borderId="0" xfId="0" applyFont="1"/>
    <xf numFmtId="0" fontId="3" fillId="0" borderId="0" xfId="0" applyFont="1" applyAlignment="1">
      <alignment horizontal="center" vertical="center"/>
    </xf>
    <xf numFmtId="0" fontId="3" fillId="0" borderId="0" xfId="0" applyFont="1" applyAlignment="1">
      <alignment horizontal="right" vertical="center"/>
    </xf>
    <xf numFmtId="0" fontId="7" fillId="0" borderId="0" xfId="0" applyFont="1" applyAlignment="1">
      <alignment horizontal="center" vertical="top"/>
    </xf>
    <xf numFmtId="0" fontId="4" fillId="0" borderId="0" xfId="0" applyFont="1" applyAlignment="1">
      <alignment horizontal="center" vertical="center"/>
    </xf>
    <xf numFmtId="0" fontId="4" fillId="0" borderId="5" xfId="0" applyFont="1" applyBorder="1" applyAlignment="1">
      <alignment horizontal="center" vertical="top" wrapText="1"/>
    </xf>
    <xf numFmtId="0" fontId="4" fillId="0" borderId="7" xfId="0" applyFont="1" applyBorder="1" applyAlignment="1">
      <alignment horizontal="center" vertical="top"/>
    </xf>
    <xf numFmtId="0" fontId="4" fillId="0" borderId="8" xfId="0" applyFont="1" applyBorder="1" applyAlignment="1">
      <alignment horizontal="center" vertical="top"/>
    </xf>
    <xf numFmtId="0" fontId="4" fillId="0" borderId="9" xfId="0" applyFont="1" applyBorder="1" applyAlignment="1">
      <alignment horizontal="center" vertical="top"/>
    </xf>
    <xf numFmtId="0" fontId="6" fillId="0" borderId="0" xfId="0" applyFont="1" applyAlignment="1">
      <alignment horizontal="center"/>
    </xf>
    <xf numFmtId="49" fontId="3" fillId="0" borderId="2"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49" fontId="3" fillId="0" borderId="3" xfId="0" applyNumberFormat="1" applyFont="1" applyBorder="1" applyAlignment="1">
      <alignment horizontal="center" vertical="center" wrapText="1"/>
    </xf>
    <xf numFmtId="164" fontId="14" fillId="0" borderId="2" xfId="1" applyNumberFormat="1" applyFont="1" applyFill="1" applyBorder="1" applyAlignment="1" applyProtection="1">
      <alignment horizontal="center" vertical="center" wrapText="1"/>
      <protection locked="0"/>
    </xf>
    <xf numFmtId="164" fontId="14" fillId="0" borderId="5" xfId="1" applyNumberFormat="1" applyFont="1" applyFill="1" applyBorder="1" applyAlignment="1" applyProtection="1">
      <alignment horizontal="center" vertical="center" wrapText="1"/>
      <protection locked="0"/>
    </xf>
    <xf numFmtId="164" fontId="14" fillId="0" borderId="3" xfId="1" applyNumberFormat="1" applyFont="1" applyFill="1" applyBorder="1" applyAlignment="1" applyProtection="1">
      <alignment horizontal="center" vertical="center" wrapText="1"/>
      <protection locked="0"/>
    </xf>
  </cellXfs>
  <cellStyles count="4">
    <cellStyle name="Звичайний" xfId="0" builtinId="0"/>
    <cellStyle name="Обычный 3" xfId="3"/>
    <cellStyle name="Обычный_Додаток 2 до бюджету 2000 року" xfId="1"/>
    <cellStyle name="Обычный_Додаток №1" xfId="2"/>
  </cellStyles>
  <dxfs count="0"/>
  <tableStyles count="0" defaultTableStyle="TableStyleMedium2" defaultPivotStyle="PivotStyleLight16"/>
  <colors>
    <mruColors>
      <color rgb="FFFF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A285"/>
  <sheetViews>
    <sheetView tabSelected="1" view="pageBreakPreview" topLeftCell="B1" zoomScale="25" zoomScaleNormal="25" zoomScaleSheetLayoutView="25" zoomScalePageLayoutView="10" workbookViewId="0">
      <pane ySplit="13" topLeftCell="A221" activePane="bottomLeft" state="frozen"/>
      <selection activeCell="B1" sqref="B1"/>
      <selection pane="bottomLeft" activeCell="A4" sqref="A4:N4"/>
    </sheetView>
  </sheetViews>
  <sheetFormatPr defaultColWidth="9.140625" defaultRowHeight="12.75" x14ac:dyDescent="0.2"/>
  <cols>
    <col min="1" max="1" width="25.140625" style="1" hidden="1" customWidth="1"/>
    <col min="2" max="2" width="52.5703125" style="1" customWidth="1"/>
    <col min="3" max="3" width="59.28515625" style="1" customWidth="1"/>
    <col min="4" max="4" width="167.42578125" style="1" customWidth="1"/>
    <col min="5" max="5" width="82.42578125" style="1" customWidth="1"/>
    <col min="6" max="6" width="64.85546875" style="1" customWidth="1"/>
    <col min="7" max="7" width="63.28515625" style="1" customWidth="1"/>
    <col min="8" max="8" width="47.5703125" style="1" customWidth="1"/>
    <col min="9" max="9" width="52.5703125" style="47" customWidth="1"/>
    <col min="10" max="10" width="56.140625" style="1" customWidth="1"/>
    <col min="11" max="11" width="44.140625" style="1" customWidth="1"/>
    <col min="12" max="12" width="45.28515625" style="1" hidden="1" customWidth="1"/>
    <col min="13" max="13" width="56.140625" style="1" hidden="1" customWidth="1"/>
    <col min="14" max="14" width="86.28515625" style="47" customWidth="1"/>
    <col min="15" max="15" width="53.140625" style="5" hidden="1" customWidth="1"/>
    <col min="16" max="16" width="46.85546875" style="5" hidden="1" customWidth="1"/>
    <col min="17" max="17" width="35.42578125" hidden="1" customWidth="1"/>
    <col min="18" max="18" width="81.140625" hidden="1" customWidth="1"/>
    <col min="19" max="19" width="31.42578125" customWidth="1"/>
    <col min="20" max="20" width="23.42578125" customWidth="1"/>
    <col min="21" max="21" width="34.28515625" customWidth="1"/>
    <col min="22" max="22" width="27.42578125" customWidth="1"/>
    <col min="23" max="23" width="8.5703125" customWidth="1"/>
    <col min="27" max="27" width="145.5703125" customWidth="1"/>
  </cols>
  <sheetData>
    <row r="2" spans="1:16" ht="45.75" x14ac:dyDescent="0.2">
      <c r="D2" s="2"/>
      <c r="E2" s="4"/>
      <c r="F2" s="3"/>
      <c r="G2" s="3"/>
      <c r="H2" s="3"/>
      <c r="I2" s="3"/>
      <c r="J2" s="4"/>
      <c r="K2" s="204" t="s">
        <v>387</v>
      </c>
      <c r="L2" s="204"/>
      <c r="M2" s="204"/>
      <c r="N2" s="204"/>
      <c r="O2" s="48"/>
    </row>
    <row r="3" spans="1:16" ht="45.75" x14ac:dyDescent="0.2">
      <c r="A3" s="2"/>
      <c r="B3" s="2"/>
      <c r="C3" s="2"/>
      <c r="D3" s="2"/>
      <c r="E3" s="4"/>
      <c r="F3" s="3"/>
      <c r="G3" s="3"/>
      <c r="H3" s="3"/>
      <c r="I3" s="3"/>
      <c r="J3" s="205" t="s">
        <v>617</v>
      </c>
      <c r="K3" s="205"/>
      <c r="L3" s="205"/>
      <c r="M3" s="205"/>
      <c r="N3" s="205"/>
      <c r="O3" s="49"/>
    </row>
    <row r="4" spans="1:16" ht="45" x14ac:dyDescent="0.2">
      <c r="A4" s="207" t="s">
        <v>388</v>
      </c>
      <c r="B4" s="207"/>
      <c r="C4" s="207"/>
      <c r="D4" s="207"/>
      <c r="E4" s="207"/>
      <c r="F4" s="207"/>
      <c r="G4" s="207"/>
      <c r="H4" s="207"/>
      <c r="I4" s="207"/>
      <c r="J4" s="207"/>
      <c r="K4" s="207"/>
      <c r="L4" s="207"/>
      <c r="M4" s="207"/>
      <c r="N4" s="207"/>
    </row>
    <row r="5" spans="1:16" ht="45" x14ac:dyDescent="0.2">
      <c r="A5" s="207" t="s">
        <v>599</v>
      </c>
      <c r="B5" s="207"/>
      <c r="C5" s="207"/>
      <c r="D5" s="207"/>
      <c r="E5" s="207"/>
      <c r="F5" s="207"/>
      <c r="G5" s="207"/>
      <c r="H5" s="207"/>
      <c r="I5" s="207"/>
      <c r="J5" s="207"/>
      <c r="K5" s="207"/>
      <c r="L5" s="207"/>
      <c r="M5" s="207"/>
      <c r="N5" s="207"/>
    </row>
    <row r="6" spans="1:16" ht="45" x14ac:dyDescent="0.2">
      <c r="A6" s="3"/>
      <c r="B6" s="3"/>
      <c r="C6" s="3"/>
      <c r="D6" s="3"/>
      <c r="E6" s="3"/>
      <c r="F6" s="3"/>
      <c r="G6" s="3"/>
      <c r="H6" s="3"/>
      <c r="I6" s="3"/>
      <c r="J6" s="3"/>
      <c r="K6" s="3"/>
      <c r="L6" s="3"/>
      <c r="M6" s="3"/>
      <c r="N6" s="3"/>
    </row>
    <row r="7" spans="1:16" ht="61.5" customHeight="1" x14ac:dyDescent="0.65">
      <c r="A7" s="212">
        <v>2256400000</v>
      </c>
      <c r="B7" s="212"/>
      <c r="C7" s="3"/>
      <c r="D7" s="3"/>
      <c r="E7" s="3"/>
      <c r="F7" s="3"/>
      <c r="G7" s="3"/>
      <c r="H7" s="3"/>
      <c r="I7" s="3"/>
      <c r="J7" s="3"/>
      <c r="K7" s="3"/>
      <c r="L7" s="3"/>
      <c r="M7" s="3"/>
      <c r="N7" s="3"/>
    </row>
    <row r="8" spans="1:16" ht="45.75" x14ac:dyDescent="0.2">
      <c r="A8" s="206" t="s">
        <v>0</v>
      </c>
      <c r="B8" s="206"/>
      <c r="C8" s="3"/>
      <c r="D8" s="3"/>
      <c r="E8" s="3"/>
      <c r="F8" s="3"/>
      <c r="G8" s="3"/>
      <c r="H8" s="3"/>
      <c r="I8" s="3"/>
      <c r="J8" s="3"/>
      <c r="K8" s="3"/>
      <c r="L8" s="3"/>
      <c r="M8" s="3"/>
      <c r="N8" s="3"/>
    </row>
    <row r="9" spans="1:16" ht="53.45" customHeight="1" thickBot="1" x14ac:dyDescent="0.25">
      <c r="A9" s="3"/>
      <c r="B9" s="3"/>
      <c r="C9" s="3"/>
      <c r="D9" s="3"/>
      <c r="E9" s="4"/>
      <c r="F9" s="3"/>
      <c r="G9" s="3"/>
      <c r="H9" s="3"/>
      <c r="I9" s="3"/>
      <c r="J9" s="3"/>
      <c r="K9" s="3"/>
      <c r="L9" s="3"/>
      <c r="M9" s="3"/>
      <c r="N9" s="6" t="s">
        <v>1</v>
      </c>
    </row>
    <row r="10" spans="1:16" ht="62.45" customHeight="1" thickTop="1" thickBot="1" x14ac:dyDescent="0.25">
      <c r="A10" s="200" t="s">
        <v>2</v>
      </c>
      <c r="B10" s="200" t="s">
        <v>3</v>
      </c>
      <c r="C10" s="200" t="s">
        <v>4</v>
      </c>
      <c r="D10" s="200" t="s">
        <v>389</v>
      </c>
      <c r="E10" s="209" t="s">
        <v>5</v>
      </c>
      <c r="F10" s="210"/>
      <c r="G10" s="210"/>
      <c r="H10" s="211"/>
      <c r="I10" s="209" t="s">
        <v>6</v>
      </c>
      <c r="J10" s="210"/>
      <c r="K10" s="210"/>
      <c r="L10" s="210"/>
      <c r="M10" s="211"/>
      <c r="N10" s="200" t="s">
        <v>602</v>
      </c>
    </row>
    <row r="11" spans="1:16" ht="96" customHeight="1" thickTop="1" thickBot="1" x14ac:dyDescent="0.25">
      <c r="A11" s="208"/>
      <c r="B11" s="208"/>
      <c r="C11" s="208"/>
      <c r="D11" s="208"/>
      <c r="E11" s="200" t="s">
        <v>514</v>
      </c>
      <c r="F11" s="200" t="s">
        <v>600</v>
      </c>
      <c r="G11" s="200" t="s">
        <v>601</v>
      </c>
      <c r="H11" s="200" t="s">
        <v>390</v>
      </c>
      <c r="I11" s="200" t="s">
        <v>514</v>
      </c>
      <c r="J11" s="200" t="s">
        <v>601</v>
      </c>
      <c r="K11" s="200" t="s">
        <v>390</v>
      </c>
      <c r="L11" s="7"/>
      <c r="M11" s="200"/>
      <c r="N11" s="208"/>
    </row>
    <row r="12" spans="1:16" ht="208.5" customHeight="1" thickTop="1" thickBot="1" x14ac:dyDescent="0.25">
      <c r="A12" s="201"/>
      <c r="B12" s="201"/>
      <c r="C12" s="201"/>
      <c r="D12" s="201"/>
      <c r="E12" s="201"/>
      <c r="F12" s="201"/>
      <c r="G12" s="201"/>
      <c r="H12" s="201"/>
      <c r="I12" s="201"/>
      <c r="J12" s="201"/>
      <c r="K12" s="201"/>
      <c r="L12" s="7"/>
      <c r="M12" s="201"/>
      <c r="N12" s="201"/>
    </row>
    <row r="13" spans="1:16" s="11" customFormat="1" ht="47.25" thickTop="1" thickBot="1" x14ac:dyDescent="0.25">
      <c r="A13" s="8" t="s">
        <v>7</v>
      </c>
      <c r="B13" s="8" t="s">
        <v>7</v>
      </c>
      <c r="C13" s="8" t="s">
        <v>8</v>
      </c>
      <c r="D13" s="8" t="s">
        <v>9</v>
      </c>
      <c r="E13" s="8" t="s">
        <v>10</v>
      </c>
      <c r="F13" s="8" t="s">
        <v>11</v>
      </c>
      <c r="G13" s="8" t="s">
        <v>12</v>
      </c>
      <c r="H13" s="8" t="s">
        <v>451</v>
      </c>
      <c r="I13" s="8" t="s">
        <v>452</v>
      </c>
      <c r="J13" s="8" t="s">
        <v>453</v>
      </c>
      <c r="K13" s="8" t="s">
        <v>454</v>
      </c>
      <c r="L13" s="8"/>
      <c r="M13" s="8"/>
      <c r="N13" s="8" t="s">
        <v>584</v>
      </c>
      <c r="O13" s="9"/>
      <c r="P13" s="10"/>
    </row>
    <row r="14" spans="1:16" s="14" customFormat="1" ht="88.5" customHeight="1" thickTop="1" thickBot="1" x14ac:dyDescent="0.25">
      <c r="A14" s="57" t="s">
        <v>13</v>
      </c>
      <c r="B14" s="120" t="s">
        <v>14</v>
      </c>
      <c r="C14" s="120"/>
      <c r="D14" s="121" t="s">
        <v>15</v>
      </c>
      <c r="E14" s="122">
        <f>SUM(E15:E18)</f>
        <v>323555384</v>
      </c>
      <c r="F14" s="122">
        <f>SUM(F15:F18)</f>
        <v>265347155.66</v>
      </c>
      <c r="G14" s="122">
        <f>SUM(G15:G18)</f>
        <v>230170080.01999998</v>
      </c>
      <c r="H14" s="123">
        <f>G14/F14</f>
        <v>0.867429987886986</v>
      </c>
      <c r="I14" s="122">
        <f>SUM(I15:I18)</f>
        <v>2957248.8000000003</v>
      </c>
      <c r="J14" s="122">
        <f>SUM(J15:J18)</f>
        <v>1878497.8400000003</v>
      </c>
      <c r="K14" s="124">
        <f>J14/I14</f>
        <v>0.63521805808155207</v>
      </c>
      <c r="L14" s="122"/>
      <c r="M14" s="122"/>
      <c r="N14" s="125">
        <f t="shared" ref="N14:N27" si="0">G14+J14</f>
        <v>232048577.85999998</v>
      </c>
      <c r="O14" s="53" t="b">
        <f>N14=N15+N16+N18</f>
        <v>1</v>
      </c>
      <c r="P14" s="13"/>
    </row>
    <row r="15" spans="1:16" ht="230.25" thickTop="1" thickBot="1" x14ac:dyDescent="0.25">
      <c r="A15" s="58" t="s">
        <v>16</v>
      </c>
      <c r="B15" s="69" t="s">
        <v>17</v>
      </c>
      <c r="C15" s="69" t="s">
        <v>18</v>
      </c>
      <c r="D15" s="69" t="s">
        <v>19</v>
      </c>
      <c r="E15" s="130">
        <v>158100084</v>
      </c>
      <c r="F15" s="130">
        <v>132929028</v>
      </c>
      <c r="G15" s="130">
        <v>110806003.66</v>
      </c>
      <c r="H15" s="131">
        <f>G15/F15</f>
        <v>0.83357266149572684</v>
      </c>
      <c r="I15" s="130">
        <v>2395500</v>
      </c>
      <c r="J15" s="154">
        <v>1423209.84</v>
      </c>
      <c r="K15" s="155">
        <f>J15/I15</f>
        <v>0.59411807138384476</v>
      </c>
      <c r="L15" s="156"/>
      <c r="M15" s="157"/>
      <c r="N15" s="132">
        <f t="shared" si="0"/>
        <v>112229213.5</v>
      </c>
      <c r="O15" s="15"/>
      <c r="P15" s="16"/>
    </row>
    <row r="16" spans="1:16" ht="138.75" thickTop="1" thickBot="1" x14ac:dyDescent="0.25">
      <c r="A16" s="58" t="s">
        <v>20</v>
      </c>
      <c r="B16" s="69" t="s">
        <v>21</v>
      </c>
      <c r="C16" s="69" t="s">
        <v>18</v>
      </c>
      <c r="D16" s="69" t="s">
        <v>515</v>
      </c>
      <c r="E16" s="130">
        <v>143352442</v>
      </c>
      <c r="F16" s="130">
        <v>111028328</v>
      </c>
      <c r="G16" s="130">
        <v>102843579.42</v>
      </c>
      <c r="H16" s="131">
        <f t="shared" ref="H16:H18" si="1">G16/F16</f>
        <v>0.92628233958454276</v>
      </c>
      <c r="I16" s="130">
        <f>32920+30000+42000+37700+90059+30000+112000+105250.2</f>
        <v>479929.2</v>
      </c>
      <c r="J16" s="154">
        <v>373468.4</v>
      </c>
      <c r="K16" s="155">
        <f t="shared" ref="K16:K18" si="2">J16/I16</f>
        <v>0.778173947323897</v>
      </c>
      <c r="L16" s="156"/>
      <c r="M16" s="157"/>
      <c r="N16" s="132">
        <f t="shared" si="0"/>
        <v>103217047.82000001</v>
      </c>
      <c r="O16" s="15"/>
      <c r="P16" s="16"/>
    </row>
    <row r="17" spans="1:18" ht="93" hidden="1" thickTop="1" thickBot="1" x14ac:dyDescent="0.25">
      <c r="A17" s="69" t="s">
        <v>22</v>
      </c>
      <c r="B17" s="129" t="s">
        <v>23</v>
      </c>
      <c r="C17" s="129" t="s">
        <v>24</v>
      </c>
      <c r="D17" s="129" t="s">
        <v>25</v>
      </c>
      <c r="E17" s="85">
        <v>0</v>
      </c>
      <c r="F17" s="85">
        <v>0</v>
      </c>
      <c r="G17" s="85">
        <v>0</v>
      </c>
      <c r="H17" s="86" t="e">
        <f t="shared" si="1"/>
        <v>#DIV/0!</v>
      </c>
      <c r="I17" s="130"/>
      <c r="J17" s="154"/>
      <c r="K17" s="156"/>
      <c r="L17" s="156"/>
      <c r="M17" s="157"/>
      <c r="N17" s="132">
        <f t="shared" si="0"/>
        <v>0</v>
      </c>
      <c r="O17" s="15"/>
      <c r="P17" s="17"/>
    </row>
    <row r="18" spans="1:18" ht="111" customHeight="1" thickTop="1" thickBot="1" x14ac:dyDescent="0.25">
      <c r="A18" s="58" t="s">
        <v>26</v>
      </c>
      <c r="B18" s="69" t="s">
        <v>27</v>
      </c>
      <c r="C18" s="69" t="s">
        <v>28</v>
      </c>
      <c r="D18" s="69" t="s">
        <v>29</v>
      </c>
      <c r="E18" s="132">
        <v>22102858</v>
      </c>
      <c r="F18" s="132">
        <v>21389799.66</v>
      </c>
      <c r="G18" s="132">
        <v>16520496.939999999</v>
      </c>
      <c r="H18" s="131">
        <f t="shared" si="1"/>
        <v>0.77235398192598126</v>
      </c>
      <c r="I18" s="130">
        <f>54147.6+27672</f>
        <v>81819.600000000006</v>
      </c>
      <c r="J18" s="154">
        <v>81819.600000000006</v>
      </c>
      <c r="K18" s="155">
        <f t="shared" si="2"/>
        <v>1</v>
      </c>
      <c r="L18" s="132"/>
      <c r="M18" s="157"/>
      <c r="N18" s="132">
        <f t="shared" si="0"/>
        <v>16602316.539999999</v>
      </c>
      <c r="O18" s="15"/>
      <c r="P18" s="17"/>
    </row>
    <row r="19" spans="1:18" ht="83.25" customHeight="1" thickTop="1" thickBot="1" x14ac:dyDescent="0.25">
      <c r="A19" s="57" t="s">
        <v>59</v>
      </c>
      <c r="B19" s="120" t="s">
        <v>60</v>
      </c>
      <c r="C19" s="120"/>
      <c r="D19" s="121" t="s">
        <v>61</v>
      </c>
      <c r="E19" s="122">
        <f>SUM(E20:E66)-E21-E25-E32-E35-E38-E42-E49-E28-E52-E58-E62-E55-E64</f>
        <v>2380578669.9399996</v>
      </c>
      <c r="F19" s="122">
        <f>SUM(F20:F66)-F21-F25-F32-F35-F38-F42-F49-F28-F52-F58-F62-F55-F64</f>
        <v>1776196897.8199999</v>
      </c>
      <c r="G19" s="122">
        <f>SUM(G20:G66)-G21-G25-G32-G35-G38-G42-G49-G28-G52-G58-G62-G55-G64</f>
        <v>1687770955.0299988</v>
      </c>
      <c r="H19" s="123">
        <f>G19/F19</f>
        <v>0.95021613713066944</v>
      </c>
      <c r="I19" s="122">
        <f>SUM(I20:I66)-I21-I25-I32-I35-I38-I42-I49-I28-I52-I58-I62-I55-I64</f>
        <v>447124229.52999991</v>
      </c>
      <c r="J19" s="122">
        <f>SUM(J20:J66)-J21-J25-J32-J35-J38-J42-J49-J28-J52-J58-J62-J55-J64</f>
        <v>261484247.11999995</v>
      </c>
      <c r="K19" s="124">
        <f>J19/I19</f>
        <v>0.58481341392494501</v>
      </c>
      <c r="L19" s="122"/>
      <c r="M19" s="122"/>
      <c r="N19" s="125">
        <f>G19+J19</f>
        <v>1949255202.1499987</v>
      </c>
      <c r="O19" s="53" t="b">
        <f>N19=N20+N22+N23+N24+N26+N27+N30+N31+N33+N34+N36+N37+N39+N40+N41+N45+N46+N47+N53+N61+N63+N66+N59+N60+N56+N57+N65</f>
        <v>1</v>
      </c>
      <c r="P19" s="12"/>
    </row>
    <row r="20" spans="1:18" ht="99" customHeight="1" thickTop="1" thickBot="1" x14ac:dyDescent="0.6">
      <c r="A20" s="58" t="s">
        <v>62</v>
      </c>
      <c r="B20" s="70" t="s">
        <v>63</v>
      </c>
      <c r="C20" s="70" t="s">
        <v>64</v>
      </c>
      <c r="D20" s="70" t="s">
        <v>65</v>
      </c>
      <c r="E20" s="133">
        <v>635243304.41999996</v>
      </c>
      <c r="F20" s="133">
        <v>467616882.75999999</v>
      </c>
      <c r="G20" s="133">
        <v>444973533.57999998</v>
      </c>
      <c r="H20" s="131">
        <f>G20/F20</f>
        <v>0.95157713501199337</v>
      </c>
      <c r="I20" s="133">
        <v>111111998.87</v>
      </c>
      <c r="J20" s="133">
        <v>53851586.840000004</v>
      </c>
      <c r="K20" s="131">
        <f t="shared" ref="K20:K24" si="3">J20/I20</f>
        <v>0.48466040920572273</v>
      </c>
      <c r="L20" s="88"/>
      <c r="M20" s="89"/>
      <c r="N20" s="133">
        <f t="shared" si="0"/>
        <v>498825120.41999996</v>
      </c>
      <c r="O20" s="21"/>
      <c r="P20" s="12"/>
    </row>
    <row r="21" spans="1:18" ht="93" thickTop="1" thickBot="1" x14ac:dyDescent="0.6">
      <c r="A21" s="71" t="s">
        <v>66</v>
      </c>
      <c r="B21" s="71" t="s">
        <v>67</v>
      </c>
      <c r="C21" s="71"/>
      <c r="D21" s="71" t="s">
        <v>68</v>
      </c>
      <c r="E21" s="134">
        <f t="shared" ref="E21:G21" si="4">E22+E23+E24</f>
        <v>515535172.39999998</v>
      </c>
      <c r="F21" s="134">
        <f t="shared" si="4"/>
        <v>403542624.55999994</v>
      </c>
      <c r="G21" s="134">
        <f t="shared" si="4"/>
        <v>362958577.58000004</v>
      </c>
      <c r="H21" s="135">
        <f t="shared" ref="H21:H48" si="5">G21/F21</f>
        <v>0.8994305817774505</v>
      </c>
      <c r="I21" s="134">
        <f>I22+I23+I24</f>
        <v>113685088.83</v>
      </c>
      <c r="J21" s="134">
        <f>J22+J23+J24</f>
        <v>67947439.289999992</v>
      </c>
      <c r="K21" s="135">
        <f t="shared" si="3"/>
        <v>0.59768119099247741</v>
      </c>
      <c r="L21" s="134"/>
      <c r="M21" s="159"/>
      <c r="N21" s="134">
        <f>G21+J21</f>
        <v>430906016.87</v>
      </c>
      <c r="O21" s="21"/>
      <c r="P21" s="22"/>
    </row>
    <row r="22" spans="1:18" ht="138.75" thickTop="1" thickBot="1" x14ac:dyDescent="0.6">
      <c r="A22" s="70" t="s">
        <v>69</v>
      </c>
      <c r="B22" s="70" t="s">
        <v>70</v>
      </c>
      <c r="C22" s="70" t="s">
        <v>71</v>
      </c>
      <c r="D22" s="70" t="s">
        <v>516</v>
      </c>
      <c r="E22" s="133">
        <v>467316530.25999999</v>
      </c>
      <c r="F22" s="133">
        <v>365876704.52999997</v>
      </c>
      <c r="G22" s="133">
        <v>329534549</v>
      </c>
      <c r="H22" s="131">
        <f t="shared" si="5"/>
        <v>0.90067103185297193</v>
      </c>
      <c r="I22" s="133">
        <v>113413003.83</v>
      </c>
      <c r="J22" s="133">
        <v>67789239.069999993</v>
      </c>
      <c r="K22" s="131">
        <f t="shared" si="3"/>
        <v>0.59772016242169568</v>
      </c>
      <c r="L22" s="133"/>
      <c r="M22" s="158"/>
      <c r="N22" s="133">
        <f t="shared" si="0"/>
        <v>397323788.06999999</v>
      </c>
      <c r="O22" s="21"/>
      <c r="P22" s="13"/>
      <c r="R22" s="23"/>
    </row>
    <row r="23" spans="1:18" ht="276" thickTop="1" thickBot="1" x14ac:dyDescent="0.25">
      <c r="A23" s="58" t="s">
        <v>72</v>
      </c>
      <c r="B23" s="70" t="s">
        <v>73</v>
      </c>
      <c r="C23" s="70" t="s">
        <v>74</v>
      </c>
      <c r="D23" s="70" t="s">
        <v>517</v>
      </c>
      <c r="E23" s="133">
        <v>30493040.309999999</v>
      </c>
      <c r="F23" s="133">
        <v>23447539.199999999</v>
      </c>
      <c r="G23" s="133">
        <v>21806689.66</v>
      </c>
      <c r="H23" s="131">
        <f t="shared" si="5"/>
        <v>0.93002039463484509</v>
      </c>
      <c r="I23" s="133">
        <v>257085</v>
      </c>
      <c r="J23" s="133">
        <v>143202.22</v>
      </c>
      <c r="K23" s="131">
        <f t="shared" si="3"/>
        <v>0.55702285236400417</v>
      </c>
      <c r="L23" s="133"/>
      <c r="M23" s="158"/>
      <c r="N23" s="133">
        <f t="shared" si="0"/>
        <v>21949891.879999999</v>
      </c>
      <c r="P23" s="13"/>
    </row>
    <row r="24" spans="1:18" ht="138.75" thickTop="1" thickBot="1" x14ac:dyDescent="0.25">
      <c r="A24" s="70"/>
      <c r="B24" s="70" t="s">
        <v>409</v>
      </c>
      <c r="C24" s="70" t="s">
        <v>74</v>
      </c>
      <c r="D24" s="70" t="s">
        <v>518</v>
      </c>
      <c r="E24" s="133">
        <v>17725601.829999998</v>
      </c>
      <c r="F24" s="133">
        <v>14218380.83</v>
      </c>
      <c r="G24" s="133">
        <v>11617338.92</v>
      </c>
      <c r="H24" s="131">
        <f t="shared" si="5"/>
        <v>0.81706483029966781</v>
      </c>
      <c r="I24" s="133">
        <v>15000</v>
      </c>
      <c r="J24" s="133">
        <v>14998</v>
      </c>
      <c r="K24" s="131">
        <f t="shared" si="3"/>
        <v>0.99986666666666668</v>
      </c>
      <c r="L24" s="133"/>
      <c r="M24" s="158"/>
      <c r="N24" s="133">
        <f>G24+J24</f>
        <v>11632336.92</v>
      </c>
      <c r="P24" s="13"/>
    </row>
    <row r="25" spans="1:18" ht="123" thickTop="1" thickBot="1" x14ac:dyDescent="0.25">
      <c r="A25" s="59" t="s">
        <v>75</v>
      </c>
      <c r="B25" s="71" t="s">
        <v>76</v>
      </c>
      <c r="C25" s="71"/>
      <c r="D25" s="71" t="s">
        <v>77</v>
      </c>
      <c r="E25" s="134">
        <f>E26+E27</f>
        <v>766276280</v>
      </c>
      <c r="F25" s="134">
        <f t="shared" ref="F25:G25" si="6">F26+F27</f>
        <v>574717961</v>
      </c>
      <c r="G25" s="134">
        <f t="shared" si="6"/>
        <v>574435100.6099999</v>
      </c>
      <c r="H25" s="135">
        <f t="shared" si="5"/>
        <v>0.99950782747504896</v>
      </c>
      <c r="I25" s="134">
        <f>I26+I27</f>
        <v>0</v>
      </c>
      <c r="J25" s="134">
        <f>J26+J27</f>
        <v>0</v>
      </c>
      <c r="K25" s="135">
        <v>0</v>
      </c>
      <c r="L25" s="134"/>
      <c r="M25" s="134"/>
      <c r="N25" s="134">
        <f>G25+J25</f>
        <v>574435100.6099999</v>
      </c>
      <c r="O25" s="50" t="s">
        <v>391</v>
      </c>
      <c r="P25" s="19"/>
    </row>
    <row r="26" spans="1:18" ht="138.75" thickTop="1" thickBot="1" x14ac:dyDescent="0.25">
      <c r="A26" s="58" t="s">
        <v>78</v>
      </c>
      <c r="B26" s="70" t="s">
        <v>79</v>
      </c>
      <c r="C26" s="70" t="s">
        <v>71</v>
      </c>
      <c r="D26" s="70" t="s">
        <v>519</v>
      </c>
      <c r="E26" s="133">
        <v>756543170</v>
      </c>
      <c r="F26" s="133">
        <v>567230501</v>
      </c>
      <c r="G26" s="133">
        <v>567009483.54999995</v>
      </c>
      <c r="H26" s="131">
        <f t="shared" si="5"/>
        <v>0.99961035690145295</v>
      </c>
      <c r="I26" s="133"/>
      <c r="J26" s="133"/>
      <c r="K26" s="133"/>
      <c r="L26" s="133"/>
      <c r="M26" s="158"/>
      <c r="N26" s="133">
        <f t="shared" si="0"/>
        <v>567009483.54999995</v>
      </c>
      <c r="P26" s="17"/>
    </row>
    <row r="27" spans="1:18" ht="138.75" thickTop="1" thickBot="1" x14ac:dyDescent="0.25">
      <c r="A27" s="77"/>
      <c r="B27" s="136" t="s">
        <v>450</v>
      </c>
      <c r="C27" s="70" t="s">
        <v>74</v>
      </c>
      <c r="D27" s="70" t="s">
        <v>520</v>
      </c>
      <c r="E27" s="137">
        <v>9733110</v>
      </c>
      <c r="F27" s="137">
        <v>7487460</v>
      </c>
      <c r="G27" s="137">
        <v>7425617.0599999996</v>
      </c>
      <c r="H27" s="131">
        <f t="shared" si="5"/>
        <v>0.9917404647236846</v>
      </c>
      <c r="I27" s="137"/>
      <c r="J27" s="137"/>
      <c r="K27" s="137"/>
      <c r="L27" s="137"/>
      <c r="M27" s="160"/>
      <c r="N27" s="133">
        <f t="shared" si="0"/>
        <v>7425617.0599999996</v>
      </c>
      <c r="P27" s="17"/>
    </row>
    <row r="28" spans="1:18" ht="290.25" hidden="1" customHeight="1" thickTop="1" thickBot="1" x14ac:dyDescent="0.7">
      <c r="A28" s="83" t="s">
        <v>80</v>
      </c>
      <c r="B28" s="93" t="s">
        <v>81</v>
      </c>
      <c r="C28" s="93"/>
      <c r="D28" s="94" t="s">
        <v>521</v>
      </c>
      <c r="E28" s="95">
        <f t="shared" ref="E28:J28" si="7">E29</f>
        <v>0</v>
      </c>
      <c r="F28" s="95">
        <f t="shared" si="7"/>
        <v>0</v>
      </c>
      <c r="G28" s="95">
        <f t="shared" si="7"/>
        <v>0</v>
      </c>
      <c r="H28" s="96" t="e">
        <f>G28/F28</f>
        <v>#DIV/0!</v>
      </c>
      <c r="I28" s="95">
        <f t="shared" si="7"/>
        <v>0</v>
      </c>
      <c r="J28" s="95">
        <f t="shared" si="7"/>
        <v>0</v>
      </c>
      <c r="K28" s="97">
        <v>0</v>
      </c>
      <c r="L28" s="95"/>
      <c r="M28" s="95"/>
      <c r="N28" s="95">
        <f>J28+G28</f>
        <v>0</v>
      </c>
      <c r="O28" s="84" t="s">
        <v>391</v>
      </c>
      <c r="P28" s="17"/>
    </row>
    <row r="29" spans="1:18" ht="321.75" hidden="1" thickTop="1" thickBot="1" x14ac:dyDescent="0.25">
      <c r="A29" s="58" t="s">
        <v>82</v>
      </c>
      <c r="B29" s="87" t="s">
        <v>83</v>
      </c>
      <c r="C29" s="87" t="s">
        <v>71</v>
      </c>
      <c r="D29" s="87" t="s">
        <v>522</v>
      </c>
      <c r="E29" s="88"/>
      <c r="F29" s="88"/>
      <c r="G29" s="88"/>
      <c r="H29" s="86" t="e">
        <f t="shared" si="5"/>
        <v>#DIV/0!</v>
      </c>
      <c r="I29" s="88"/>
      <c r="J29" s="88"/>
      <c r="K29" s="86"/>
      <c r="L29" s="88"/>
      <c r="M29" s="89"/>
      <c r="N29" s="88">
        <f t="shared" ref="N29:N35" si="8">G29+J29</f>
        <v>0</v>
      </c>
      <c r="P29" s="12"/>
    </row>
    <row r="30" spans="1:18" ht="138.75" thickTop="1" thickBot="1" x14ac:dyDescent="0.25">
      <c r="A30" s="70" t="s">
        <v>84</v>
      </c>
      <c r="B30" s="70" t="s">
        <v>85</v>
      </c>
      <c r="C30" s="70" t="s">
        <v>86</v>
      </c>
      <c r="D30" s="70" t="s">
        <v>87</v>
      </c>
      <c r="E30" s="133">
        <v>36769537.880000003</v>
      </c>
      <c r="F30" s="133">
        <v>26568743.899999999</v>
      </c>
      <c r="G30" s="133">
        <v>24804002.48</v>
      </c>
      <c r="H30" s="131">
        <f t="shared" si="5"/>
        <v>0.93357828933719378</v>
      </c>
      <c r="I30" s="133">
        <v>3445095.3</v>
      </c>
      <c r="J30" s="133">
        <v>3097279.54</v>
      </c>
      <c r="K30" s="131">
        <f t="shared" ref="K30:K37" si="9">J30/I30</f>
        <v>0.89904030811571456</v>
      </c>
      <c r="L30" s="133"/>
      <c r="M30" s="158"/>
      <c r="N30" s="133">
        <f t="shared" si="8"/>
        <v>27901282.02</v>
      </c>
      <c r="P30" s="12"/>
    </row>
    <row r="31" spans="1:18" ht="93" thickTop="1" thickBot="1" x14ac:dyDescent="0.25">
      <c r="A31" s="58"/>
      <c r="B31" s="70" t="s">
        <v>242</v>
      </c>
      <c r="C31" s="70" t="s">
        <v>86</v>
      </c>
      <c r="D31" s="70" t="s">
        <v>455</v>
      </c>
      <c r="E31" s="133">
        <v>98466979</v>
      </c>
      <c r="F31" s="133">
        <v>70556829</v>
      </c>
      <c r="G31" s="133">
        <v>65137245.469999999</v>
      </c>
      <c r="H31" s="131">
        <f t="shared" si="5"/>
        <v>0.92318839144542619</v>
      </c>
      <c r="I31" s="133">
        <v>11667565.73</v>
      </c>
      <c r="J31" s="133">
        <v>8406343.0399999991</v>
      </c>
      <c r="K31" s="131">
        <f t="shared" si="9"/>
        <v>0.72048816647206482</v>
      </c>
      <c r="L31" s="88"/>
      <c r="M31" s="89"/>
      <c r="N31" s="133">
        <f t="shared" si="8"/>
        <v>73543588.50999999</v>
      </c>
      <c r="P31" s="12"/>
    </row>
    <row r="32" spans="1:18" ht="138.75" thickTop="1" thickBot="1" x14ac:dyDescent="0.25">
      <c r="A32" s="59" t="s">
        <v>88</v>
      </c>
      <c r="B32" s="71" t="s">
        <v>89</v>
      </c>
      <c r="C32" s="71"/>
      <c r="D32" s="71" t="s">
        <v>90</v>
      </c>
      <c r="E32" s="134">
        <f t="shared" ref="E32:G32" si="10">E33+E34</f>
        <v>191829475.94999999</v>
      </c>
      <c r="F32" s="134">
        <f t="shared" si="10"/>
        <v>146808185.94999999</v>
      </c>
      <c r="G32" s="134">
        <f t="shared" si="10"/>
        <v>137622490.37</v>
      </c>
      <c r="H32" s="135">
        <f t="shared" si="5"/>
        <v>0.9374306308564534</v>
      </c>
      <c r="I32" s="134">
        <f t="shared" ref="I32:J32" si="11">I33+I34</f>
        <v>43580685.219999999</v>
      </c>
      <c r="J32" s="134">
        <f t="shared" si="11"/>
        <v>28470531.059999999</v>
      </c>
      <c r="K32" s="135">
        <f t="shared" si="9"/>
        <v>0.65328323582517545</v>
      </c>
      <c r="L32" s="91"/>
      <c r="M32" s="91"/>
      <c r="N32" s="134">
        <f t="shared" si="8"/>
        <v>166093021.43000001</v>
      </c>
      <c r="P32" s="19"/>
    </row>
    <row r="33" spans="1:16" ht="184.5" thickTop="1" thickBot="1" x14ac:dyDescent="0.25">
      <c r="A33" s="70" t="s">
        <v>91</v>
      </c>
      <c r="B33" s="70" t="s">
        <v>92</v>
      </c>
      <c r="C33" s="70" t="s">
        <v>93</v>
      </c>
      <c r="D33" s="70" t="s">
        <v>94</v>
      </c>
      <c r="E33" s="133">
        <v>167476955.94999999</v>
      </c>
      <c r="F33" s="133">
        <v>128335665.95</v>
      </c>
      <c r="G33" s="133">
        <v>119149970.37</v>
      </c>
      <c r="H33" s="131">
        <f t="shared" si="5"/>
        <v>0.9284244522985623</v>
      </c>
      <c r="I33" s="133">
        <v>43580685.219999999</v>
      </c>
      <c r="J33" s="133">
        <v>28470531.059999999</v>
      </c>
      <c r="K33" s="131">
        <f t="shared" si="9"/>
        <v>0.65328323582517545</v>
      </c>
      <c r="L33" s="88"/>
      <c r="M33" s="89"/>
      <c r="N33" s="133">
        <f t="shared" si="8"/>
        <v>147620501.43000001</v>
      </c>
      <c r="P33" s="12"/>
    </row>
    <row r="34" spans="1:16" ht="138.75" thickTop="1" thickBot="1" x14ac:dyDescent="0.25">
      <c r="A34" s="58" t="s">
        <v>95</v>
      </c>
      <c r="B34" s="70" t="s">
        <v>96</v>
      </c>
      <c r="C34" s="70" t="s">
        <v>93</v>
      </c>
      <c r="D34" s="70" t="s">
        <v>97</v>
      </c>
      <c r="E34" s="133">
        <v>24352520</v>
      </c>
      <c r="F34" s="133">
        <v>18472520</v>
      </c>
      <c r="G34" s="133">
        <v>18472520</v>
      </c>
      <c r="H34" s="131">
        <f t="shared" si="5"/>
        <v>1</v>
      </c>
      <c r="I34" s="133"/>
      <c r="J34" s="133"/>
      <c r="K34" s="133"/>
      <c r="L34" s="88"/>
      <c r="M34" s="89"/>
      <c r="N34" s="133">
        <f t="shared" si="8"/>
        <v>18472520</v>
      </c>
      <c r="P34" s="17"/>
    </row>
    <row r="35" spans="1:16" ht="93" thickTop="1" thickBot="1" x14ac:dyDescent="0.25">
      <c r="A35" s="59" t="s">
        <v>98</v>
      </c>
      <c r="B35" s="71" t="s">
        <v>99</v>
      </c>
      <c r="C35" s="71"/>
      <c r="D35" s="71" t="s">
        <v>100</v>
      </c>
      <c r="E35" s="134">
        <f t="shared" ref="E35:J35" si="12">E36+E37</f>
        <v>29565693.640000001</v>
      </c>
      <c r="F35" s="134">
        <f t="shared" si="12"/>
        <v>21736321</v>
      </c>
      <c r="G35" s="134">
        <f t="shared" si="12"/>
        <v>19379787.73</v>
      </c>
      <c r="H35" s="135">
        <f t="shared" si="5"/>
        <v>0.89158545873517425</v>
      </c>
      <c r="I35" s="134">
        <f t="shared" si="12"/>
        <v>907142.48</v>
      </c>
      <c r="J35" s="134">
        <f t="shared" si="12"/>
        <v>653023.5</v>
      </c>
      <c r="K35" s="135">
        <f t="shared" si="9"/>
        <v>0.71986872448085559</v>
      </c>
      <c r="L35" s="91"/>
      <c r="M35" s="91"/>
      <c r="N35" s="134">
        <f t="shared" si="8"/>
        <v>20032811.23</v>
      </c>
      <c r="P35" s="19"/>
    </row>
    <row r="36" spans="1:16" ht="93" thickTop="1" thickBot="1" x14ac:dyDescent="0.25">
      <c r="A36" s="58" t="s">
        <v>101</v>
      </c>
      <c r="B36" s="70" t="s">
        <v>102</v>
      </c>
      <c r="C36" s="70" t="s">
        <v>103</v>
      </c>
      <c r="D36" s="70" t="s">
        <v>104</v>
      </c>
      <c r="E36" s="133">
        <v>28213473.640000001</v>
      </c>
      <c r="F36" s="133">
        <v>20693151</v>
      </c>
      <c r="G36" s="133">
        <v>18544420.73</v>
      </c>
      <c r="H36" s="131">
        <f t="shared" si="5"/>
        <v>0.89616224856233839</v>
      </c>
      <c r="I36" s="133">
        <v>546822.48</v>
      </c>
      <c r="J36" s="133">
        <v>296869.59999999998</v>
      </c>
      <c r="K36" s="131">
        <f t="shared" si="9"/>
        <v>0.54289940676908521</v>
      </c>
      <c r="L36" s="88"/>
      <c r="M36" s="89"/>
      <c r="N36" s="133">
        <f t="shared" ref="N36:N47" si="13">G36+J36</f>
        <v>18841290.330000002</v>
      </c>
      <c r="P36" s="17"/>
    </row>
    <row r="37" spans="1:16" ht="93" thickTop="1" thickBot="1" x14ac:dyDescent="0.25">
      <c r="A37" s="58" t="s">
        <v>105</v>
      </c>
      <c r="B37" s="70" t="s">
        <v>106</v>
      </c>
      <c r="C37" s="70" t="s">
        <v>103</v>
      </c>
      <c r="D37" s="70" t="s">
        <v>107</v>
      </c>
      <c r="E37" s="133">
        <v>1352220</v>
      </c>
      <c r="F37" s="133">
        <v>1043170</v>
      </c>
      <c r="G37" s="133">
        <v>835367</v>
      </c>
      <c r="H37" s="131">
        <f t="shared" si="5"/>
        <v>0.80079661033196892</v>
      </c>
      <c r="I37" s="133">
        <v>360320</v>
      </c>
      <c r="J37" s="133">
        <v>356153.9</v>
      </c>
      <c r="K37" s="131">
        <f t="shared" si="9"/>
        <v>0.98843777753108353</v>
      </c>
      <c r="L37" s="88"/>
      <c r="M37" s="89"/>
      <c r="N37" s="133">
        <f t="shared" si="13"/>
        <v>1191520.8999999999</v>
      </c>
      <c r="P37" s="17"/>
    </row>
    <row r="38" spans="1:16" ht="123" thickTop="1" thickBot="1" x14ac:dyDescent="0.25">
      <c r="A38" s="59" t="s">
        <v>108</v>
      </c>
      <c r="B38" s="71" t="s">
        <v>109</v>
      </c>
      <c r="C38" s="71"/>
      <c r="D38" s="71" t="s">
        <v>110</v>
      </c>
      <c r="E38" s="134">
        <f t="shared" ref="E38:J38" si="14">E39+E40</f>
        <v>7001787.4199999999</v>
      </c>
      <c r="F38" s="134">
        <f t="shared" si="14"/>
        <v>5434737.4199999999</v>
      </c>
      <c r="G38" s="134">
        <f t="shared" si="14"/>
        <v>4082281.7199999997</v>
      </c>
      <c r="H38" s="135">
        <f t="shared" si="5"/>
        <v>0.75114608204935129</v>
      </c>
      <c r="I38" s="134">
        <f t="shared" si="14"/>
        <v>12560</v>
      </c>
      <c r="J38" s="134">
        <f t="shared" si="14"/>
        <v>0</v>
      </c>
      <c r="K38" s="135">
        <v>0</v>
      </c>
      <c r="L38" s="91"/>
      <c r="M38" s="91"/>
      <c r="N38" s="134">
        <f t="shared" si="13"/>
        <v>4082281.7199999997</v>
      </c>
      <c r="O38" s="50" t="s">
        <v>391</v>
      </c>
      <c r="P38" s="19"/>
    </row>
    <row r="39" spans="1:16" ht="111" customHeight="1" thickTop="1" thickBot="1" x14ac:dyDescent="0.25">
      <c r="A39" s="58" t="s">
        <v>111</v>
      </c>
      <c r="B39" s="70" t="s">
        <v>112</v>
      </c>
      <c r="C39" s="70" t="s">
        <v>103</v>
      </c>
      <c r="D39" s="70" t="s">
        <v>113</v>
      </c>
      <c r="E39" s="133">
        <v>1661387.42</v>
      </c>
      <c r="F39" s="133">
        <v>1351937.42</v>
      </c>
      <c r="G39" s="133">
        <v>1006078.95</v>
      </c>
      <c r="H39" s="131">
        <f t="shared" si="5"/>
        <v>0.74417568085363006</v>
      </c>
      <c r="I39" s="133">
        <v>12560</v>
      </c>
      <c r="J39" s="133">
        <v>0</v>
      </c>
      <c r="K39" s="131">
        <f t="shared" ref="K39" si="15">J39/I39</f>
        <v>0</v>
      </c>
      <c r="L39" s="88"/>
      <c r="M39" s="89"/>
      <c r="N39" s="133">
        <f>G39+J39</f>
        <v>1006078.95</v>
      </c>
      <c r="P39" s="12"/>
    </row>
    <row r="40" spans="1:16" ht="111" customHeight="1" thickTop="1" thickBot="1" x14ac:dyDescent="0.25">
      <c r="A40" s="58" t="s">
        <v>114</v>
      </c>
      <c r="B40" s="70" t="s">
        <v>115</v>
      </c>
      <c r="C40" s="70" t="s">
        <v>103</v>
      </c>
      <c r="D40" s="70" t="s">
        <v>116</v>
      </c>
      <c r="E40" s="133">
        <v>5340400</v>
      </c>
      <c r="F40" s="133">
        <v>4082800</v>
      </c>
      <c r="G40" s="133">
        <v>3076202.77</v>
      </c>
      <c r="H40" s="131">
        <f t="shared" si="5"/>
        <v>0.75345419075144504</v>
      </c>
      <c r="I40" s="133"/>
      <c r="J40" s="133"/>
      <c r="K40" s="133"/>
      <c r="L40" s="88"/>
      <c r="M40" s="89"/>
      <c r="N40" s="133">
        <f t="shared" si="13"/>
        <v>3076202.77</v>
      </c>
      <c r="P40" s="17"/>
    </row>
    <row r="41" spans="1:16" ht="108" customHeight="1" thickTop="1" thickBot="1" x14ac:dyDescent="0.25">
      <c r="A41" s="58" t="s">
        <v>117</v>
      </c>
      <c r="B41" s="70" t="s">
        <v>118</v>
      </c>
      <c r="C41" s="70" t="s">
        <v>103</v>
      </c>
      <c r="D41" s="70" t="s">
        <v>523</v>
      </c>
      <c r="E41" s="133">
        <v>3467387</v>
      </c>
      <c r="F41" s="133">
        <v>2638460</v>
      </c>
      <c r="G41" s="133">
        <v>2533979.67</v>
      </c>
      <c r="H41" s="131">
        <f t="shared" si="5"/>
        <v>0.96040101801808631</v>
      </c>
      <c r="I41" s="133"/>
      <c r="J41" s="133"/>
      <c r="K41" s="131"/>
      <c r="L41" s="88"/>
      <c r="M41" s="89"/>
      <c r="N41" s="133">
        <f>G41+J41</f>
        <v>2533979.67</v>
      </c>
      <c r="O41" s="50"/>
      <c r="P41" s="12"/>
    </row>
    <row r="42" spans="1:16" s="18" customFormat="1" ht="138.75" thickTop="1" thickBot="1" x14ac:dyDescent="0.25">
      <c r="A42" s="59" t="s">
        <v>119</v>
      </c>
      <c r="B42" s="71" t="s">
        <v>120</v>
      </c>
      <c r="C42" s="71"/>
      <c r="D42" s="71" t="s">
        <v>560</v>
      </c>
      <c r="E42" s="134">
        <f>SUM(E43:E46)</f>
        <v>0</v>
      </c>
      <c r="F42" s="134">
        <f>SUM(F43:F46)</f>
        <v>0</v>
      </c>
      <c r="G42" s="134">
        <f>SUM(G43:G46)</f>
        <v>0</v>
      </c>
      <c r="H42" s="131">
        <v>0</v>
      </c>
      <c r="I42" s="134">
        <f>SUM(I43:I46)</f>
        <v>19051327</v>
      </c>
      <c r="J42" s="134">
        <f>SUM(J43:J46)</f>
        <v>3293670.04</v>
      </c>
      <c r="K42" s="135">
        <f t="shared" ref="K42:K46" si="16">J42/I42</f>
        <v>0.17288402219960847</v>
      </c>
      <c r="L42" s="91"/>
      <c r="M42" s="91"/>
      <c r="N42" s="134">
        <f t="shared" si="13"/>
        <v>3293670.04</v>
      </c>
      <c r="O42" s="50" t="s">
        <v>391</v>
      </c>
      <c r="P42" s="22"/>
    </row>
    <row r="43" spans="1:16" s="18" customFormat="1" ht="230.25" hidden="1" thickTop="1" thickBot="1" x14ac:dyDescent="0.25">
      <c r="A43" s="58" t="s">
        <v>121</v>
      </c>
      <c r="B43" s="87" t="s">
        <v>122</v>
      </c>
      <c r="C43" s="87" t="s">
        <v>103</v>
      </c>
      <c r="D43" s="87" t="s">
        <v>123</v>
      </c>
      <c r="E43" s="88"/>
      <c r="F43" s="88"/>
      <c r="G43" s="88"/>
      <c r="H43" s="86" t="e">
        <f t="shared" si="5"/>
        <v>#DIV/0!</v>
      </c>
      <c r="I43" s="88"/>
      <c r="J43" s="88"/>
      <c r="K43" s="86" t="e">
        <f t="shared" si="16"/>
        <v>#DIV/0!</v>
      </c>
      <c r="L43" s="88"/>
      <c r="M43" s="89"/>
      <c r="N43" s="88">
        <f t="shared" si="13"/>
        <v>0</v>
      </c>
      <c r="O43" s="50"/>
      <c r="P43" s="12"/>
    </row>
    <row r="44" spans="1:16" s="18" customFormat="1" ht="230.25" hidden="1" thickTop="1" thickBot="1" x14ac:dyDescent="0.25">
      <c r="A44" s="58"/>
      <c r="B44" s="87" t="s">
        <v>407</v>
      </c>
      <c r="C44" s="87" t="s">
        <v>103</v>
      </c>
      <c r="D44" s="87" t="s">
        <v>408</v>
      </c>
      <c r="E44" s="88"/>
      <c r="F44" s="88"/>
      <c r="G44" s="88"/>
      <c r="H44" s="86" t="e">
        <f t="shared" si="5"/>
        <v>#DIV/0!</v>
      </c>
      <c r="I44" s="88"/>
      <c r="J44" s="88"/>
      <c r="K44" s="86" t="e">
        <f t="shared" si="16"/>
        <v>#DIV/0!</v>
      </c>
      <c r="L44" s="88"/>
      <c r="M44" s="89"/>
      <c r="N44" s="88">
        <f t="shared" si="13"/>
        <v>0</v>
      </c>
      <c r="O44" s="52"/>
      <c r="P44" s="12"/>
    </row>
    <row r="45" spans="1:16" s="18" customFormat="1" ht="276" thickTop="1" thickBot="1" x14ac:dyDescent="0.25">
      <c r="A45" s="58"/>
      <c r="B45" s="70" t="s">
        <v>561</v>
      </c>
      <c r="C45" s="70" t="s">
        <v>103</v>
      </c>
      <c r="D45" s="70" t="s">
        <v>563</v>
      </c>
      <c r="E45" s="133"/>
      <c r="F45" s="133"/>
      <c r="G45" s="133"/>
      <c r="H45" s="131"/>
      <c r="I45" s="133">
        <v>5715427</v>
      </c>
      <c r="J45" s="133">
        <v>988101.01</v>
      </c>
      <c r="K45" s="131">
        <f t="shared" si="16"/>
        <v>0.17288314766333293</v>
      </c>
      <c r="L45" s="88"/>
      <c r="M45" s="89"/>
      <c r="N45" s="133">
        <f t="shared" si="13"/>
        <v>988101.01</v>
      </c>
      <c r="O45" s="50"/>
      <c r="P45" s="12"/>
    </row>
    <row r="46" spans="1:16" s="18" customFormat="1" ht="276" thickTop="1" thickBot="1" x14ac:dyDescent="0.25">
      <c r="A46" s="58"/>
      <c r="B46" s="70" t="s">
        <v>562</v>
      </c>
      <c r="C46" s="70" t="s">
        <v>103</v>
      </c>
      <c r="D46" s="70" t="s">
        <v>564</v>
      </c>
      <c r="E46" s="133"/>
      <c r="F46" s="133"/>
      <c r="G46" s="133"/>
      <c r="H46" s="131"/>
      <c r="I46" s="133">
        <v>13335900</v>
      </c>
      <c r="J46" s="133">
        <v>2305569.0299999998</v>
      </c>
      <c r="K46" s="131">
        <f t="shared" si="16"/>
        <v>0.1728843970035768</v>
      </c>
      <c r="L46" s="133"/>
      <c r="M46" s="158"/>
      <c r="N46" s="133">
        <f t="shared" si="13"/>
        <v>2305569.0299999998</v>
      </c>
      <c r="O46" s="50"/>
      <c r="P46" s="12"/>
    </row>
    <row r="47" spans="1:16" s="18" customFormat="1" ht="276" thickTop="1" thickBot="1" x14ac:dyDescent="0.25">
      <c r="A47" s="58" t="s">
        <v>124</v>
      </c>
      <c r="B47" s="70" t="s">
        <v>125</v>
      </c>
      <c r="C47" s="70" t="s">
        <v>103</v>
      </c>
      <c r="D47" s="70" t="s">
        <v>524</v>
      </c>
      <c r="E47" s="133">
        <v>5255400</v>
      </c>
      <c r="F47" s="133">
        <v>3682000</v>
      </c>
      <c r="G47" s="133">
        <v>3323939.75</v>
      </c>
      <c r="H47" s="131">
        <f t="shared" si="5"/>
        <v>0.90275387017925046</v>
      </c>
      <c r="I47" s="133"/>
      <c r="J47" s="133"/>
      <c r="K47" s="131"/>
      <c r="L47" s="88"/>
      <c r="M47" s="89"/>
      <c r="N47" s="133">
        <f t="shared" si="13"/>
        <v>3323939.75</v>
      </c>
      <c r="O47" s="20"/>
      <c r="P47" s="12"/>
    </row>
    <row r="48" spans="1:16" s="18" customFormat="1" ht="276" hidden="1" thickTop="1" thickBot="1" x14ac:dyDescent="0.25">
      <c r="A48" s="57"/>
      <c r="B48" s="87" t="s">
        <v>126</v>
      </c>
      <c r="C48" s="87" t="s">
        <v>103</v>
      </c>
      <c r="D48" s="87" t="s">
        <v>525</v>
      </c>
      <c r="E48" s="88"/>
      <c r="F48" s="88"/>
      <c r="G48" s="88"/>
      <c r="H48" s="86" t="e">
        <f t="shared" si="5"/>
        <v>#DIV/0!</v>
      </c>
      <c r="I48" s="98"/>
      <c r="J48" s="98"/>
      <c r="K48" s="99"/>
      <c r="L48" s="100"/>
      <c r="M48" s="100"/>
      <c r="N48" s="88">
        <f t="shared" ref="N48:N51" si="17">G48+J48</f>
        <v>0</v>
      </c>
      <c r="O48" s="20"/>
      <c r="P48" s="12"/>
    </row>
    <row r="49" spans="1:16" s="18" customFormat="1" ht="230.25" hidden="1" thickTop="1" thickBot="1" x14ac:dyDescent="0.25">
      <c r="A49" s="8"/>
      <c r="B49" s="90" t="s">
        <v>410</v>
      </c>
      <c r="C49" s="90"/>
      <c r="D49" s="90" t="s">
        <v>526</v>
      </c>
      <c r="E49" s="91">
        <f>E51+E50</f>
        <v>0</v>
      </c>
      <c r="F49" s="91">
        <f>F51+F50</f>
        <v>0</v>
      </c>
      <c r="G49" s="91">
        <f>G51+G50</f>
        <v>0</v>
      </c>
      <c r="H49" s="92">
        <v>0</v>
      </c>
      <c r="I49" s="91">
        <f>I51+I50</f>
        <v>0</v>
      </c>
      <c r="J49" s="91">
        <f>J51+J50</f>
        <v>0</v>
      </c>
      <c r="K49" s="92" t="e">
        <f>J49/I49</f>
        <v>#DIV/0!</v>
      </c>
      <c r="L49" s="101"/>
      <c r="M49" s="101"/>
      <c r="N49" s="91">
        <f>G49+J49</f>
        <v>0</v>
      </c>
      <c r="O49" s="50" t="s">
        <v>391</v>
      </c>
      <c r="P49" s="12"/>
    </row>
    <row r="50" spans="1:16" s="18" customFormat="1" ht="367.5" hidden="1" thickTop="1" thickBot="1" x14ac:dyDescent="0.25">
      <c r="A50" s="8"/>
      <c r="B50" s="87" t="s">
        <v>423</v>
      </c>
      <c r="C50" s="87" t="s">
        <v>103</v>
      </c>
      <c r="D50" s="87" t="s">
        <v>527</v>
      </c>
      <c r="E50" s="88"/>
      <c r="F50" s="88"/>
      <c r="G50" s="88"/>
      <c r="H50" s="86">
        <v>0</v>
      </c>
      <c r="I50" s="88"/>
      <c r="J50" s="88"/>
      <c r="K50" s="86" t="e">
        <f>J50/I50</f>
        <v>#DIV/0!</v>
      </c>
      <c r="L50" s="102"/>
      <c r="M50" s="102"/>
      <c r="N50" s="88">
        <f>G50+J50</f>
        <v>0</v>
      </c>
      <c r="O50" s="50" t="s">
        <v>391</v>
      </c>
      <c r="P50" s="12"/>
    </row>
    <row r="51" spans="1:16" s="18" customFormat="1" ht="354.75" hidden="1" customHeight="1" thickTop="1" thickBot="1" x14ac:dyDescent="0.25">
      <c r="A51" s="8"/>
      <c r="B51" s="87" t="s">
        <v>411</v>
      </c>
      <c r="C51" s="87" t="s">
        <v>103</v>
      </c>
      <c r="D51" s="87" t="s">
        <v>528</v>
      </c>
      <c r="E51" s="88"/>
      <c r="F51" s="88"/>
      <c r="G51" s="88"/>
      <c r="H51" s="86">
        <v>0</v>
      </c>
      <c r="I51" s="88"/>
      <c r="J51" s="88"/>
      <c r="K51" s="86" t="e">
        <f>J51/I51</f>
        <v>#DIV/0!</v>
      </c>
      <c r="L51" s="102"/>
      <c r="M51" s="102"/>
      <c r="N51" s="88">
        <f t="shared" si="17"/>
        <v>0</v>
      </c>
      <c r="O51" s="50" t="s">
        <v>391</v>
      </c>
      <c r="P51" s="12"/>
    </row>
    <row r="52" spans="1:16" s="18" customFormat="1" ht="276" thickTop="1" thickBot="1" x14ac:dyDescent="0.25">
      <c r="A52" s="57"/>
      <c r="B52" s="71" t="s">
        <v>489</v>
      </c>
      <c r="C52" s="71"/>
      <c r="D52" s="71" t="s">
        <v>529</v>
      </c>
      <c r="E52" s="134">
        <f>SUM(E53:E54)</f>
        <v>0</v>
      </c>
      <c r="F52" s="134">
        <f>SUM(F53:F54)</f>
        <v>0</v>
      </c>
      <c r="G52" s="134">
        <f>SUM(G53:G54)</f>
        <v>0</v>
      </c>
      <c r="H52" s="135">
        <v>0</v>
      </c>
      <c r="I52" s="134">
        <f>SUM(I53:I54)</f>
        <v>13613311.779999999</v>
      </c>
      <c r="J52" s="134">
        <f>SUM(J53:J54)</f>
        <v>12899264.33</v>
      </c>
      <c r="K52" s="135">
        <f>J52/I52</f>
        <v>0.94754785157796484</v>
      </c>
      <c r="L52" s="148"/>
      <c r="M52" s="148"/>
      <c r="N52" s="134">
        <f t="shared" ref="N52:N66" si="18">G52+J52</f>
        <v>12899264.33</v>
      </c>
      <c r="O52" s="50" t="s">
        <v>391</v>
      </c>
      <c r="P52" s="12"/>
    </row>
    <row r="53" spans="1:16" s="18" customFormat="1" ht="409.6" thickTop="1" thickBot="1" x14ac:dyDescent="0.25">
      <c r="A53" s="57"/>
      <c r="B53" s="70" t="s">
        <v>500</v>
      </c>
      <c r="C53" s="70" t="s">
        <v>103</v>
      </c>
      <c r="D53" s="70" t="s">
        <v>530</v>
      </c>
      <c r="E53" s="133"/>
      <c r="F53" s="133"/>
      <c r="G53" s="133"/>
      <c r="H53" s="131"/>
      <c r="I53" s="133">
        <v>13613311.779999999</v>
      </c>
      <c r="J53" s="133">
        <v>12899264.33</v>
      </c>
      <c r="K53" s="131">
        <f t="shared" ref="K53" si="19">J53/I53</f>
        <v>0.94754785157796484</v>
      </c>
      <c r="L53" s="138"/>
      <c r="M53" s="138"/>
      <c r="N53" s="133">
        <f t="shared" si="18"/>
        <v>12899264.33</v>
      </c>
      <c r="O53" s="52"/>
      <c r="P53" s="12"/>
    </row>
    <row r="54" spans="1:16" s="18" customFormat="1" ht="184.5" hidden="1" thickTop="1" thickBot="1" x14ac:dyDescent="0.25">
      <c r="A54" s="57"/>
      <c r="B54" s="87" t="s">
        <v>488</v>
      </c>
      <c r="C54" s="87" t="s">
        <v>103</v>
      </c>
      <c r="D54" s="87" t="s">
        <v>487</v>
      </c>
      <c r="E54" s="88"/>
      <c r="F54" s="88"/>
      <c r="G54" s="88"/>
      <c r="H54" s="86"/>
      <c r="I54" s="88"/>
      <c r="J54" s="88"/>
      <c r="K54" s="86" t="e">
        <f t="shared" ref="K54" si="20">J54/I54</f>
        <v>#DIV/0!</v>
      </c>
      <c r="L54" s="102"/>
      <c r="M54" s="102"/>
      <c r="N54" s="88">
        <f t="shared" si="18"/>
        <v>0</v>
      </c>
      <c r="O54" s="52"/>
      <c r="P54" s="12"/>
    </row>
    <row r="55" spans="1:16" s="18" customFormat="1" ht="184.5" thickTop="1" thickBot="1" x14ac:dyDescent="0.25">
      <c r="A55" s="57"/>
      <c r="B55" s="71" t="s">
        <v>594</v>
      </c>
      <c r="C55" s="71"/>
      <c r="D55" s="71" t="s">
        <v>595</v>
      </c>
      <c r="E55" s="134">
        <f>SUM(E56:E57)</f>
        <v>28229</v>
      </c>
      <c r="F55" s="134">
        <f>SUM(F56:F57)</f>
        <v>28229</v>
      </c>
      <c r="G55" s="134">
        <f>SUM(G56:G57)</f>
        <v>9853.2000000000007</v>
      </c>
      <c r="H55" s="135">
        <f>G55/F55</f>
        <v>0.34904530801657874</v>
      </c>
      <c r="I55" s="134">
        <f>SUM(I56:I57)</f>
        <v>1971736</v>
      </c>
      <c r="J55" s="134">
        <f>SUM(J56:J57)</f>
        <v>592318.80000000005</v>
      </c>
      <c r="K55" s="135">
        <v>0</v>
      </c>
      <c r="L55" s="134"/>
      <c r="M55" s="134"/>
      <c r="N55" s="134">
        <f t="shared" ref="N55" si="21">G55+J55</f>
        <v>602172</v>
      </c>
      <c r="O55" s="50" t="s">
        <v>391</v>
      </c>
      <c r="P55" s="12"/>
    </row>
    <row r="56" spans="1:16" s="18" customFormat="1" ht="230.25" thickTop="1" thickBot="1" x14ac:dyDescent="0.25">
      <c r="A56" s="57"/>
      <c r="B56" s="70" t="s">
        <v>596</v>
      </c>
      <c r="C56" s="70" t="s">
        <v>103</v>
      </c>
      <c r="D56" s="70" t="s">
        <v>597</v>
      </c>
      <c r="E56" s="133">
        <v>28229</v>
      </c>
      <c r="F56" s="133">
        <v>28229</v>
      </c>
      <c r="G56" s="133">
        <v>9853.2000000000007</v>
      </c>
      <c r="H56" s="131">
        <f>G56/F56</f>
        <v>0.34904530801657874</v>
      </c>
      <c r="I56" s="133">
        <v>171769</v>
      </c>
      <c r="J56" s="133">
        <v>50364</v>
      </c>
      <c r="K56" s="131">
        <f>J56/I56</f>
        <v>0.29320773829969321</v>
      </c>
      <c r="L56" s="138"/>
      <c r="M56" s="138"/>
      <c r="N56" s="133">
        <f t="shared" si="18"/>
        <v>60217.2</v>
      </c>
      <c r="O56" s="50"/>
      <c r="P56" s="12"/>
    </row>
    <row r="57" spans="1:16" s="18" customFormat="1" ht="184.5" thickTop="1" thickBot="1" x14ac:dyDescent="0.25">
      <c r="A57" s="57"/>
      <c r="B57" s="70" t="s">
        <v>603</v>
      </c>
      <c r="C57" s="70" t="s">
        <v>103</v>
      </c>
      <c r="D57" s="70" t="s">
        <v>604</v>
      </c>
      <c r="E57" s="133"/>
      <c r="F57" s="133"/>
      <c r="G57" s="133"/>
      <c r="H57" s="131"/>
      <c r="I57" s="133">
        <v>1799967</v>
      </c>
      <c r="J57" s="133">
        <v>541954.80000000005</v>
      </c>
      <c r="K57" s="131">
        <f>J57/I57</f>
        <v>0.30109152001120021</v>
      </c>
      <c r="L57" s="138"/>
      <c r="M57" s="138"/>
      <c r="N57" s="133">
        <f t="shared" si="18"/>
        <v>541954.80000000005</v>
      </c>
      <c r="O57" s="50"/>
      <c r="P57" s="12"/>
    </row>
    <row r="58" spans="1:16" s="18" customFormat="1" ht="321.75" thickTop="1" thickBot="1" x14ac:dyDescent="0.25">
      <c r="A58" s="57"/>
      <c r="B58" s="71" t="s">
        <v>504</v>
      </c>
      <c r="C58" s="71"/>
      <c r="D58" s="71" t="s">
        <v>503</v>
      </c>
      <c r="E58" s="134">
        <f>SUM(E59:E60)</f>
        <v>697523.23</v>
      </c>
      <c r="F58" s="134">
        <f>SUM(F59:F60)</f>
        <v>697523.23</v>
      </c>
      <c r="G58" s="134">
        <f>SUM(G59:G60)</f>
        <v>692365.88</v>
      </c>
      <c r="H58" s="135">
        <f>G58/F58</f>
        <v>0.99260619606891087</v>
      </c>
      <c r="I58" s="134">
        <f>SUM(I59:I60)</f>
        <v>6199672.8099999996</v>
      </c>
      <c r="J58" s="134">
        <f>SUM(J59:J60)</f>
        <v>5719795.1899999995</v>
      </c>
      <c r="K58" s="135">
        <f>J58/I58</f>
        <v>0.92259629907791862</v>
      </c>
      <c r="L58" s="91"/>
      <c r="M58" s="91"/>
      <c r="N58" s="134">
        <f t="shared" si="18"/>
        <v>6412161.0699999994</v>
      </c>
      <c r="O58" s="50"/>
      <c r="P58" s="12"/>
    </row>
    <row r="59" spans="1:16" s="18" customFormat="1" ht="321.75" thickTop="1" thickBot="1" x14ac:dyDescent="0.25">
      <c r="A59" s="57"/>
      <c r="B59" s="70" t="s">
        <v>505</v>
      </c>
      <c r="C59" s="70" t="s">
        <v>103</v>
      </c>
      <c r="D59" s="70" t="s">
        <v>507</v>
      </c>
      <c r="E59" s="133">
        <v>697523.23</v>
      </c>
      <c r="F59" s="133">
        <v>697523.23</v>
      </c>
      <c r="G59" s="133">
        <v>692365.88</v>
      </c>
      <c r="H59" s="131">
        <f>G59/F59</f>
        <v>0.99260619606891087</v>
      </c>
      <c r="I59" s="133">
        <v>1371638.3</v>
      </c>
      <c r="J59" s="133">
        <v>1231282.44</v>
      </c>
      <c r="K59" s="131">
        <f>J59/I59</f>
        <v>0.89767283401170694</v>
      </c>
      <c r="L59" s="102"/>
      <c r="M59" s="102"/>
      <c r="N59" s="133">
        <f t="shared" si="18"/>
        <v>1923648.3199999998</v>
      </c>
      <c r="O59" s="50"/>
      <c r="P59" s="12"/>
    </row>
    <row r="60" spans="1:16" s="18" customFormat="1" ht="295.5" customHeight="1" thickTop="1" thickBot="1" x14ac:dyDescent="0.25">
      <c r="A60" s="57"/>
      <c r="B60" s="70" t="s">
        <v>506</v>
      </c>
      <c r="C60" s="70" t="s">
        <v>103</v>
      </c>
      <c r="D60" s="70" t="s">
        <v>589</v>
      </c>
      <c r="E60" s="133"/>
      <c r="F60" s="133"/>
      <c r="G60" s="133"/>
      <c r="H60" s="135"/>
      <c r="I60" s="133">
        <v>4828034.51</v>
      </c>
      <c r="J60" s="133">
        <v>4488512.75</v>
      </c>
      <c r="K60" s="131">
        <f t="shared" ref="K60" si="22">J60/I60</f>
        <v>0.92967702295897636</v>
      </c>
      <c r="L60" s="138"/>
      <c r="M60" s="138"/>
      <c r="N60" s="133">
        <f t="shared" si="18"/>
        <v>4488512.75</v>
      </c>
      <c r="O60" s="50"/>
      <c r="P60" s="12"/>
    </row>
    <row r="61" spans="1:16" s="18" customFormat="1" ht="62.25" thickTop="1" thickBot="1" x14ac:dyDescent="0.25">
      <c r="A61" s="57"/>
      <c r="B61" s="70" t="s">
        <v>565</v>
      </c>
      <c r="C61" s="70" t="s">
        <v>103</v>
      </c>
      <c r="D61" s="70" t="s">
        <v>566</v>
      </c>
      <c r="E61" s="133"/>
      <c r="F61" s="133"/>
      <c r="G61" s="133"/>
      <c r="H61" s="135"/>
      <c r="I61" s="133">
        <f>31043812.86+45401832.65</f>
        <v>76445645.50999999</v>
      </c>
      <c r="J61" s="133">
        <v>44191454.990000002</v>
      </c>
      <c r="K61" s="131">
        <f t="shared" ref="K61:K62" si="23">J61/I61</f>
        <v>0.57807681124517729</v>
      </c>
      <c r="L61" s="138"/>
      <c r="M61" s="138"/>
      <c r="N61" s="133">
        <f t="shared" ref="N61:N62" si="24">G61+J61</f>
        <v>44191454.990000002</v>
      </c>
      <c r="O61" s="52"/>
      <c r="P61" s="12"/>
    </row>
    <row r="62" spans="1:16" s="18" customFormat="1" ht="123" thickTop="1" thickBot="1" x14ac:dyDescent="0.25">
      <c r="A62" s="57"/>
      <c r="B62" s="71" t="s">
        <v>567</v>
      </c>
      <c r="C62" s="71"/>
      <c r="D62" s="71" t="s">
        <v>568</v>
      </c>
      <c r="E62" s="134">
        <f>E63</f>
        <v>0</v>
      </c>
      <c r="F62" s="134">
        <f>F63</f>
        <v>0</v>
      </c>
      <c r="G62" s="134">
        <f>G63</f>
        <v>0</v>
      </c>
      <c r="H62" s="131">
        <v>0</v>
      </c>
      <c r="I62" s="134">
        <f t="shared" ref="I62:J64" si="25">I63</f>
        <v>42063000</v>
      </c>
      <c r="J62" s="134">
        <f t="shared" si="25"/>
        <v>32361540.5</v>
      </c>
      <c r="K62" s="135">
        <f t="shared" si="23"/>
        <v>0.76935883080141687</v>
      </c>
      <c r="L62" s="148"/>
      <c r="M62" s="148"/>
      <c r="N62" s="134">
        <f t="shared" si="24"/>
        <v>32361540.5</v>
      </c>
      <c r="O62" s="50" t="s">
        <v>391</v>
      </c>
      <c r="P62" s="12"/>
    </row>
    <row r="63" spans="1:16" s="18" customFormat="1" ht="184.5" thickTop="1" thickBot="1" x14ac:dyDescent="0.25">
      <c r="A63" s="57"/>
      <c r="B63" s="70" t="s">
        <v>570</v>
      </c>
      <c r="C63" s="70" t="s">
        <v>103</v>
      </c>
      <c r="D63" s="70" t="s">
        <v>569</v>
      </c>
      <c r="E63" s="133"/>
      <c r="F63" s="133"/>
      <c r="G63" s="133"/>
      <c r="H63" s="135"/>
      <c r="I63" s="133">
        <v>42063000</v>
      </c>
      <c r="J63" s="133">
        <v>32361540.5</v>
      </c>
      <c r="K63" s="131">
        <f>J63/I63</f>
        <v>0.76935883080141687</v>
      </c>
      <c r="L63" s="138"/>
      <c r="M63" s="138"/>
      <c r="N63" s="133">
        <f t="shared" si="18"/>
        <v>32361540.5</v>
      </c>
      <c r="O63" s="52"/>
      <c r="P63" s="12"/>
    </row>
    <row r="64" spans="1:16" s="18" customFormat="1" ht="230.25" thickTop="1" thickBot="1" x14ac:dyDescent="0.25">
      <c r="A64" s="57"/>
      <c r="B64" s="71" t="s">
        <v>605</v>
      </c>
      <c r="C64" s="71"/>
      <c r="D64" s="71" t="s">
        <v>607</v>
      </c>
      <c r="E64" s="134">
        <f>E65</f>
        <v>0</v>
      </c>
      <c r="F64" s="134">
        <f>F65</f>
        <v>0</v>
      </c>
      <c r="G64" s="134">
        <f>G65</f>
        <v>0</v>
      </c>
      <c r="H64" s="131">
        <v>0</v>
      </c>
      <c r="I64" s="134">
        <f t="shared" si="25"/>
        <v>3369400</v>
      </c>
      <c r="J64" s="134">
        <f t="shared" si="25"/>
        <v>0</v>
      </c>
      <c r="K64" s="135">
        <f t="shared" ref="K64" si="26">J64/I64</f>
        <v>0</v>
      </c>
      <c r="L64" s="148"/>
      <c r="M64" s="148"/>
      <c r="N64" s="134">
        <f t="shared" si="18"/>
        <v>0</v>
      </c>
      <c r="O64" s="52"/>
      <c r="P64" s="12"/>
    </row>
    <row r="65" spans="1:16" s="18" customFormat="1" ht="321.75" thickTop="1" thickBot="1" x14ac:dyDescent="0.25">
      <c r="A65" s="57"/>
      <c r="B65" s="70" t="s">
        <v>606</v>
      </c>
      <c r="C65" s="70" t="s">
        <v>103</v>
      </c>
      <c r="D65" s="70" t="s">
        <v>608</v>
      </c>
      <c r="E65" s="133"/>
      <c r="F65" s="133"/>
      <c r="G65" s="133"/>
      <c r="H65" s="131"/>
      <c r="I65" s="133">
        <v>3369400</v>
      </c>
      <c r="J65" s="133">
        <v>0</v>
      </c>
      <c r="K65" s="131">
        <f>J65/I65</f>
        <v>0</v>
      </c>
      <c r="L65" s="138"/>
      <c r="M65" s="138"/>
      <c r="N65" s="133">
        <f t="shared" ref="N65" si="27">G65+J65</f>
        <v>0</v>
      </c>
      <c r="O65" s="52"/>
      <c r="P65" s="12"/>
    </row>
    <row r="66" spans="1:16" s="18" customFormat="1" ht="184.5" thickTop="1" thickBot="1" x14ac:dyDescent="0.25">
      <c r="A66" s="57"/>
      <c r="B66" s="70" t="s">
        <v>559</v>
      </c>
      <c r="C66" s="70" t="s">
        <v>103</v>
      </c>
      <c r="D66" s="70" t="s">
        <v>558</v>
      </c>
      <c r="E66" s="133">
        <v>90441900</v>
      </c>
      <c r="F66" s="133">
        <v>52168400</v>
      </c>
      <c r="G66" s="133">
        <v>47817796.990000002</v>
      </c>
      <c r="H66" s="131">
        <f>G66/F66</f>
        <v>0.91660463019759086</v>
      </c>
      <c r="I66" s="133"/>
      <c r="J66" s="133"/>
      <c r="K66" s="131"/>
      <c r="L66" s="138"/>
      <c r="M66" s="138"/>
      <c r="N66" s="133">
        <f t="shared" si="18"/>
        <v>47817796.990000002</v>
      </c>
      <c r="O66" s="52"/>
      <c r="P66" s="12"/>
    </row>
    <row r="67" spans="1:16" ht="91.5" thickTop="1" thickBot="1" x14ac:dyDescent="0.25">
      <c r="A67" s="57" t="s">
        <v>130</v>
      </c>
      <c r="B67" s="120" t="s">
        <v>131</v>
      </c>
      <c r="C67" s="120"/>
      <c r="D67" s="121" t="s">
        <v>132</v>
      </c>
      <c r="E67" s="122">
        <f>SUM(E68:E82)-E73-E75-E77-E80</f>
        <v>125525333.34</v>
      </c>
      <c r="F67" s="122">
        <f>SUM(F68:F82)-F73-F75-F77-F80</f>
        <v>96398985.340000004</v>
      </c>
      <c r="G67" s="122">
        <f>SUM(G68:G82)-G73-G75-G77-G80</f>
        <v>82493799.229999989</v>
      </c>
      <c r="H67" s="123">
        <f>G67/F67</f>
        <v>0.85575381254318905</v>
      </c>
      <c r="I67" s="122">
        <f>SUM(I68:I82)-I73-I75-I77-I80</f>
        <v>49229295.490000002</v>
      </c>
      <c r="J67" s="122">
        <f>SUM(J68:J82)-J73-J75-J77-J80</f>
        <v>16855050.66</v>
      </c>
      <c r="K67" s="124">
        <f>J67/I67</f>
        <v>0.3423784657536646</v>
      </c>
      <c r="L67" s="122"/>
      <c r="M67" s="122"/>
      <c r="N67" s="125">
        <f>J67+G67</f>
        <v>99348849.889999986</v>
      </c>
      <c r="O67" s="53" t="b">
        <f>N67=N68+N69+N70+N71+N74+N78+N79+N82</f>
        <v>1</v>
      </c>
      <c r="P67" s="24"/>
    </row>
    <row r="68" spans="1:16" ht="93" thickTop="1" thickBot="1" x14ac:dyDescent="0.25">
      <c r="A68" s="58" t="s">
        <v>133</v>
      </c>
      <c r="B68" s="70" t="s">
        <v>134</v>
      </c>
      <c r="C68" s="70" t="s">
        <v>135</v>
      </c>
      <c r="D68" s="70" t="s">
        <v>136</v>
      </c>
      <c r="E68" s="133">
        <v>33762931</v>
      </c>
      <c r="F68" s="133">
        <v>25746626</v>
      </c>
      <c r="G68" s="133">
        <v>22370791.039999999</v>
      </c>
      <c r="H68" s="131">
        <f>G68/F68</f>
        <v>0.86888243298364609</v>
      </c>
      <c r="I68" s="133">
        <v>31614092.510000002</v>
      </c>
      <c r="J68" s="133">
        <v>8127725.1100000003</v>
      </c>
      <c r="K68" s="131">
        <f>J68/I68</f>
        <v>0.25709183673164371</v>
      </c>
      <c r="L68" s="88"/>
      <c r="M68" s="89"/>
      <c r="N68" s="133">
        <f>G68+J68</f>
        <v>30498516.149999999</v>
      </c>
      <c r="P68" s="17"/>
    </row>
    <row r="69" spans="1:16" ht="93" thickTop="1" thickBot="1" x14ac:dyDescent="0.25">
      <c r="A69" s="58" t="s">
        <v>137</v>
      </c>
      <c r="B69" s="70" t="s">
        <v>138</v>
      </c>
      <c r="C69" s="70" t="s">
        <v>139</v>
      </c>
      <c r="D69" s="70" t="s">
        <v>140</v>
      </c>
      <c r="E69" s="133">
        <v>17460600</v>
      </c>
      <c r="F69" s="133">
        <v>13174680</v>
      </c>
      <c r="G69" s="133">
        <v>11275669.939999999</v>
      </c>
      <c r="H69" s="131">
        <f t="shared" ref="H69:H71" si="28">G69/F69</f>
        <v>0.85585911308661766</v>
      </c>
      <c r="I69" s="133"/>
      <c r="J69" s="133"/>
      <c r="K69" s="131"/>
      <c r="L69" s="88"/>
      <c r="M69" s="89"/>
      <c r="N69" s="133">
        <f t="shared" ref="N69:N136" si="29">G69+J69</f>
        <v>11275669.939999999</v>
      </c>
      <c r="P69" s="24"/>
    </row>
    <row r="70" spans="1:16" ht="93" thickTop="1" thickBot="1" x14ac:dyDescent="0.25">
      <c r="A70" s="70" t="s">
        <v>141</v>
      </c>
      <c r="B70" s="70" t="s">
        <v>142</v>
      </c>
      <c r="C70" s="70" t="s">
        <v>143</v>
      </c>
      <c r="D70" s="70" t="s">
        <v>144</v>
      </c>
      <c r="E70" s="133">
        <v>16970895.34</v>
      </c>
      <c r="F70" s="133">
        <v>14362695.34</v>
      </c>
      <c r="G70" s="133">
        <v>12832425.189999999</v>
      </c>
      <c r="H70" s="131">
        <f t="shared" si="28"/>
        <v>0.89345522454004789</v>
      </c>
      <c r="I70" s="133">
        <v>9871086.9800000004</v>
      </c>
      <c r="J70" s="133">
        <v>7835526.5499999998</v>
      </c>
      <c r="K70" s="131">
        <f>J70/I70</f>
        <v>0.79378558469555693</v>
      </c>
      <c r="L70" s="88"/>
      <c r="M70" s="89"/>
      <c r="N70" s="133">
        <f t="shared" si="29"/>
        <v>20667951.739999998</v>
      </c>
      <c r="P70" s="24"/>
    </row>
    <row r="71" spans="1:16" ht="93" thickTop="1" thickBot="1" x14ac:dyDescent="0.25">
      <c r="A71" s="58" t="s">
        <v>145</v>
      </c>
      <c r="B71" s="70" t="s">
        <v>146</v>
      </c>
      <c r="C71" s="70" t="s">
        <v>147</v>
      </c>
      <c r="D71" s="70" t="s">
        <v>148</v>
      </c>
      <c r="E71" s="133">
        <v>26023962</v>
      </c>
      <c r="F71" s="133">
        <v>19643287</v>
      </c>
      <c r="G71" s="133">
        <v>14665556.18</v>
      </c>
      <c r="H71" s="131">
        <f t="shared" si="28"/>
        <v>0.74659379461288733</v>
      </c>
      <c r="I71" s="133">
        <v>4158288</v>
      </c>
      <c r="J71" s="133">
        <v>891799</v>
      </c>
      <c r="K71" s="131">
        <f>J71/I71</f>
        <v>0.21446301939644391</v>
      </c>
      <c r="L71" s="88"/>
      <c r="M71" s="89"/>
      <c r="N71" s="133">
        <f t="shared" si="29"/>
        <v>15557355.18</v>
      </c>
      <c r="O71" s="50"/>
      <c r="P71" s="24"/>
    </row>
    <row r="72" spans="1:16" ht="93" hidden="1" thickTop="1" thickBot="1" x14ac:dyDescent="0.25">
      <c r="A72" s="58" t="s">
        <v>149</v>
      </c>
      <c r="B72" s="103" t="s">
        <v>150</v>
      </c>
      <c r="C72" s="103" t="s">
        <v>151</v>
      </c>
      <c r="D72" s="103" t="s">
        <v>152</v>
      </c>
      <c r="E72" s="98"/>
      <c r="F72" s="98"/>
      <c r="G72" s="98"/>
      <c r="H72" s="99"/>
      <c r="I72" s="98"/>
      <c r="J72" s="98"/>
      <c r="K72" s="99" t="e">
        <f>J72/I72</f>
        <v>#DIV/0!</v>
      </c>
      <c r="L72" s="98"/>
      <c r="M72" s="104"/>
      <c r="N72" s="98">
        <f t="shared" si="29"/>
        <v>0</v>
      </c>
      <c r="P72" s="24"/>
    </row>
    <row r="73" spans="1:16" ht="93" thickTop="1" thickBot="1" x14ac:dyDescent="0.25">
      <c r="A73" s="58" t="s">
        <v>153</v>
      </c>
      <c r="B73" s="71" t="s">
        <v>154</v>
      </c>
      <c r="C73" s="71"/>
      <c r="D73" s="71" t="s">
        <v>155</v>
      </c>
      <c r="E73" s="134">
        <f t="shared" ref="E73:G73" si="30">E74</f>
        <v>21593210</v>
      </c>
      <c r="F73" s="134">
        <f t="shared" si="30"/>
        <v>15483160</v>
      </c>
      <c r="G73" s="134">
        <f t="shared" si="30"/>
        <v>14826786.039999999</v>
      </c>
      <c r="H73" s="135">
        <f t="shared" ref="H73:H74" si="31">G73/F73</f>
        <v>0.95760723521555025</v>
      </c>
      <c r="I73" s="134">
        <f>I74</f>
        <v>1000000</v>
      </c>
      <c r="J73" s="134">
        <f t="shared" ref="J73" si="32">J74</f>
        <v>0</v>
      </c>
      <c r="K73" s="135">
        <f>J73/I73</f>
        <v>0</v>
      </c>
      <c r="L73" s="91"/>
      <c r="M73" s="91"/>
      <c r="N73" s="134">
        <f t="shared" si="29"/>
        <v>14826786.039999999</v>
      </c>
      <c r="O73" s="50"/>
      <c r="P73" s="24"/>
    </row>
    <row r="74" spans="1:16" ht="138.75" thickTop="1" thickBot="1" x14ac:dyDescent="0.25">
      <c r="A74" s="58" t="s">
        <v>156</v>
      </c>
      <c r="B74" s="70" t="s">
        <v>157</v>
      </c>
      <c r="C74" s="70" t="s">
        <v>158</v>
      </c>
      <c r="D74" s="70" t="s">
        <v>159</v>
      </c>
      <c r="E74" s="133">
        <v>21593210</v>
      </c>
      <c r="F74" s="133">
        <v>15483160</v>
      </c>
      <c r="G74" s="133">
        <v>14826786.039999999</v>
      </c>
      <c r="H74" s="131">
        <f t="shared" si="31"/>
        <v>0.95760723521555025</v>
      </c>
      <c r="I74" s="133">
        <v>1000000</v>
      </c>
      <c r="J74" s="133">
        <v>0</v>
      </c>
      <c r="K74" s="131">
        <f>J74/I74</f>
        <v>0</v>
      </c>
      <c r="L74" s="88"/>
      <c r="M74" s="89"/>
      <c r="N74" s="133">
        <f t="shared" si="29"/>
        <v>14826786.039999999</v>
      </c>
      <c r="P74" s="24"/>
    </row>
    <row r="75" spans="1:16" ht="93" hidden="1" customHeight="1" thickTop="1" thickBot="1" x14ac:dyDescent="0.25">
      <c r="A75" s="59" t="s">
        <v>160</v>
      </c>
      <c r="B75" s="105" t="s">
        <v>161</v>
      </c>
      <c r="C75" s="105"/>
      <c r="D75" s="105" t="s">
        <v>162</v>
      </c>
      <c r="E75" s="106">
        <f t="shared" ref="E75:G75" si="33">E76</f>
        <v>0</v>
      </c>
      <c r="F75" s="106">
        <f t="shared" si="33"/>
        <v>0</v>
      </c>
      <c r="G75" s="106">
        <f t="shared" si="33"/>
        <v>0</v>
      </c>
      <c r="H75" s="107"/>
      <c r="I75" s="106"/>
      <c r="J75" s="106"/>
      <c r="K75" s="107"/>
      <c r="L75" s="106"/>
      <c r="M75" s="106"/>
      <c r="N75" s="106">
        <f t="shared" si="29"/>
        <v>0</v>
      </c>
      <c r="O75" s="50"/>
      <c r="P75" s="24"/>
    </row>
    <row r="76" spans="1:16" ht="93" hidden="1" customHeight="1" thickTop="1" thickBot="1" x14ac:dyDescent="0.25">
      <c r="A76" s="58" t="s">
        <v>163</v>
      </c>
      <c r="B76" s="103" t="s">
        <v>164</v>
      </c>
      <c r="C76" s="103" t="s">
        <v>165</v>
      </c>
      <c r="D76" s="103" t="s">
        <v>166</v>
      </c>
      <c r="E76" s="98"/>
      <c r="F76" s="98"/>
      <c r="G76" s="98"/>
      <c r="H76" s="99"/>
      <c r="I76" s="98"/>
      <c r="J76" s="98"/>
      <c r="K76" s="98"/>
      <c r="L76" s="98"/>
      <c r="M76" s="104"/>
      <c r="N76" s="98">
        <f t="shared" si="29"/>
        <v>0</v>
      </c>
      <c r="P76" s="24"/>
    </row>
    <row r="77" spans="1:16" ht="123" thickTop="1" thickBot="1" x14ac:dyDescent="0.25">
      <c r="A77" s="58" t="s">
        <v>167</v>
      </c>
      <c r="B77" s="71" t="s">
        <v>168</v>
      </c>
      <c r="C77" s="71"/>
      <c r="D77" s="71" t="s">
        <v>531</v>
      </c>
      <c r="E77" s="134">
        <f t="shared" ref="E77:J77" si="34">SUM(E78:E79)</f>
        <v>9713735</v>
      </c>
      <c r="F77" s="134">
        <f t="shared" si="34"/>
        <v>7988537</v>
      </c>
      <c r="G77" s="134">
        <f t="shared" si="34"/>
        <v>6522570.8399999999</v>
      </c>
      <c r="H77" s="135">
        <f t="shared" ref="H77:H79" si="35">G77/F77</f>
        <v>0.81649128494992262</v>
      </c>
      <c r="I77" s="134">
        <f t="shared" si="34"/>
        <v>0</v>
      </c>
      <c r="J77" s="134">
        <f t="shared" si="34"/>
        <v>0</v>
      </c>
      <c r="K77" s="135">
        <v>0</v>
      </c>
      <c r="L77" s="91"/>
      <c r="M77" s="91"/>
      <c r="N77" s="134">
        <f t="shared" si="29"/>
        <v>6522570.8399999999</v>
      </c>
      <c r="O77" s="50" t="s">
        <v>391</v>
      </c>
      <c r="P77" s="24"/>
    </row>
    <row r="78" spans="1:16" s="18" customFormat="1" ht="93" thickTop="1" thickBot="1" x14ac:dyDescent="0.25">
      <c r="A78" s="58" t="s">
        <v>169</v>
      </c>
      <c r="B78" s="70" t="s">
        <v>170</v>
      </c>
      <c r="C78" s="70" t="s">
        <v>165</v>
      </c>
      <c r="D78" s="139" t="s">
        <v>532</v>
      </c>
      <c r="E78" s="133">
        <v>4424235</v>
      </c>
      <c r="F78" s="133">
        <v>3350390</v>
      </c>
      <c r="G78" s="133">
        <v>2651566.44</v>
      </c>
      <c r="H78" s="131">
        <f t="shared" si="35"/>
        <v>0.7914202346592486</v>
      </c>
      <c r="I78" s="133"/>
      <c r="J78" s="133"/>
      <c r="K78" s="131"/>
      <c r="L78" s="88"/>
      <c r="M78" s="89"/>
      <c r="N78" s="133">
        <f t="shared" si="29"/>
        <v>2651566.44</v>
      </c>
      <c r="O78" s="20"/>
      <c r="P78" s="24"/>
    </row>
    <row r="79" spans="1:16" s="18" customFormat="1" ht="96" customHeight="1" thickTop="1" thickBot="1" x14ac:dyDescent="0.25">
      <c r="A79" s="58" t="s">
        <v>171</v>
      </c>
      <c r="B79" s="70" t="s">
        <v>172</v>
      </c>
      <c r="C79" s="70" t="s">
        <v>165</v>
      </c>
      <c r="D79" s="139" t="s">
        <v>533</v>
      </c>
      <c r="E79" s="133">
        <v>5289500</v>
      </c>
      <c r="F79" s="133">
        <v>4638147</v>
      </c>
      <c r="G79" s="133">
        <v>3871004.4</v>
      </c>
      <c r="H79" s="131">
        <f t="shared" si="35"/>
        <v>0.83460149063839506</v>
      </c>
      <c r="I79" s="133"/>
      <c r="J79" s="133"/>
      <c r="K79" s="133"/>
      <c r="L79" s="88"/>
      <c r="M79" s="89"/>
      <c r="N79" s="133">
        <f t="shared" si="29"/>
        <v>3871004.4</v>
      </c>
      <c r="O79" s="20"/>
      <c r="P79" s="24"/>
    </row>
    <row r="80" spans="1:16" s="18" customFormat="1" ht="123" hidden="1" thickTop="1" thickBot="1" x14ac:dyDescent="0.25">
      <c r="A80" s="58"/>
      <c r="B80" s="90" t="s">
        <v>511</v>
      </c>
      <c r="C80" s="90"/>
      <c r="D80" s="90" t="s">
        <v>510</v>
      </c>
      <c r="E80" s="91">
        <f>E81</f>
        <v>0</v>
      </c>
      <c r="F80" s="91">
        <f>F81</f>
        <v>0</v>
      </c>
      <c r="G80" s="91">
        <f>G81</f>
        <v>0</v>
      </c>
      <c r="H80" s="92">
        <v>0</v>
      </c>
      <c r="I80" s="91">
        <v>0</v>
      </c>
      <c r="J80" s="91">
        <v>0</v>
      </c>
      <c r="K80" s="92">
        <v>0</v>
      </c>
      <c r="L80" s="91"/>
      <c r="M80" s="91"/>
      <c r="N80" s="91">
        <f t="shared" ref="N80:N81" si="36">G80+J80</f>
        <v>0</v>
      </c>
      <c r="O80" s="50" t="s">
        <v>391</v>
      </c>
      <c r="P80" s="24"/>
    </row>
    <row r="81" spans="1:18" s="18" customFormat="1" ht="184.5" hidden="1" thickTop="1" thickBot="1" x14ac:dyDescent="0.25">
      <c r="A81" s="58"/>
      <c r="B81" s="87" t="s">
        <v>512</v>
      </c>
      <c r="C81" s="87" t="s">
        <v>165</v>
      </c>
      <c r="D81" s="127" t="s">
        <v>513</v>
      </c>
      <c r="E81" s="88"/>
      <c r="F81" s="88"/>
      <c r="G81" s="88"/>
      <c r="H81" s="86">
        <v>0</v>
      </c>
      <c r="I81" s="88">
        <v>0</v>
      </c>
      <c r="J81" s="88">
        <v>0</v>
      </c>
      <c r="K81" s="86">
        <v>0</v>
      </c>
      <c r="L81" s="88"/>
      <c r="M81" s="89"/>
      <c r="N81" s="88">
        <f t="shared" si="36"/>
        <v>0</v>
      </c>
      <c r="O81" s="50" t="s">
        <v>391</v>
      </c>
      <c r="P81" s="24"/>
    </row>
    <row r="82" spans="1:18" s="18" customFormat="1" ht="62.25" thickTop="1" thickBot="1" x14ac:dyDescent="0.25">
      <c r="A82" s="58"/>
      <c r="B82" s="70" t="s">
        <v>590</v>
      </c>
      <c r="C82" s="70" t="s">
        <v>165</v>
      </c>
      <c r="D82" s="70" t="s">
        <v>591</v>
      </c>
      <c r="E82" s="133"/>
      <c r="F82" s="133"/>
      <c r="G82" s="133"/>
      <c r="H82" s="131"/>
      <c r="I82" s="133">
        <v>2585828</v>
      </c>
      <c r="J82" s="133">
        <v>0</v>
      </c>
      <c r="K82" s="131">
        <f>J82/I82</f>
        <v>0</v>
      </c>
      <c r="L82" s="133"/>
      <c r="M82" s="158"/>
      <c r="N82" s="133">
        <f t="shared" si="29"/>
        <v>0</v>
      </c>
      <c r="O82" s="183"/>
      <c r="P82" s="184"/>
    </row>
    <row r="83" spans="1:18" ht="99" customHeight="1" thickTop="1" thickBot="1" x14ac:dyDescent="0.25">
      <c r="A83" s="57" t="s">
        <v>174</v>
      </c>
      <c r="B83" s="120" t="s">
        <v>127</v>
      </c>
      <c r="C83" s="120"/>
      <c r="D83" s="121" t="s">
        <v>128</v>
      </c>
      <c r="E83" s="122">
        <f>SUM(E84:E136)-E84-E93-E110-E132-E107-E98-E102-E114-E97</f>
        <v>456364191.44999993</v>
      </c>
      <c r="F83" s="122">
        <f>SUM(F84:F136)-F84-F93-F110-F132-F107-F98-F102-F114-F97</f>
        <v>378129303.59999996</v>
      </c>
      <c r="G83" s="122">
        <f>SUM(G84:G136)-G84-G93-G110-G132-G107-G98-G102-G114-G97</f>
        <v>339610022.84999996</v>
      </c>
      <c r="H83" s="123">
        <f>G83/F83</f>
        <v>0.89813198717138509</v>
      </c>
      <c r="I83" s="122">
        <f>SUM(I84:I136)-I84-I93-I110-I132-I107-I98-I102-I114-I97</f>
        <v>145085122.19</v>
      </c>
      <c r="J83" s="122">
        <f>SUM(J84:J136)-J84-J93-J110-J132-J107-J98-J102-J114-J97</f>
        <v>95241426.590000004</v>
      </c>
      <c r="K83" s="124">
        <f>J83/I83</f>
        <v>0.65645205485145552</v>
      </c>
      <c r="L83" s="122"/>
      <c r="M83" s="122"/>
      <c r="N83" s="125">
        <f>J83+G83</f>
        <v>434851449.43999994</v>
      </c>
      <c r="O83" s="53" t="b">
        <f>N83=N85+N86+N87+N88+N89+N90+N91+N92+N94+N95+N99+N103+N104++N105+N106+N108+N109+N111+N112+N113+N131+N133+N134+N136+N101+N97+N128+N135</f>
        <v>1</v>
      </c>
      <c r="P83" s="26"/>
      <c r="R83" s="25"/>
    </row>
    <row r="84" spans="1:18" ht="276" customHeight="1" thickTop="1" thickBot="1" x14ac:dyDescent="0.25">
      <c r="A84" s="59" t="s">
        <v>175</v>
      </c>
      <c r="B84" s="71" t="s">
        <v>176</v>
      </c>
      <c r="C84" s="71"/>
      <c r="D84" s="71" t="s">
        <v>534</v>
      </c>
      <c r="E84" s="134">
        <f t="shared" ref="E84:J84" si="37">SUM(E85:E89)</f>
        <v>108784300</v>
      </c>
      <c r="F84" s="134">
        <f t="shared" si="37"/>
        <v>75728316</v>
      </c>
      <c r="G84" s="134">
        <f t="shared" si="37"/>
        <v>75163008.079999998</v>
      </c>
      <c r="H84" s="135">
        <f>G84/F84</f>
        <v>0.99253505227819927</v>
      </c>
      <c r="I84" s="134">
        <f t="shared" si="37"/>
        <v>50000</v>
      </c>
      <c r="J84" s="134">
        <f t="shared" si="37"/>
        <v>0</v>
      </c>
      <c r="K84" s="135">
        <f t="shared" ref="K84:K85" si="38">J84/I84</f>
        <v>0</v>
      </c>
      <c r="L84" s="134"/>
      <c r="M84" s="134"/>
      <c r="N84" s="134">
        <f t="shared" si="29"/>
        <v>75163008.079999998</v>
      </c>
      <c r="O84" s="27"/>
      <c r="P84" s="28"/>
      <c r="R84" s="29"/>
    </row>
    <row r="85" spans="1:18" s="18" customFormat="1" ht="93" thickTop="1" thickBot="1" x14ac:dyDescent="0.25">
      <c r="A85" s="58" t="s">
        <v>177</v>
      </c>
      <c r="B85" s="70" t="s">
        <v>178</v>
      </c>
      <c r="C85" s="70" t="s">
        <v>76</v>
      </c>
      <c r="D85" s="140" t="s">
        <v>179</v>
      </c>
      <c r="E85" s="133">
        <v>858000</v>
      </c>
      <c r="F85" s="133">
        <v>708000</v>
      </c>
      <c r="G85" s="133">
        <v>630097.63</v>
      </c>
      <c r="H85" s="131">
        <f>G85/F85</f>
        <v>0.88996840395480226</v>
      </c>
      <c r="I85" s="133">
        <v>50000</v>
      </c>
      <c r="J85" s="133">
        <v>0</v>
      </c>
      <c r="K85" s="131">
        <f t="shared" si="38"/>
        <v>0</v>
      </c>
      <c r="L85" s="133"/>
      <c r="M85" s="158"/>
      <c r="N85" s="133">
        <f t="shared" si="29"/>
        <v>630097.63</v>
      </c>
      <c r="O85" s="20"/>
      <c r="P85" s="26"/>
    </row>
    <row r="86" spans="1:18" s="18" customFormat="1" ht="93" thickTop="1" thickBot="1" x14ac:dyDescent="0.25">
      <c r="A86" s="58" t="s">
        <v>180</v>
      </c>
      <c r="B86" s="70" t="s">
        <v>181</v>
      </c>
      <c r="C86" s="70" t="s">
        <v>85</v>
      </c>
      <c r="D86" s="70" t="s">
        <v>182</v>
      </c>
      <c r="E86" s="133">
        <v>650000</v>
      </c>
      <c r="F86" s="133">
        <v>480000</v>
      </c>
      <c r="G86" s="133">
        <v>253522.37</v>
      </c>
      <c r="H86" s="131">
        <f t="shared" ref="H86:H134" si="39">G86/F86</f>
        <v>0.52817160416666664</v>
      </c>
      <c r="I86" s="133"/>
      <c r="J86" s="133"/>
      <c r="K86" s="133"/>
      <c r="L86" s="133"/>
      <c r="M86" s="158"/>
      <c r="N86" s="133">
        <f t="shared" si="29"/>
        <v>253522.37</v>
      </c>
      <c r="O86" s="20"/>
      <c r="P86" s="30"/>
    </row>
    <row r="87" spans="1:18" s="18" customFormat="1" ht="138.75" thickTop="1" thickBot="1" x14ac:dyDescent="0.25">
      <c r="A87" s="58" t="s">
        <v>183</v>
      </c>
      <c r="B87" s="70" t="s">
        <v>184</v>
      </c>
      <c r="C87" s="70" t="s">
        <v>85</v>
      </c>
      <c r="D87" s="70" t="s">
        <v>598</v>
      </c>
      <c r="E87" s="133">
        <v>40000000</v>
      </c>
      <c r="F87" s="133">
        <v>28320000</v>
      </c>
      <c r="G87" s="133">
        <v>28234894.93</v>
      </c>
      <c r="H87" s="131">
        <f t="shared" si="39"/>
        <v>0.99699487747175142</v>
      </c>
      <c r="I87" s="133"/>
      <c r="J87" s="133"/>
      <c r="K87" s="133"/>
      <c r="L87" s="133"/>
      <c r="M87" s="158"/>
      <c r="N87" s="133">
        <f t="shared" si="29"/>
        <v>28234894.93</v>
      </c>
      <c r="O87" s="20"/>
      <c r="P87" s="30"/>
    </row>
    <row r="88" spans="1:18" s="18" customFormat="1" ht="138.75" thickTop="1" thickBot="1" x14ac:dyDescent="0.25">
      <c r="A88" s="58" t="s">
        <v>185</v>
      </c>
      <c r="B88" s="70" t="s">
        <v>186</v>
      </c>
      <c r="C88" s="70" t="s">
        <v>85</v>
      </c>
      <c r="D88" s="70" t="s">
        <v>187</v>
      </c>
      <c r="E88" s="133">
        <v>800000</v>
      </c>
      <c r="F88" s="133">
        <v>609000</v>
      </c>
      <c r="G88" s="133">
        <v>538705.15</v>
      </c>
      <c r="H88" s="131">
        <f t="shared" si="39"/>
        <v>0.88457331691297214</v>
      </c>
      <c r="I88" s="133"/>
      <c r="J88" s="133"/>
      <c r="K88" s="133"/>
      <c r="L88" s="133"/>
      <c r="M88" s="158"/>
      <c r="N88" s="133">
        <f t="shared" si="29"/>
        <v>538705.15</v>
      </c>
      <c r="O88" s="50"/>
      <c r="P88" s="30"/>
    </row>
    <row r="89" spans="1:18" s="18" customFormat="1" ht="138.75" thickTop="1" thickBot="1" x14ac:dyDescent="0.25">
      <c r="A89" s="58" t="s">
        <v>188</v>
      </c>
      <c r="B89" s="70" t="s">
        <v>189</v>
      </c>
      <c r="C89" s="70" t="s">
        <v>85</v>
      </c>
      <c r="D89" s="70" t="s">
        <v>190</v>
      </c>
      <c r="E89" s="133">
        <v>66476300</v>
      </c>
      <c r="F89" s="133">
        <v>45611316</v>
      </c>
      <c r="G89" s="133">
        <v>45505788</v>
      </c>
      <c r="H89" s="131">
        <f t="shared" si="39"/>
        <v>0.99768636362081731</v>
      </c>
      <c r="I89" s="133"/>
      <c r="J89" s="133"/>
      <c r="K89" s="133"/>
      <c r="L89" s="133"/>
      <c r="M89" s="158"/>
      <c r="N89" s="133">
        <f t="shared" si="29"/>
        <v>45505788</v>
      </c>
      <c r="O89" s="20"/>
      <c r="P89" s="30"/>
    </row>
    <row r="90" spans="1:18" s="18" customFormat="1" ht="138.75" thickTop="1" thickBot="1" x14ac:dyDescent="0.25">
      <c r="A90" s="58" t="s">
        <v>191</v>
      </c>
      <c r="B90" s="70" t="s">
        <v>192</v>
      </c>
      <c r="C90" s="70" t="s">
        <v>85</v>
      </c>
      <c r="D90" s="70" t="s">
        <v>193</v>
      </c>
      <c r="E90" s="133">
        <v>381295</v>
      </c>
      <c r="F90" s="133">
        <v>285971</v>
      </c>
      <c r="G90" s="133">
        <v>237183</v>
      </c>
      <c r="H90" s="131">
        <f t="shared" si="39"/>
        <v>0.82939528833343246</v>
      </c>
      <c r="I90" s="133"/>
      <c r="J90" s="133"/>
      <c r="K90" s="133"/>
      <c r="L90" s="133"/>
      <c r="M90" s="158"/>
      <c r="N90" s="133">
        <f t="shared" si="29"/>
        <v>237183</v>
      </c>
      <c r="O90" s="20"/>
      <c r="P90" s="30"/>
    </row>
    <row r="91" spans="1:18" s="18" customFormat="1" ht="165" customHeight="1" thickTop="1" thickBot="1" x14ac:dyDescent="0.25">
      <c r="A91" s="58"/>
      <c r="B91" s="70" t="s">
        <v>194</v>
      </c>
      <c r="C91" s="70" t="s">
        <v>85</v>
      </c>
      <c r="D91" s="70" t="s">
        <v>195</v>
      </c>
      <c r="E91" s="133">
        <v>2000000</v>
      </c>
      <c r="F91" s="133">
        <v>1900000</v>
      </c>
      <c r="G91" s="133">
        <v>1365996.42</v>
      </c>
      <c r="H91" s="131">
        <f t="shared" si="39"/>
        <v>0.71894548421052629</v>
      </c>
      <c r="I91" s="133"/>
      <c r="J91" s="133"/>
      <c r="K91" s="133"/>
      <c r="L91" s="133"/>
      <c r="M91" s="158"/>
      <c r="N91" s="133">
        <f>G91+J91</f>
        <v>1365996.42</v>
      </c>
      <c r="O91" s="50"/>
      <c r="P91" s="30"/>
    </row>
    <row r="92" spans="1:18" ht="93" thickTop="1" thickBot="1" x14ac:dyDescent="0.25">
      <c r="A92" s="58" t="s">
        <v>196</v>
      </c>
      <c r="B92" s="70" t="s">
        <v>197</v>
      </c>
      <c r="C92" s="70" t="s">
        <v>76</v>
      </c>
      <c r="D92" s="70" t="s">
        <v>198</v>
      </c>
      <c r="E92" s="133">
        <v>900640</v>
      </c>
      <c r="F92" s="133">
        <v>676367</v>
      </c>
      <c r="G92" s="133">
        <v>550298.66</v>
      </c>
      <c r="H92" s="131">
        <f t="shared" si="39"/>
        <v>0.81360956403845841</v>
      </c>
      <c r="I92" s="133"/>
      <c r="J92" s="133"/>
      <c r="K92" s="133"/>
      <c r="L92" s="133"/>
      <c r="M92" s="158"/>
      <c r="N92" s="133">
        <f t="shared" si="29"/>
        <v>550298.66</v>
      </c>
      <c r="P92" s="30"/>
    </row>
    <row r="93" spans="1:18" s="18" customFormat="1" ht="184.5" thickTop="1" thickBot="1" x14ac:dyDescent="0.25">
      <c r="A93" s="71" t="s">
        <v>199</v>
      </c>
      <c r="B93" s="71" t="s">
        <v>200</v>
      </c>
      <c r="C93" s="71"/>
      <c r="D93" s="71" t="s">
        <v>201</v>
      </c>
      <c r="E93" s="134">
        <f t="shared" ref="E93:J93" si="40">SUM(E94:E95)</f>
        <v>69911500.260000005</v>
      </c>
      <c r="F93" s="134">
        <f t="shared" si="40"/>
        <v>51047445.259999998</v>
      </c>
      <c r="G93" s="134">
        <f t="shared" si="40"/>
        <v>46615215.109999999</v>
      </c>
      <c r="H93" s="135">
        <f t="shared" si="39"/>
        <v>0.91317430035087321</v>
      </c>
      <c r="I93" s="134">
        <f t="shared" si="40"/>
        <v>4263760.91</v>
      </c>
      <c r="J93" s="134">
        <f t="shared" si="40"/>
        <v>3356073.51</v>
      </c>
      <c r="K93" s="135">
        <f t="shared" ref="K93:K100" si="41">J93/I93</f>
        <v>0.78711578365682788</v>
      </c>
      <c r="L93" s="134"/>
      <c r="M93" s="134"/>
      <c r="N93" s="134">
        <f t="shared" si="29"/>
        <v>49971288.619999997</v>
      </c>
      <c r="O93" s="20"/>
      <c r="P93" s="31"/>
    </row>
    <row r="94" spans="1:18" ht="184.5" thickTop="1" thickBot="1" x14ac:dyDescent="0.25">
      <c r="A94" s="70" t="s">
        <v>202</v>
      </c>
      <c r="B94" s="70" t="s">
        <v>203</v>
      </c>
      <c r="C94" s="70" t="s">
        <v>67</v>
      </c>
      <c r="D94" s="70" t="s">
        <v>204</v>
      </c>
      <c r="E94" s="133">
        <v>55638931</v>
      </c>
      <c r="F94" s="133">
        <v>40962455</v>
      </c>
      <c r="G94" s="133">
        <v>37948364.25</v>
      </c>
      <c r="H94" s="131">
        <f t="shared" si="39"/>
        <v>0.92641821028549187</v>
      </c>
      <c r="I94" s="133">
        <v>3609920.23</v>
      </c>
      <c r="J94" s="133">
        <v>3084846.44</v>
      </c>
      <c r="K94" s="131">
        <f t="shared" si="41"/>
        <v>0.85454698260742457</v>
      </c>
      <c r="L94" s="133"/>
      <c r="M94" s="158"/>
      <c r="N94" s="133">
        <f t="shared" si="29"/>
        <v>41033210.689999998</v>
      </c>
      <c r="P94" s="26"/>
    </row>
    <row r="95" spans="1:18" ht="93" thickTop="1" thickBot="1" x14ac:dyDescent="0.25">
      <c r="A95" s="58" t="s">
        <v>205</v>
      </c>
      <c r="B95" s="70" t="s">
        <v>206</v>
      </c>
      <c r="C95" s="70" t="s">
        <v>63</v>
      </c>
      <c r="D95" s="70" t="s">
        <v>207</v>
      </c>
      <c r="E95" s="133">
        <v>14272569.26</v>
      </c>
      <c r="F95" s="133">
        <v>10084990.26</v>
      </c>
      <c r="G95" s="133">
        <v>8666850.8599999994</v>
      </c>
      <c r="H95" s="131">
        <f t="shared" si="39"/>
        <v>0.85938118298192578</v>
      </c>
      <c r="I95" s="133">
        <v>653840.68000000005</v>
      </c>
      <c r="J95" s="133">
        <v>271227.07</v>
      </c>
      <c r="K95" s="131">
        <f t="shared" si="41"/>
        <v>0.41482134455139741</v>
      </c>
      <c r="L95" s="133"/>
      <c r="M95" s="158"/>
      <c r="N95" s="133">
        <f t="shared" si="29"/>
        <v>8938077.9299999997</v>
      </c>
      <c r="P95" s="26"/>
    </row>
    <row r="96" spans="1:18" ht="123" thickTop="1" thickBot="1" x14ac:dyDescent="0.25">
      <c r="A96" s="58"/>
      <c r="B96" s="71" t="s">
        <v>585</v>
      </c>
      <c r="C96" s="71"/>
      <c r="D96" s="71" t="s">
        <v>586</v>
      </c>
      <c r="E96" s="134">
        <f>E97</f>
        <v>44745</v>
      </c>
      <c r="F96" s="134">
        <f>F97</f>
        <v>44745</v>
      </c>
      <c r="G96" s="134">
        <f>G97</f>
        <v>0</v>
      </c>
      <c r="H96" s="135">
        <f t="shared" ref="H96:H97" si="42">G96/F96</f>
        <v>0</v>
      </c>
      <c r="I96" s="134"/>
      <c r="J96" s="134"/>
      <c r="K96" s="135">
        <v>0</v>
      </c>
      <c r="L96" s="134"/>
      <c r="M96" s="134"/>
      <c r="N96" s="134">
        <f t="shared" ref="N96:N97" si="43">G96+J96</f>
        <v>0</v>
      </c>
      <c r="O96" s="50" t="s">
        <v>391</v>
      </c>
      <c r="P96" s="26"/>
    </row>
    <row r="97" spans="1:16" ht="184.5" thickTop="1" thickBot="1" x14ac:dyDescent="0.25">
      <c r="A97" s="58"/>
      <c r="B97" s="70" t="s">
        <v>587</v>
      </c>
      <c r="C97" s="70" t="s">
        <v>129</v>
      </c>
      <c r="D97" s="70" t="s">
        <v>588</v>
      </c>
      <c r="E97" s="133">
        <v>44745</v>
      </c>
      <c r="F97" s="133">
        <v>44745</v>
      </c>
      <c r="G97" s="133">
        <v>0</v>
      </c>
      <c r="H97" s="131">
        <f t="shared" si="42"/>
        <v>0</v>
      </c>
      <c r="I97" s="133"/>
      <c r="J97" s="133"/>
      <c r="K97" s="131"/>
      <c r="L97" s="133"/>
      <c r="M97" s="158"/>
      <c r="N97" s="133">
        <f t="shared" si="43"/>
        <v>0</v>
      </c>
      <c r="P97" s="26"/>
    </row>
    <row r="98" spans="1:16" ht="93" thickTop="1" thickBot="1" x14ac:dyDescent="0.25">
      <c r="A98" s="58"/>
      <c r="B98" s="71" t="s">
        <v>269</v>
      </c>
      <c r="C98" s="71"/>
      <c r="D98" s="71" t="s">
        <v>270</v>
      </c>
      <c r="E98" s="141">
        <f>E99+E100+E101</f>
        <v>13584055</v>
      </c>
      <c r="F98" s="141">
        <f t="shared" ref="F98:G98" si="44">F99+F100+F101</f>
        <v>10189473</v>
      </c>
      <c r="G98" s="141">
        <f t="shared" si="44"/>
        <v>9178578.1099999994</v>
      </c>
      <c r="H98" s="135">
        <f t="shared" si="39"/>
        <v>0.90079026756339597</v>
      </c>
      <c r="I98" s="141">
        <f>I99+I100+I101</f>
        <v>230448.79</v>
      </c>
      <c r="J98" s="141">
        <f>J99+J100+J101</f>
        <v>150848.79</v>
      </c>
      <c r="K98" s="135">
        <f t="shared" si="41"/>
        <v>0.65458703428210663</v>
      </c>
      <c r="L98" s="141"/>
      <c r="M98" s="141"/>
      <c r="N98" s="134">
        <f>G98+J98</f>
        <v>9329426.8999999985</v>
      </c>
      <c r="O98" s="50"/>
      <c r="P98" s="26"/>
    </row>
    <row r="99" spans="1:16" ht="276" thickTop="1" thickBot="1" x14ac:dyDescent="0.25">
      <c r="A99" s="58"/>
      <c r="B99" s="70" t="s">
        <v>271</v>
      </c>
      <c r="C99" s="70" t="s">
        <v>129</v>
      </c>
      <c r="D99" s="70" t="s">
        <v>535</v>
      </c>
      <c r="E99" s="142">
        <v>9136023</v>
      </c>
      <c r="F99" s="142">
        <v>6955506</v>
      </c>
      <c r="G99" s="142">
        <v>6208117.6600000001</v>
      </c>
      <c r="H99" s="131">
        <f t="shared" si="39"/>
        <v>0.89254723667839553</v>
      </c>
      <c r="I99" s="142">
        <v>230448.79</v>
      </c>
      <c r="J99" s="161">
        <v>150848.79</v>
      </c>
      <c r="K99" s="131">
        <f t="shared" si="41"/>
        <v>0.65458703428210663</v>
      </c>
      <c r="L99" s="109"/>
      <c r="M99" s="89"/>
      <c r="N99" s="133">
        <f t="shared" si="29"/>
        <v>6358966.4500000002</v>
      </c>
      <c r="P99" s="26"/>
    </row>
    <row r="100" spans="1:16" ht="276" hidden="1" customHeight="1" thickTop="1" thickBot="1" x14ac:dyDescent="0.25">
      <c r="A100" s="58"/>
      <c r="B100" s="103" t="s">
        <v>412</v>
      </c>
      <c r="C100" s="103" t="s">
        <v>129</v>
      </c>
      <c r="D100" s="103" t="s">
        <v>413</v>
      </c>
      <c r="E100" s="110"/>
      <c r="F100" s="110"/>
      <c r="G100" s="110"/>
      <c r="H100" s="86" t="e">
        <f t="shared" si="39"/>
        <v>#DIV/0!</v>
      </c>
      <c r="I100" s="110"/>
      <c r="J100" s="111"/>
      <c r="K100" s="99" t="e">
        <f t="shared" si="41"/>
        <v>#DIV/0!</v>
      </c>
      <c r="L100" s="111"/>
      <c r="M100" s="104"/>
      <c r="N100" s="98">
        <f t="shared" si="29"/>
        <v>0</v>
      </c>
      <c r="P100" s="26"/>
    </row>
    <row r="101" spans="1:16" ht="174" customHeight="1" thickTop="1" thickBot="1" x14ac:dyDescent="0.25">
      <c r="A101" s="58"/>
      <c r="B101" s="70" t="s">
        <v>412</v>
      </c>
      <c r="C101" s="70" t="s">
        <v>129</v>
      </c>
      <c r="D101" s="70" t="s">
        <v>536</v>
      </c>
      <c r="E101" s="142">
        <v>4448032</v>
      </c>
      <c r="F101" s="142">
        <v>3233967</v>
      </c>
      <c r="G101" s="142">
        <v>2970460.45</v>
      </c>
      <c r="H101" s="131">
        <f t="shared" si="39"/>
        <v>0.91851909744286198</v>
      </c>
      <c r="I101" s="166"/>
      <c r="J101" s="162"/>
      <c r="K101" s="167"/>
      <c r="L101" s="162"/>
      <c r="M101" s="168"/>
      <c r="N101" s="133">
        <f t="shared" si="29"/>
        <v>2970460.45</v>
      </c>
      <c r="P101" s="26"/>
    </row>
    <row r="102" spans="1:16" ht="138.75" thickTop="1" thickBot="1" x14ac:dyDescent="0.25">
      <c r="A102" s="70"/>
      <c r="B102" s="71" t="s">
        <v>272</v>
      </c>
      <c r="C102" s="71"/>
      <c r="D102" s="71" t="s">
        <v>537</v>
      </c>
      <c r="E102" s="143">
        <f t="shared" ref="E102:G102" si="45">SUM(E103:E104)</f>
        <v>14791326.65</v>
      </c>
      <c r="F102" s="143">
        <f t="shared" si="45"/>
        <v>10642171.800000001</v>
      </c>
      <c r="G102" s="143">
        <f t="shared" si="45"/>
        <v>9876658.5700000003</v>
      </c>
      <c r="H102" s="135">
        <f t="shared" si="39"/>
        <v>0.92806795037832401</v>
      </c>
      <c r="I102" s="143">
        <f t="shared" ref="I102:J102" si="46">SUM(I103:I104)</f>
        <v>1082641</v>
      </c>
      <c r="J102" s="143">
        <f t="shared" si="46"/>
        <v>793760.31</v>
      </c>
      <c r="K102" s="135">
        <f t="shared" ref="K102:K104" si="47">J102/I102</f>
        <v>0.73317037688393483</v>
      </c>
      <c r="L102" s="143"/>
      <c r="M102" s="143"/>
      <c r="N102" s="134">
        <f t="shared" si="29"/>
        <v>10670418.880000001</v>
      </c>
      <c r="P102" s="26"/>
    </row>
    <row r="103" spans="1:16" ht="138.75" thickTop="1" thickBot="1" x14ac:dyDescent="0.25">
      <c r="A103" s="70"/>
      <c r="B103" s="70" t="s">
        <v>273</v>
      </c>
      <c r="C103" s="70" t="s">
        <v>129</v>
      </c>
      <c r="D103" s="70" t="s">
        <v>538</v>
      </c>
      <c r="E103" s="142">
        <v>6064270</v>
      </c>
      <c r="F103" s="142">
        <v>4411366</v>
      </c>
      <c r="G103" s="142">
        <v>4289330.8099999996</v>
      </c>
      <c r="H103" s="131">
        <f t="shared" si="39"/>
        <v>0.97233619019596185</v>
      </c>
      <c r="I103" s="142">
        <v>1075641</v>
      </c>
      <c r="J103" s="161">
        <v>793760.31</v>
      </c>
      <c r="K103" s="131">
        <f t="shared" si="47"/>
        <v>0.73794166455164878</v>
      </c>
      <c r="L103" s="161"/>
      <c r="M103" s="158"/>
      <c r="N103" s="133">
        <f t="shared" si="29"/>
        <v>5083091.1199999992</v>
      </c>
      <c r="P103" s="26"/>
    </row>
    <row r="104" spans="1:16" ht="138.75" thickTop="1" thickBot="1" x14ac:dyDescent="0.25">
      <c r="A104" s="70"/>
      <c r="B104" s="70" t="s">
        <v>274</v>
      </c>
      <c r="C104" s="70" t="s">
        <v>129</v>
      </c>
      <c r="D104" s="70" t="s">
        <v>539</v>
      </c>
      <c r="E104" s="142">
        <v>8727056.6500000004</v>
      </c>
      <c r="F104" s="142">
        <v>6230805.7999999998</v>
      </c>
      <c r="G104" s="142">
        <v>5587327.7599999998</v>
      </c>
      <c r="H104" s="131">
        <f t="shared" si="39"/>
        <v>0.89672635279372692</v>
      </c>
      <c r="I104" s="142">
        <v>7000</v>
      </c>
      <c r="J104" s="161">
        <v>0</v>
      </c>
      <c r="K104" s="131">
        <f t="shared" si="47"/>
        <v>0</v>
      </c>
      <c r="L104" s="161"/>
      <c r="M104" s="158"/>
      <c r="N104" s="133">
        <f t="shared" si="29"/>
        <v>5587327.7599999998</v>
      </c>
      <c r="P104" s="26"/>
    </row>
    <row r="105" spans="1:16" ht="230.25" thickTop="1" thickBot="1" x14ac:dyDescent="0.25">
      <c r="A105" s="70"/>
      <c r="B105" s="70" t="s">
        <v>480</v>
      </c>
      <c r="C105" s="70" t="s">
        <v>129</v>
      </c>
      <c r="D105" s="70" t="s">
        <v>481</v>
      </c>
      <c r="E105" s="142">
        <v>715000</v>
      </c>
      <c r="F105" s="142">
        <v>715000</v>
      </c>
      <c r="G105" s="142">
        <v>0</v>
      </c>
      <c r="H105" s="131">
        <f t="shared" si="39"/>
        <v>0</v>
      </c>
      <c r="I105" s="138"/>
      <c r="J105" s="133"/>
      <c r="K105" s="133"/>
      <c r="L105" s="161"/>
      <c r="M105" s="158"/>
      <c r="N105" s="133">
        <f t="shared" ref="N105" si="48">G105+J105</f>
        <v>0</v>
      </c>
      <c r="O105" s="50"/>
      <c r="P105" s="26"/>
    </row>
    <row r="106" spans="1:16" ht="276" thickTop="1" thickBot="1" x14ac:dyDescent="0.25">
      <c r="A106" s="58" t="s">
        <v>208</v>
      </c>
      <c r="B106" s="70" t="s">
        <v>209</v>
      </c>
      <c r="C106" s="70" t="s">
        <v>63</v>
      </c>
      <c r="D106" s="70" t="s">
        <v>540</v>
      </c>
      <c r="E106" s="133">
        <v>9547200</v>
      </c>
      <c r="F106" s="133">
        <v>7160400</v>
      </c>
      <c r="G106" s="133">
        <v>5005927.41</v>
      </c>
      <c r="H106" s="131">
        <f t="shared" si="39"/>
        <v>0.69911281632311051</v>
      </c>
      <c r="I106" s="138"/>
      <c r="J106" s="133"/>
      <c r="K106" s="133"/>
      <c r="L106" s="133"/>
      <c r="M106" s="158"/>
      <c r="N106" s="133">
        <f t="shared" si="29"/>
        <v>5005927.41</v>
      </c>
      <c r="P106" s="30"/>
    </row>
    <row r="107" spans="1:16" ht="93" thickTop="1" thickBot="1" x14ac:dyDescent="0.25">
      <c r="A107" s="71" t="s">
        <v>210</v>
      </c>
      <c r="B107" s="71" t="s">
        <v>211</v>
      </c>
      <c r="C107" s="71"/>
      <c r="D107" s="71" t="s">
        <v>212</v>
      </c>
      <c r="E107" s="134">
        <f>E108</f>
        <v>160170</v>
      </c>
      <c r="F107" s="134">
        <f t="shared" ref="F107:G107" si="49">F108</f>
        <v>160170</v>
      </c>
      <c r="G107" s="134">
        <f t="shared" si="49"/>
        <v>141087.84</v>
      </c>
      <c r="H107" s="135">
        <f t="shared" si="39"/>
        <v>0.88086308297433979</v>
      </c>
      <c r="I107" s="134"/>
      <c r="J107" s="134"/>
      <c r="K107" s="135"/>
      <c r="L107" s="134"/>
      <c r="M107" s="134"/>
      <c r="N107" s="134">
        <f t="shared" si="29"/>
        <v>141087.84</v>
      </c>
      <c r="O107" s="50"/>
      <c r="P107" s="30"/>
    </row>
    <row r="108" spans="1:16" ht="184.5" thickTop="1" thickBot="1" x14ac:dyDescent="0.25">
      <c r="A108" s="70" t="s">
        <v>213</v>
      </c>
      <c r="B108" s="70" t="s">
        <v>214</v>
      </c>
      <c r="C108" s="70" t="s">
        <v>63</v>
      </c>
      <c r="D108" s="70" t="s">
        <v>215</v>
      </c>
      <c r="E108" s="133">
        <v>160170</v>
      </c>
      <c r="F108" s="133">
        <v>160170</v>
      </c>
      <c r="G108" s="133">
        <v>141087.84</v>
      </c>
      <c r="H108" s="131">
        <f t="shared" si="39"/>
        <v>0.88086308297433979</v>
      </c>
      <c r="I108" s="138"/>
      <c r="J108" s="133"/>
      <c r="K108" s="133"/>
      <c r="L108" s="133"/>
      <c r="M108" s="158"/>
      <c r="N108" s="133">
        <f t="shared" si="29"/>
        <v>141087.84</v>
      </c>
      <c r="P108" s="30"/>
    </row>
    <row r="109" spans="1:16" ht="230.25" thickTop="1" thickBot="1" x14ac:dyDescent="0.25">
      <c r="A109" s="58" t="s">
        <v>216</v>
      </c>
      <c r="B109" s="70" t="s">
        <v>217</v>
      </c>
      <c r="C109" s="70" t="s">
        <v>81</v>
      </c>
      <c r="D109" s="70" t="s">
        <v>218</v>
      </c>
      <c r="E109" s="133">
        <v>5175144</v>
      </c>
      <c r="F109" s="133">
        <v>3675000</v>
      </c>
      <c r="G109" s="133">
        <v>3255266.47</v>
      </c>
      <c r="H109" s="131">
        <f t="shared" si="39"/>
        <v>0.88578679455782316</v>
      </c>
      <c r="I109" s="138"/>
      <c r="J109" s="133"/>
      <c r="K109" s="133"/>
      <c r="L109" s="133"/>
      <c r="M109" s="158"/>
      <c r="N109" s="133">
        <f t="shared" si="29"/>
        <v>3255266.47</v>
      </c>
      <c r="P109" s="30"/>
    </row>
    <row r="110" spans="1:16" s="18" customFormat="1" ht="123" thickTop="1" thickBot="1" x14ac:dyDescent="0.25">
      <c r="A110" s="71" t="s">
        <v>219</v>
      </c>
      <c r="B110" s="71" t="s">
        <v>220</v>
      </c>
      <c r="C110" s="71"/>
      <c r="D110" s="71" t="s">
        <v>541</v>
      </c>
      <c r="E110" s="134">
        <f>SUM(E111:E112)</f>
        <v>5614770</v>
      </c>
      <c r="F110" s="134">
        <f>SUM(F111:F112)</f>
        <v>5614770</v>
      </c>
      <c r="G110" s="134">
        <f>SUM(G111:G112)</f>
        <v>2235627.61</v>
      </c>
      <c r="H110" s="135">
        <f t="shared" si="39"/>
        <v>0.39816904521467483</v>
      </c>
      <c r="I110" s="134">
        <f t="shared" ref="I110:J110" si="50">SUM(I111:I112)</f>
        <v>0</v>
      </c>
      <c r="J110" s="134">
        <f t="shared" si="50"/>
        <v>0</v>
      </c>
      <c r="K110" s="135">
        <v>0</v>
      </c>
      <c r="L110" s="134"/>
      <c r="M110" s="134"/>
      <c r="N110" s="134">
        <f>G110+J110</f>
        <v>2235627.61</v>
      </c>
      <c r="O110" s="50" t="s">
        <v>391</v>
      </c>
      <c r="P110" s="31"/>
    </row>
    <row r="111" spans="1:16" ht="138.75" thickTop="1" thickBot="1" x14ac:dyDescent="0.25">
      <c r="A111" s="70" t="s">
        <v>221</v>
      </c>
      <c r="B111" s="70" t="s">
        <v>222</v>
      </c>
      <c r="C111" s="70" t="s">
        <v>76</v>
      </c>
      <c r="D111" s="70" t="s">
        <v>223</v>
      </c>
      <c r="E111" s="133">
        <v>1810550</v>
      </c>
      <c r="F111" s="133">
        <v>1810550</v>
      </c>
      <c r="G111" s="133">
        <v>916045.45</v>
      </c>
      <c r="H111" s="131">
        <f t="shared" si="39"/>
        <v>0.50594871724061752</v>
      </c>
      <c r="I111" s="133"/>
      <c r="J111" s="133"/>
      <c r="K111" s="133"/>
      <c r="L111" s="133"/>
      <c r="M111" s="158"/>
      <c r="N111" s="133">
        <f t="shared" si="29"/>
        <v>916045.45</v>
      </c>
      <c r="P111" s="30"/>
    </row>
    <row r="112" spans="1:16" ht="230.25" thickTop="1" thickBot="1" x14ac:dyDescent="0.25">
      <c r="A112" s="70"/>
      <c r="B112" s="70" t="s">
        <v>571</v>
      </c>
      <c r="C112" s="70" t="s">
        <v>76</v>
      </c>
      <c r="D112" s="70" t="s">
        <v>572</v>
      </c>
      <c r="E112" s="133">
        <v>3804220</v>
      </c>
      <c r="F112" s="133">
        <v>3804220</v>
      </c>
      <c r="G112" s="133">
        <v>1319582.1599999999</v>
      </c>
      <c r="H112" s="131">
        <f t="shared" si="39"/>
        <v>0.34687325128410029</v>
      </c>
      <c r="I112" s="133"/>
      <c r="J112" s="133"/>
      <c r="K112" s="133"/>
      <c r="L112" s="133"/>
      <c r="M112" s="158"/>
      <c r="N112" s="133">
        <f t="shared" si="29"/>
        <v>1319582.1599999999</v>
      </c>
      <c r="P112" s="30"/>
    </row>
    <row r="113" spans="1:16" ht="93" thickTop="1" thickBot="1" x14ac:dyDescent="0.25">
      <c r="A113" s="70" t="s">
        <v>224</v>
      </c>
      <c r="B113" s="70" t="s">
        <v>225</v>
      </c>
      <c r="C113" s="70" t="s">
        <v>226</v>
      </c>
      <c r="D113" s="70" t="s">
        <v>227</v>
      </c>
      <c r="E113" s="133">
        <v>117000</v>
      </c>
      <c r="F113" s="133">
        <v>87750</v>
      </c>
      <c r="G113" s="133">
        <v>32330.02</v>
      </c>
      <c r="H113" s="131">
        <f t="shared" si="39"/>
        <v>0.36843327635327638</v>
      </c>
      <c r="I113" s="133">
        <v>32330.01</v>
      </c>
      <c r="J113" s="133">
        <v>32330.01</v>
      </c>
      <c r="K113" s="131">
        <f>J113/I113</f>
        <v>1</v>
      </c>
      <c r="L113" s="133"/>
      <c r="M113" s="158"/>
      <c r="N113" s="133">
        <f>G113+J113</f>
        <v>64660.03</v>
      </c>
      <c r="P113" s="30"/>
    </row>
    <row r="114" spans="1:16" ht="138.75" thickTop="1" thickBot="1" x14ac:dyDescent="0.25">
      <c r="A114" s="70"/>
      <c r="B114" s="71" t="s">
        <v>424</v>
      </c>
      <c r="C114" s="71"/>
      <c r="D114" s="71" t="s">
        <v>425</v>
      </c>
      <c r="E114" s="134">
        <f>SUM(E115:E128)</f>
        <v>0</v>
      </c>
      <c r="F114" s="134">
        <f>SUM(F115:F128)</f>
        <v>0</v>
      </c>
      <c r="G114" s="134">
        <f>SUM(G115:G128)</f>
        <v>0</v>
      </c>
      <c r="H114" s="131">
        <v>0</v>
      </c>
      <c r="I114" s="134">
        <f>SUM(I115:I128)</f>
        <v>44763277.100000001</v>
      </c>
      <c r="J114" s="134">
        <f>SUM(J115:J128)</f>
        <v>32918876.48</v>
      </c>
      <c r="K114" s="135">
        <f>J114/I114</f>
        <v>0.73539916227447077</v>
      </c>
      <c r="L114" s="88"/>
      <c r="M114" s="89"/>
      <c r="N114" s="134">
        <f>G114+J114</f>
        <v>32918876.48</v>
      </c>
      <c r="O114" s="50" t="s">
        <v>391</v>
      </c>
      <c r="P114" s="30"/>
    </row>
    <row r="115" spans="1:16" ht="276" hidden="1" thickTop="1" thickBot="1" x14ac:dyDescent="0.7">
      <c r="A115" s="70"/>
      <c r="B115" s="196" t="s">
        <v>426</v>
      </c>
      <c r="C115" s="196" t="s">
        <v>81</v>
      </c>
      <c r="D115" s="112" t="s">
        <v>427</v>
      </c>
      <c r="E115" s="190"/>
      <c r="F115" s="190"/>
      <c r="G115" s="190"/>
      <c r="H115" s="190"/>
      <c r="I115" s="190"/>
      <c r="J115" s="190"/>
      <c r="K115" s="187" t="e">
        <f>J115/I115</f>
        <v>#DIV/0!</v>
      </c>
      <c r="L115" s="88"/>
      <c r="M115" s="89"/>
      <c r="N115" s="190">
        <f>G115+J115</f>
        <v>0</v>
      </c>
      <c r="P115" s="30"/>
    </row>
    <row r="116" spans="1:16" ht="276" hidden="1" thickTop="1" thickBot="1" x14ac:dyDescent="0.25">
      <c r="A116" s="70"/>
      <c r="B116" s="197"/>
      <c r="C116" s="197"/>
      <c r="D116" s="113" t="s">
        <v>428</v>
      </c>
      <c r="E116" s="191"/>
      <c r="F116" s="191"/>
      <c r="G116" s="191"/>
      <c r="H116" s="191"/>
      <c r="I116" s="191"/>
      <c r="J116" s="191"/>
      <c r="K116" s="188"/>
      <c r="L116" s="88"/>
      <c r="M116" s="89"/>
      <c r="N116" s="191"/>
      <c r="P116" s="30"/>
    </row>
    <row r="117" spans="1:16" ht="230.25" hidden="1" thickTop="1" thickBot="1" x14ac:dyDescent="0.25">
      <c r="A117" s="70"/>
      <c r="B117" s="198"/>
      <c r="C117" s="198"/>
      <c r="D117" s="114" t="s">
        <v>429</v>
      </c>
      <c r="E117" s="192"/>
      <c r="F117" s="192"/>
      <c r="G117" s="192"/>
      <c r="H117" s="192"/>
      <c r="I117" s="192"/>
      <c r="J117" s="192"/>
      <c r="K117" s="189"/>
      <c r="L117" s="88"/>
      <c r="M117" s="89"/>
      <c r="N117" s="192"/>
      <c r="P117" s="30"/>
    </row>
    <row r="118" spans="1:16" ht="276" hidden="1" thickTop="1" thickBot="1" x14ac:dyDescent="0.7">
      <c r="A118" s="70"/>
      <c r="B118" s="196" t="s">
        <v>430</v>
      </c>
      <c r="C118" s="196" t="s">
        <v>81</v>
      </c>
      <c r="D118" s="112" t="s">
        <v>431</v>
      </c>
      <c r="E118" s="190"/>
      <c r="F118" s="190"/>
      <c r="G118" s="190"/>
      <c r="H118" s="190"/>
      <c r="I118" s="190"/>
      <c r="J118" s="190">
        <v>0</v>
      </c>
      <c r="K118" s="187" t="e">
        <f>J118/I118</f>
        <v>#DIV/0!</v>
      </c>
      <c r="L118" s="88"/>
      <c r="M118" s="89"/>
      <c r="N118" s="190">
        <f>G118+J118</f>
        <v>0</v>
      </c>
      <c r="P118" s="30"/>
    </row>
    <row r="119" spans="1:16" ht="321.75" hidden="1" thickTop="1" thickBot="1" x14ac:dyDescent="0.25">
      <c r="A119" s="70"/>
      <c r="B119" s="197"/>
      <c r="C119" s="197"/>
      <c r="D119" s="113" t="s">
        <v>432</v>
      </c>
      <c r="E119" s="191"/>
      <c r="F119" s="191"/>
      <c r="G119" s="191"/>
      <c r="H119" s="191"/>
      <c r="I119" s="191"/>
      <c r="J119" s="191"/>
      <c r="K119" s="188"/>
      <c r="L119" s="88"/>
      <c r="M119" s="89"/>
      <c r="N119" s="191"/>
      <c r="P119" s="30"/>
    </row>
    <row r="120" spans="1:16" ht="276" hidden="1" thickTop="1" thickBot="1" x14ac:dyDescent="0.25">
      <c r="A120" s="70"/>
      <c r="B120" s="197"/>
      <c r="C120" s="197"/>
      <c r="D120" s="113" t="s">
        <v>433</v>
      </c>
      <c r="E120" s="191"/>
      <c r="F120" s="191"/>
      <c r="G120" s="191"/>
      <c r="H120" s="191"/>
      <c r="I120" s="191"/>
      <c r="J120" s="191"/>
      <c r="K120" s="188"/>
      <c r="L120" s="88"/>
      <c r="M120" s="89"/>
      <c r="N120" s="191"/>
      <c r="P120" s="30"/>
    </row>
    <row r="121" spans="1:16" ht="138.75" hidden="1" thickTop="1" thickBot="1" x14ac:dyDescent="0.25">
      <c r="A121" s="70"/>
      <c r="B121" s="198"/>
      <c r="C121" s="198"/>
      <c r="D121" s="114" t="s">
        <v>434</v>
      </c>
      <c r="E121" s="192"/>
      <c r="F121" s="192"/>
      <c r="G121" s="192"/>
      <c r="H121" s="192"/>
      <c r="I121" s="192"/>
      <c r="J121" s="192"/>
      <c r="K121" s="189"/>
      <c r="L121" s="88"/>
      <c r="M121" s="89"/>
      <c r="N121" s="192"/>
      <c r="P121" s="30"/>
    </row>
    <row r="122" spans="1:16" ht="276" hidden="1" thickTop="1" thickBot="1" x14ac:dyDescent="0.7">
      <c r="A122" s="70"/>
      <c r="B122" s="196" t="s">
        <v>435</v>
      </c>
      <c r="C122" s="196" t="s">
        <v>81</v>
      </c>
      <c r="D122" s="112" t="s">
        <v>436</v>
      </c>
      <c r="E122" s="190"/>
      <c r="F122" s="190"/>
      <c r="G122" s="190"/>
      <c r="H122" s="190"/>
      <c r="I122" s="190">
        <v>0</v>
      </c>
      <c r="J122" s="190">
        <v>0</v>
      </c>
      <c r="K122" s="187" t="e">
        <f>J122/I122</f>
        <v>#DIV/0!</v>
      </c>
      <c r="L122" s="88"/>
      <c r="M122" s="89"/>
      <c r="N122" s="190">
        <f>G122+J122</f>
        <v>0</v>
      </c>
      <c r="P122" s="30"/>
    </row>
    <row r="123" spans="1:16" ht="276" hidden="1" thickTop="1" thickBot="1" x14ac:dyDescent="0.25">
      <c r="A123" s="70"/>
      <c r="B123" s="197"/>
      <c r="C123" s="197"/>
      <c r="D123" s="113" t="s">
        <v>437</v>
      </c>
      <c r="E123" s="191"/>
      <c r="F123" s="191"/>
      <c r="G123" s="191"/>
      <c r="H123" s="191"/>
      <c r="I123" s="191"/>
      <c r="J123" s="191"/>
      <c r="K123" s="188"/>
      <c r="L123" s="88"/>
      <c r="M123" s="89"/>
      <c r="N123" s="191"/>
      <c r="P123" s="30"/>
    </row>
    <row r="124" spans="1:16" ht="93" hidden="1" thickTop="1" thickBot="1" x14ac:dyDescent="0.25">
      <c r="A124" s="70"/>
      <c r="B124" s="198"/>
      <c r="C124" s="198"/>
      <c r="D124" s="114" t="s">
        <v>438</v>
      </c>
      <c r="E124" s="192"/>
      <c r="F124" s="192"/>
      <c r="G124" s="192"/>
      <c r="H124" s="192"/>
      <c r="I124" s="192"/>
      <c r="J124" s="192"/>
      <c r="K124" s="189"/>
      <c r="L124" s="88"/>
      <c r="M124" s="89"/>
      <c r="N124" s="192"/>
      <c r="P124" s="30"/>
    </row>
    <row r="125" spans="1:16" ht="276" hidden="1" thickTop="1" thickBot="1" x14ac:dyDescent="0.7">
      <c r="A125" s="70"/>
      <c r="B125" s="196" t="s">
        <v>439</v>
      </c>
      <c r="C125" s="196" t="s">
        <v>81</v>
      </c>
      <c r="D125" s="112" t="s">
        <v>440</v>
      </c>
      <c r="E125" s="190"/>
      <c r="F125" s="190"/>
      <c r="G125" s="190"/>
      <c r="H125" s="190"/>
      <c r="I125" s="190"/>
      <c r="J125" s="190"/>
      <c r="K125" s="187" t="e">
        <f>J125/I125</f>
        <v>#DIV/0!</v>
      </c>
      <c r="L125" s="88"/>
      <c r="M125" s="89"/>
      <c r="N125" s="190">
        <f t="shared" si="29"/>
        <v>0</v>
      </c>
      <c r="P125" s="30"/>
    </row>
    <row r="126" spans="1:16" ht="230.25" hidden="1" thickTop="1" thickBot="1" x14ac:dyDescent="0.25">
      <c r="A126" s="70"/>
      <c r="B126" s="197"/>
      <c r="C126" s="197"/>
      <c r="D126" s="113" t="s">
        <v>441</v>
      </c>
      <c r="E126" s="191"/>
      <c r="F126" s="191"/>
      <c r="G126" s="191"/>
      <c r="H126" s="191"/>
      <c r="I126" s="191"/>
      <c r="J126" s="191"/>
      <c r="K126" s="188"/>
      <c r="L126" s="88"/>
      <c r="M126" s="89"/>
      <c r="N126" s="191"/>
      <c r="P126" s="30"/>
    </row>
    <row r="127" spans="1:16" ht="48" hidden="1" thickTop="1" thickBot="1" x14ac:dyDescent="0.25">
      <c r="A127" s="70"/>
      <c r="B127" s="198"/>
      <c r="C127" s="198"/>
      <c r="D127" s="114" t="s">
        <v>442</v>
      </c>
      <c r="E127" s="192"/>
      <c r="F127" s="192"/>
      <c r="G127" s="192"/>
      <c r="H127" s="192"/>
      <c r="I127" s="192"/>
      <c r="J127" s="192"/>
      <c r="K127" s="189"/>
      <c r="L127" s="88"/>
      <c r="M127" s="89"/>
      <c r="N127" s="192"/>
      <c r="P127" s="30"/>
    </row>
    <row r="128" spans="1:16" ht="409.6" thickTop="1" thickBot="1" x14ac:dyDescent="0.25">
      <c r="A128" s="70"/>
      <c r="B128" s="213" t="s">
        <v>609</v>
      </c>
      <c r="C128" s="213" t="s">
        <v>81</v>
      </c>
      <c r="D128" s="164" t="s">
        <v>610</v>
      </c>
      <c r="E128" s="193"/>
      <c r="F128" s="193"/>
      <c r="G128" s="193"/>
      <c r="H128" s="193"/>
      <c r="I128" s="193">
        <v>44763277.100000001</v>
      </c>
      <c r="J128" s="193">
        <v>32918876.48</v>
      </c>
      <c r="K128" s="216">
        <f t="shared" ref="K128" si="51">J128/I128</f>
        <v>0.73539916227447077</v>
      </c>
      <c r="L128" s="88"/>
      <c r="M128" s="89"/>
      <c r="N128" s="193">
        <f t="shared" ref="N128" si="52">G128+J128</f>
        <v>32918876.48</v>
      </c>
      <c r="P128" s="30"/>
    </row>
    <row r="129" spans="1:19" ht="409.6" thickTop="1" thickBot="1" x14ac:dyDescent="0.25">
      <c r="A129" s="70"/>
      <c r="B129" s="214"/>
      <c r="C129" s="214"/>
      <c r="D129" s="165" t="s">
        <v>612</v>
      </c>
      <c r="E129" s="194"/>
      <c r="F129" s="194"/>
      <c r="G129" s="194"/>
      <c r="H129" s="194"/>
      <c r="I129" s="194"/>
      <c r="J129" s="194"/>
      <c r="K129" s="217"/>
      <c r="L129" s="88"/>
      <c r="M129" s="89"/>
      <c r="N129" s="194"/>
      <c r="P129" s="30"/>
    </row>
    <row r="130" spans="1:19" ht="93" thickTop="1" thickBot="1" x14ac:dyDescent="0.25">
      <c r="A130" s="70"/>
      <c r="B130" s="215"/>
      <c r="C130" s="215"/>
      <c r="D130" s="163" t="s">
        <v>611</v>
      </c>
      <c r="E130" s="195"/>
      <c r="F130" s="195"/>
      <c r="G130" s="195"/>
      <c r="H130" s="195"/>
      <c r="I130" s="195"/>
      <c r="J130" s="195"/>
      <c r="K130" s="218"/>
      <c r="L130" s="88"/>
      <c r="M130" s="89"/>
      <c r="N130" s="195"/>
      <c r="P130" s="30"/>
    </row>
    <row r="131" spans="1:19" ht="138.75" thickTop="1" thickBot="1" x14ac:dyDescent="0.25">
      <c r="A131" s="70"/>
      <c r="B131" s="70" t="s">
        <v>471</v>
      </c>
      <c r="C131" s="144" t="s">
        <v>85</v>
      </c>
      <c r="D131" s="144" t="s">
        <v>482</v>
      </c>
      <c r="E131" s="145">
        <v>5276195</v>
      </c>
      <c r="F131" s="145">
        <v>5250895</v>
      </c>
      <c r="G131" s="145">
        <v>4111460</v>
      </c>
      <c r="H131" s="131">
        <f t="shared" si="39"/>
        <v>0.78300175493891999</v>
      </c>
      <c r="I131" s="145">
        <f>8102695+10000</f>
        <v>8112695</v>
      </c>
      <c r="J131" s="145">
        <v>6342742.29</v>
      </c>
      <c r="K131" s="131">
        <f t="shared" ref="K131" si="53">J131/I131</f>
        <v>0.78182925525981195</v>
      </c>
      <c r="L131" s="88"/>
      <c r="M131" s="89"/>
      <c r="N131" s="133">
        <f t="shared" si="29"/>
        <v>10454202.289999999</v>
      </c>
      <c r="P131" s="30"/>
    </row>
    <row r="132" spans="1:19" s="18" customFormat="1" ht="93" thickTop="1" thickBot="1" x14ac:dyDescent="0.25">
      <c r="A132" s="71" t="s">
        <v>228</v>
      </c>
      <c r="B132" s="71" t="s">
        <v>229</v>
      </c>
      <c r="C132" s="71"/>
      <c r="D132" s="71" t="s">
        <v>542</v>
      </c>
      <c r="E132" s="134">
        <f>SUM(E133:E135)</f>
        <v>219360850.53999999</v>
      </c>
      <c r="F132" s="134">
        <f>SUM(F133:F135)</f>
        <v>204950829.53999999</v>
      </c>
      <c r="G132" s="134">
        <f>SUM(G133:G135)</f>
        <v>181841385.55000001</v>
      </c>
      <c r="H132" s="135">
        <f t="shared" si="39"/>
        <v>0.88724395972503378</v>
      </c>
      <c r="I132" s="134">
        <f>SUM(I133:I135)</f>
        <v>79149969.379999995</v>
      </c>
      <c r="J132" s="134">
        <f>SUM(J133:J135)</f>
        <v>51387845.07</v>
      </c>
      <c r="K132" s="135">
        <f t="shared" ref="K132:K136" si="54">J132/I132</f>
        <v>0.64924655653732866</v>
      </c>
      <c r="L132" s="91"/>
      <c r="M132" s="91"/>
      <c r="N132" s="134">
        <f t="shared" si="29"/>
        <v>233229230.62</v>
      </c>
      <c r="O132" s="20"/>
      <c r="P132" s="31"/>
    </row>
    <row r="133" spans="1:19" ht="138.75" thickTop="1" thickBot="1" x14ac:dyDescent="0.25">
      <c r="A133" s="70" t="s">
        <v>230</v>
      </c>
      <c r="B133" s="70" t="s">
        <v>231</v>
      </c>
      <c r="C133" s="70" t="s">
        <v>89</v>
      </c>
      <c r="D133" s="139" t="s">
        <v>543</v>
      </c>
      <c r="E133" s="133">
        <v>42143379.539999999</v>
      </c>
      <c r="F133" s="133">
        <v>34821716.539999999</v>
      </c>
      <c r="G133" s="142">
        <v>29804004.710000001</v>
      </c>
      <c r="H133" s="131">
        <f t="shared" si="39"/>
        <v>0.85590280064924107</v>
      </c>
      <c r="I133" s="133">
        <f>504000+12778395.98</f>
        <v>13282395.98</v>
      </c>
      <c r="J133" s="133">
        <v>9964803.3800000008</v>
      </c>
      <c r="K133" s="131">
        <f t="shared" si="54"/>
        <v>0.75022634432857804</v>
      </c>
      <c r="L133" s="88"/>
      <c r="M133" s="89"/>
      <c r="N133" s="133">
        <f t="shared" si="29"/>
        <v>39768808.090000004</v>
      </c>
      <c r="P133" s="26"/>
    </row>
    <row r="134" spans="1:19" ht="93" thickTop="1" thickBot="1" x14ac:dyDescent="0.25">
      <c r="A134" s="58" t="s">
        <v>232</v>
      </c>
      <c r="B134" s="70" t="s">
        <v>233</v>
      </c>
      <c r="C134" s="70" t="s">
        <v>89</v>
      </c>
      <c r="D134" s="139" t="s">
        <v>234</v>
      </c>
      <c r="E134" s="133">
        <v>177217471</v>
      </c>
      <c r="F134" s="133">
        <v>170129113</v>
      </c>
      <c r="G134" s="133">
        <v>152037380.84</v>
      </c>
      <c r="H134" s="131">
        <f t="shared" si="39"/>
        <v>0.89365881099962008</v>
      </c>
      <c r="I134" s="133">
        <f>49717943.4+292500</f>
        <v>50010443.399999999</v>
      </c>
      <c r="J134" s="133">
        <v>41423041.689999998</v>
      </c>
      <c r="K134" s="131">
        <f t="shared" si="54"/>
        <v>0.82828783097731939</v>
      </c>
      <c r="L134" s="88"/>
      <c r="M134" s="89"/>
      <c r="N134" s="133">
        <f t="shared" si="29"/>
        <v>193460422.53</v>
      </c>
      <c r="P134" s="26"/>
    </row>
    <row r="135" spans="1:19" ht="184.5" thickTop="1" thickBot="1" x14ac:dyDescent="0.25">
      <c r="A135" s="58"/>
      <c r="B135" s="70" t="s">
        <v>614</v>
      </c>
      <c r="C135" s="70" t="s">
        <v>129</v>
      </c>
      <c r="D135" s="139" t="s">
        <v>613</v>
      </c>
      <c r="E135" s="133"/>
      <c r="F135" s="133"/>
      <c r="G135" s="133"/>
      <c r="H135" s="131"/>
      <c r="I135" s="133">
        <v>15857130</v>
      </c>
      <c r="J135" s="133">
        <v>0</v>
      </c>
      <c r="K135" s="131">
        <f t="shared" ref="K135" si="55">J135/I135</f>
        <v>0</v>
      </c>
      <c r="L135" s="133"/>
      <c r="M135" s="158"/>
      <c r="N135" s="133">
        <f t="shared" ref="N135" si="56">G135+J135</f>
        <v>0</v>
      </c>
      <c r="P135" s="26"/>
    </row>
    <row r="136" spans="1:19" ht="72" customHeight="1" thickTop="1" thickBot="1" x14ac:dyDescent="0.25">
      <c r="A136" s="58"/>
      <c r="B136" s="70" t="s">
        <v>573</v>
      </c>
      <c r="C136" s="70" t="s">
        <v>89</v>
      </c>
      <c r="D136" s="70" t="s">
        <v>574</v>
      </c>
      <c r="E136" s="133"/>
      <c r="F136" s="133"/>
      <c r="G136" s="133"/>
      <c r="H136" s="131"/>
      <c r="I136" s="133">
        <v>7400000</v>
      </c>
      <c r="J136" s="133">
        <v>258950.13</v>
      </c>
      <c r="K136" s="131">
        <f t="shared" si="54"/>
        <v>3.4993260810810813E-2</v>
      </c>
      <c r="L136" s="133"/>
      <c r="M136" s="158"/>
      <c r="N136" s="133">
        <f t="shared" si="29"/>
        <v>258950.13</v>
      </c>
      <c r="P136" s="26"/>
    </row>
    <row r="137" spans="1:19" s="11" customFormat="1" ht="92.25" customHeight="1" thickTop="1" thickBot="1" x14ac:dyDescent="0.25">
      <c r="A137" s="57" t="s">
        <v>243</v>
      </c>
      <c r="B137" s="120" t="s">
        <v>244</v>
      </c>
      <c r="C137" s="120"/>
      <c r="D137" s="121" t="s">
        <v>245</v>
      </c>
      <c r="E137" s="122">
        <f>SUM(E138:E146)-E143</f>
        <v>80365480</v>
      </c>
      <c r="F137" s="122">
        <f>SUM(F138:F146)-F143</f>
        <v>59794311</v>
      </c>
      <c r="G137" s="122">
        <f>SUM(G138:G146)-G143</f>
        <v>52203250.990000002</v>
      </c>
      <c r="H137" s="123">
        <f>G137/F137</f>
        <v>0.87304711964989445</v>
      </c>
      <c r="I137" s="122">
        <f>SUM(I138:I146)-I143</f>
        <v>7117725.0600000005</v>
      </c>
      <c r="J137" s="122">
        <f>SUM(J138:J146)-J143</f>
        <v>1769894.09</v>
      </c>
      <c r="K137" s="124">
        <f>J137/I137</f>
        <v>0.2486600810062759</v>
      </c>
      <c r="L137" s="122"/>
      <c r="M137" s="122"/>
      <c r="N137" s="125">
        <f>J137+G137</f>
        <v>53973145.080000006</v>
      </c>
      <c r="O137" s="53" t="b">
        <f>N137=N139+N140+N141+N144+N145+N146</f>
        <v>1</v>
      </c>
      <c r="P137" s="30"/>
      <c r="S137" s="65">
        <f>N137/(I137+E137)*100</f>
        <v>61.695436333159883</v>
      </c>
    </row>
    <row r="138" spans="1:19" ht="93" hidden="1" thickTop="1" thickBot="1" x14ac:dyDescent="0.25">
      <c r="A138" s="58" t="s">
        <v>246</v>
      </c>
      <c r="B138" s="79" t="s">
        <v>247</v>
      </c>
      <c r="C138" s="79" t="s">
        <v>248</v>
      </c>
      <c r="D138" s="79" t="s">
        <v>249</v>
      </c>
      <c r="E138" s="80">
        <v>0</v>
      </c>
      <c r="F138" s="80">
        <v>0</v>
      </c>
      <c r="G138" s="80">
        <v>0</v>
      </c>
      <c r="H138" s="78" t="e">
        <f>G138/F138</f>
        <v>#DIV/0!</v>
      </c>
      <c r="I138" s="80"/>
      <c r="J138" s="80"/>
      <c r="K138" s="80"/>
      <c r="L138" s="80"/>
      <c r="M138" s="81"/>
      <c r="N138" s="80">
        <f t="shared" ref="N138:N162" si="57">G138+J138</f>
        <v>0</v>
      </c>
      <c r="P138" s="30"/>
    </row>
    <row r="139" spans="1:19" ht="93" thickTop="1" thickBot="1" x14ac:dyDescent="0.25">
      <c r="A139" s="58" t="s">
        <v>250</v>
      </c>
      <c r="B139" s="70" t="s">
        <v>251</v>
      </c>
      <c r="C139" s="70" t="s">
        <v>252</v>
      </c>
      <c r="D139" s="70" t="s">
        <v>253</v>
      </c>
      <c r="E139" s="133">
        <v>19613886</v>
      </c>
      <c r="F139" s="133">
        <v>14204483</v>
      </c>
      <c r="G139" s="133">
        <v>12025262.810000001</v>
      </c>
      <c r="H139" s="131">
        <f t="shared" ref="H139:H141" si="58">G139/F139</f>
        <v>0.8465822240767229</v>
      </c>
      <c r="I139" s="133">
        <v>947534.66</v>
      </c>
      <c r="J139" s="133">
        <v>755954.25</v>
      </c>
      <c r="K139" s="131">
        <f t="shared" ref="K139:K145" si="59">J139/I139</f>
        <v>0.79781171276626439</v>
      </c>
      <c r="L139" s="133"/>
      <c r="M139" s="158"/>
      <c r="N139" s="133">
        <f t="shared" si="57"/>
        <v>12781217.060000001</v>
      </c>
      <c r="P139" s="26"/>
    </row>
    <row r="140" spans="1:19" ht="93" thickTop="1" thickBot="1" x14ac:dyDescent="0.25">
      <c r="A140" s="58" t="s">
        <v>254</v>
      </c>
      <c r="B140" s="70" t="s">
        <v>255</v>
      </c>
      <c r="C140" s="70" t="s">
        <v>252</v>
      </c>
      <c r="D140" s="70" t="s">
        <v>544</v>
      </c>
      <c r="E140" s="133">
        <v>2965362</v>
      </c>
      <c r="F140" s="133">
        <v>2076283</v>
      </c>
      <c r="G140" s="133">
        <v>1767855.07</v>
      </c>
      <c r="H140" s="131">
        <f t="shared" si="58"/>
        <v>0.85145188300438812</v>
      </c>
      <c r="I140" s="133">
        <v>125600</v>
      </c>
      <c r="J140" s="133">
        <v>35477</v>
      </c>
      <c r="K140" s="131">
        <f t="shared" si="59"/>
        <v>0.28246019108280257</v>
      </c>
      <c r="L140" s="133"/>
      <c r="M140" s="158"/>
      <c r="N140" s="133">
        <f t="shared" si="57"/>
        <v>1803332.07</v>
      </c>
      <c r="P140" s="26"/>
    </row>
    <row r="141" spans="1:19" ht="138.75" thickTop="1" thickBot="1" x14ac:dyDescent="0.25">
      <c r="A141" s="58" t="s">
        <v>256</v>
      </c>
      <c r="B141" s="70" t="s">
        <v>257</v>
      </c>
      <c r="C141" s="70" t="s">
        <v>258</v>
      </c>
      <c r="D141" s="70" t="s">
        <v>545</v>
      </c>
      <c r="E141" s="133">
        <v>23084415</v>
      </c>
      <c r="F141" s="133">
        <v>17055881</v>
      </c>
      <c r="G141" s="133">
        <v>14278105.789999999</v>
      </c>
      <c r="H141" s="131">
        <f t="shared" si="58"/>
        <v>0.8371368087054547</v>
      </c>
      <c r="I141" s="133">
        <v>771950</v>
      </c>
      <c r="J141" s="133">
        <v>280797.62</v>
      </c>
      <c r="K141" s="131">
        <f t="shared" si="59"/>
        <v>0.36375104605220543</v>
      </c>
      <c r="L141" s="133"/>
      <c r="M141" s="158"/>
      <c r="N141" s="133">
        <f t="shared" si="57"/>
        <v>14558903.409999998</v>
      </c>
      <c r="P141" s="26"/>
    </row>
    <row r="142" spans="1:19" ht="48" hidden="1" thickTop="1" thickBot="1" x14ac:dyDescent="0.25">
      <c r="A142" s="58"/>
      <c r="B142" s="87" t="s">
        <v>472</v>
      </c>
      <c r="C142" s="87" t="s">
        <v>473</v>
      </c>
      <c r="D142" s="87" t="s">
        <v>474</v>
      </c>
      <c r="E142" s="88">
        <v>0</v>
      </c>
      <c r="F142" s="88">
        <v>0</v>
      </c>
      <c r="G142" s="88">
        <v>0</v>
      </c>
      <c r="H142" s="86" t="e">
        <f>G142/F142</f>
        <v>#DIV/0!</v>
      </c>
      <c r="I142" s="88"/>
      <c r="J142" s="88"/>
      <c r="K142" s="86"/>
      <c r="L142" s="88"/>
      <c r="M142" s="89"/>
      <c r="N142" s="88">
        <f t="shared" si="57"/>
        <v>0</v>
      </c>
      <c r="P142" s="26"/>
    </row>
    <row r="143" spans="1:19" ht="93" thickTop="1" thickBot="1" x14ac:dyDescent="0.25">
      <c r="A143" s="71" t="s">
        <v>259</v>
      </c>
      <c r="B143" s="71" t="s">
        <v>260</v>
      </c>
      <c r="C143" s="71"/>
      <c r="D143" s="71" t="s">
        <v>261</v>
      </c>
      <c r="E143" s="134">
        <f>SUM(E144:E146)</f>
        <v>34701817</v>
      </c>
      <c r="F143" s="134">
        <f>SUM(F144:F146)</f>
        <v>26457664</v>
      </c>
      <c r="G143" s="134">
        <f>SUM(G144:G146)</f>
        <v>24132027.32</v>
      </c>
      <c r="H143" s="135">
        <f>G143/F143</f>
        <v>0.91209969708588035</v>
      </c>
      <c r="I143" s="134">
        <f>SUM(I144:I146)</f>
        <v>5272640.4000000004</v>
      </c>
      <c r="J143" s="134">
        <f>SUM(J144:J146)</f>
        <v>697665.22</v>
      </c>
      <c r="K143" s="135">
        <f t="shared" si="59"/>
        <v>0.13231799763928523</v>
      </c>
      <c r="L143" s="134"/>
      <c r="M143" s="134"/>
      <c r="N143" s="134">
        <f t="shared" si="57"/>
        <v>24829692.539999999</v>
      </c>
      <c r="P143" s="26"/>
    </row>
    <row r="144" spans="1:19" ht="93" thickTop="1" thickBot="1" x14ac:dyDescent="0.25">
      <c r="A144" s="70" t="s">
        <v>262</v>
      </c>
      <c r="B144" s="70" t="s">
        <v>263</v>
      </c>
      <c r="C144" s="70" t="s">
        <v>264</v>
      </c>
      <c r="D144" s="70" t="s">
        <v>265</v>
      </c>
      <c r="E144" s="133">
        <v>29929817</v>
      </c>
      <c r="F144" s="133">
        <v>22688664</v>
      </c>
      <c r="G144" s="133">
        <v>21027143.170000002</v>
      </c>
      <c r="H144" s="131">
        <f t="shared" ref="H144:H145" si="60">G144/F144</f>
        <v>0.92676867928406903</v>
      </c>
      <c r="I144" s="133">
        <v>334809.40000000002</v>
      </c>
      <c r="J144" s="133">
        <v>242453.33</v>
      </c>
      <c r="K144" s="131">
        <f t="shared" si="59"/>
        <v>0.7241532943818183</v>
      </c>
      <c r="L144" s="133"/>
      <c r="M144" s="158"/>
      <c r="N144" s="133">
        <f t="shared" si="57"/>
        <v>21269596.5</v>
      </c>
      <c r="P144" s="30"/>
    </row>
    <row r="145" spans="1:19" ht="93" thickTop="1" thickBot="1" x14ac:dyDescent="0.25">
      <c r="A145" s="70" t="s">
        <v>266</v>
      </c>
      <c r="B145" s="70" t="s">
        <v>267</v>
      </c>
      <c r="C145" s="70" t="s">
        <v>264</v>
      </c>
      <c r="D145" s="70" t="s">
        <v>268</v>
      </c>
      <c r="E145" s="133">
        <v>4772000</v>
      </c>
      <c r="F145" s="133">
        <v>3769000</v>
      </c>
      <c r="G145" s="133">
        <v>3104884.15</v>
      </c>
      <c r="H145" s="131">
        <f t="shared" si="60"/>
        <v>0.8237952109312815</v>
      </c>
      <c r="I145" s="133">
        <v>185391</v>
      </c>
      <c r="J145" s="133">
        <v>103292</v>
      </c>
      <c r="K145" s="131">
        <f t="shared" si="59"/>
        <v>0.557157575071066</v>
      </c>
      <c r="L145" s="133"/>
      <c r="M145" s="158"/>
      <c r="N145" s="133">
        <f t="shared" si="57"/>
        <v>3208176.15</v>
      </c>
      <c r="P145" s="30"/>
    </row>
    <row r="146" spans="1:19" ht="93" thickTop="1" thickBot="1" x14ac:dyDescent="0.25">
      <c r="A146" s="70"/>
      <c r="B146" s="70" t="s">
        <v>575</v>
      </c>
      <c r="C146" s="70" t="s">
        <v>264</v>
      </c>
      <c r="D146" s="70" t="s">
        <v>576</v>
      </c>
      <c r="E146" s="133"/>
      <c r="F146" s="133"/>
      <c r="G146" s="133"/>
      <c r="H146" s="131"/>
      <c r="I146" s="133">
        <v>4752440</v>
      </c>
      <c r="J146" s="133">
        <v>351919.89</v>
      </c>
      <c r="K146" s="131">
        <f t="shared" ref="K146" si="61">J146/I146</f>
        <v>7.4050359394332174E-2</v>
      </c>
      <c r="L146" s="133"/>
      <c r="M146" s="158"/>
      <c r="N146" s="133">
        <f t="shared" ref="N146" si="62">G146+J146</f>
        <v>351919.89</v>
      </c>
      <c r="P146" s="30"/>
    </row>
    <row r="147" spans="1:19" ht="77.25" customHeight="1" thickTop="1" thickBot="1" x14ac:dyDescent="0.25">
      <c r="A147" s="57" t="s">
        <v>275</v>
      </c>
      <c r="B147" s="120" t="s">
        <v>276</v>
      </c>
      <c r="C147" s="120"/>
      <c r="D147" s="121" t="s">
        <v>277</v>
      </c>
      <c r="E147" s="122">
        <f>SUM(E148:E163)-E148-E151-E153-E159-E156</f>
        <v>130487387.34999999</v>
      </c>
      <c r="F147" s="122">
        <f>SUM(F148:F163)-F148-F151-F153-F159-F156</f>
        <v>97728074.349999994</v>
      </c>
      <c r="G147" s="122">
        <f>SUM(G148:G163)-G148-G151-G153-G159-G156</f>
        <v>91528950.200000018</v>
      </c>
      <c r="H147" s="123">
        <f>G147/F147</f>
        <v>0.93656762203459931</v>
      </c>
      <c r="I147" s="122">
        <f>SUM(I148:I163)-I148-I151-I153-I159-I156</f>
        <v>9067843.9299999997</v>
      </c>
      <c r="J147" s="122">
        <f>SUM(J148:J163)-J148-J151-J153-J159-J156</f>
        <v>2833577.5399999991</v>
      </c>
      <c r="K147" s="124">
        <f>J147/I147</f>
        <v>0.31248635969851757</v>
      </c>
      <c r="L147" s="122"/>
      <c r="M147" s="122"/>
      <c r="N147" s="125">
        <f>J147+G147</f>
        <v>94362527.74000001</v>
      </c>
      <c r="O147" s="53" t="b">
        <f>N147=N149+N150+N152+N154+N155+N160+N161+N162+N158+N157+N163</f>
        <v>1</v>
      </c>
      <c r="P147" s="26"/>
      <c r="S147" s="65">
        <f>N147/(I147+E147)*100</f>
        <v>67.616618076232115</v>
      </c>
    </row>
    <row r="148" spans="1:19" s="18" customFormat="1" ht="123" thickTop="1" thickBot="1" x14ac:dyDescent="0.25">
      <c r="A148" s="59" t="s">
        <v>278</v>
      </c>
      <c r="B148" s="71" t="s">
        <v>279</v>
      </c>
      <c r="C148" s="71"/>
      <c r="D148" s="71" t="s">
        <v>280</v>
      </c>
      <c r="E148" s="143">
        <f t="shared" ref="E148:J148" si="63">SUM(E149:E150)</f>
        <v>44644056</v>
      </c>
      <c r="F148" s="143">
        <f t="shared" si="63"/>
        <v>32897774</v>
      </c>
      <c r="G148" s="143">
        <f t="shared" si="63"/>
        <v>30937746.350000001</v>
      </c>
      <c r="H148" s="135">
        <f>G148/F148</f>
        <v>0.94042066037659577</v>
      </c>
      <c r="I148" s="143">
        <f t="shared" si="63"/>
        <v>0</v>
      </c>
      <c r="J148" s="143">
        <f t="shared" si="63"/>
        <v>0</v>
      </c>
      <c r="K148" s="135">
        <v>0</v>
      </c>
      <c r="L148" s="143"/>
      <c r="M148" s="143"/>
      <c r="N148" s="134">
        <f t="shared" si="57"/>
        <v>30937746.350000001</v>
      </c>
      <c r="O148" s="50" t="s">
        <v>391</v>
      </c>
      <c r="P148" s="32"/>
    </row>
    <row r="149" spans="1:19" s="35" customFormat="1" ht="93" thickTop="1" thickBot="1" x14ac:dyDescent="0.25">
      <c r="A149" s="58" t="s">
        <v>281</v>
      </c>
      <c r="B149" s="70" t="s">
        <v>282</v>
      </c>
      <c r="C149" s="70" t="s">
        <v>283</v>
      </c>
      <c r="D149" s="70" t="s">
        <v>284</v>
      </c>
      <c r="E149" s="142">
        <v>39840800</v>
      </c>
      <c r="F149" s="142">
        <v>29128957</v>
      </c>
      <c r="G149" s="133">
        <v>27491716.350000001</v>
      </c>
      <c r="H149" s="131">
        <f t="shared" ref="H149:H162" si="64">G149/F149</f>
        <v>0.94379336513833989</v>
      </c>
      <c r="I149" s="133"/>
      <c r="J149" s="133"/>
      <c r="K149" s="133"/>
      <c r="L149" s="133"/>
      <c r="M149" s="158"/>
      <c r="N149" s="133">
        <f t="shared" si="57"/>
        <v>27491716.350000001</v>
      </c>
      <c r="O149" s="33"/>
      <c r="P149" s="34"/>
    </row>
    <row r="150" spans="1:19" s="35" customFormat="1" ht="93" thickTop="1" thickBot="1" x14ac:dyDescent="0.25">
      <c r="A150" s="58" t="s">
        <v>285</v>
      </c>
      <c r="B150" s="70" t="s">
        <v>286</v>
      </c>
      <c r="C150" s="70" t="s">
        <v>283</v>
      </c>
      <c r="D150" s="70" t="s">
        <v>287</v>
      </c>
      <c r="E150" s="142">
        <v>4803256</v>
      </c>
      <c r="F150" s="142">
        <v>3768817</v>
      </c>
      <c r="G150" s="133">
        <v>3446030</v>
      </c>
      <c r="H150" s="131">
        <f t="shared" si="64"/>
        <v>0.91435323073526786</v>
      </c>
      <c r="I150" s="133"/>
      <c r="J150" s="133"/>
      <c r="K150" s="133"/>
      <c r="L150" s="133"/>
      <c r="M150" s="158"/>
      <c r="N150" s="133">
        <f t="shared" si="57"/>
        <v>3446030</v>
      </c>
      <c r="O150" s="33"/>
      <c r="P150" s="34"/>
    </row>
    <row r="151" spans="1:19" s="18" customFormat="1" ht="123" thickTop="1" thickBot="1" x14ac:dyDescent="0.25">
      <c r="A151" s="59" t="s">
        <v>288</v>
      </c>
      <c r="B151" s="71" t="s">
        <v>289</v>
      </c>
      <c r="C151" s="71"/>
      <c r="D151" s="71" t="s">
        <v>290</v>
      </c>
      <c r="E151" s="143">
        <f t="shared" ref="E151:J151" si="65">E152</f>
        <v>28500</v>
      </c>
      <c r="F151" s="143">
        <f t="shared" si="65"/>
        <v>28500</v>
      </c>
      <c r="G151" s="143">
        <f t="shared" si="65"/>
        <v>0</v>
      </c>
      <c r="H151" s="135">
        <f>G151/F151</f>
        <v>0</v>
      </c>
      <c r="I151" s="143">
        <f>I152</f>
        <v>0</v>
      </c>
      <c r="J151" s="143">
        <f t="shared" si="65"/>
        <v>0</v>
      </c>
      <c r="K151" s="135">
        <v>0</v>
      </c>
      <c r="L151" s="143"/>
      <c r="M151" s="143"/>
      <c r="N151" s="134">
        <f t="shared" si="57"/>
        <v>0</v>
      </c>
      <c r="O151" s="50" t="s">
        <v>391</v>
      </c>
      <c r="P151" s="36"/>
    </row>
    <row r="152" spans="1:19" s="35" customFormat="1" ht="93" thickTop="1" thickBot="1" x14ac:dyDescent="0.25">
      <c r="A152" s="58" t="s">
        <v>291</v>
      </c>
      <c r="B152" s="70" t="s">
        <v>292</v>
      </c>
      <c r="C152" s="70" t="s">
        <v>283</v>
      </c>
      <c r="D152" s="70" t="s">
        <v>546</v>
      </c>
      <c r="E152" s="142">
        <v>28500</v>
      </c>
      <c r="F152" s="142">
        <v>28500</v>
      </c>
      <c r="G152" s="142">
        <v>0</v>
      </c>
      <c r="H152" s="131">
        <f t="shared" si="64"/>
        <v>0</v>
      </c>
      <c r="I152" s="133"/>
      <c r="J152" s="142"/>
      <c r="K152" s="142"/>
      <c r="L152" s="142"/>
      <c r="M152" s="158"/>
      <c r="N152" s="133">
        <f t="shared" si="57"/>
        <v>0</v>
      </c>
      <c r="O152" s="50"/>
      <c r="P152" s="34"/>
    </row>
    <row r="153" spans="1:19" ht="93" thickTop="1" thickBot="1" x14ac:dyDescent="0.25">
      <c r="A153" s="71" t="s">
        <v>293</v>
      </c>
      <c r="B153" s="71" t="s">
        <v>294</v>
      </c>
      <c r="C153" s="71"/>
      <c r="D153" s="71" t="s">
        <v>295</v>
      </c>
      <c r="E153" s="143">
        <f t="shared" ref="E153:J153" si="66">SUM(E154:E155)</f>
        <v>78154561.349999994</v>
      </c>
      <c r="F153" s="143">
        <f t="shared" si="66"/>
        <v>58854220.350000001</v>
      </c>
      <c r="G153" s="143">
        <f t="shared" si="66"/>
        <v>55079623.82</v>
      </c>
      <c r="H153" s="135">
        <f t="shared" si="64"/>
        <v>0.93586532099902331</v>
      </c>
      <c r="I153" s="143">
        <f t="shared" si="66"/>
        <v>6057402.9299999997</v>
      </c>
      <c r="J153" s="143">
        <f t="shared" si="66"/>
        <v>2718198.52</v>
      </c>
      <c r="K153" s="135">
        <f t="shared" ref="K153:K159" si="67">J153/I153</f>
        <v>0.44873992227556836</v>
      </c>
      <c r="L153" s="143"/>
      <c r="M153" s="143"/>
      <c r="N153" s="134">
        <f t="shared" si="57"/>
        <v>57797822.340000004</v>
      </c>
      <c r="P153" s="26"/>
    </row>
    <row r="154" spans="1:19" s="35" customFormat="1" ht="138.75" thickTop="1" thickBot="1" x14ac:dyDescent="0.25">
      <c r="A154" s="70" t="s">
        <v>296</v>
      </c>
      <c r="B154" s="70" t="s">
        <v>297</v>
      </c>
      <c r="C154" s="70" t="s">
        <v>283</v>
      </c>
      <c r="D154" s="70" t="s">
        <v>547</v>
      </c>
      <c r="E154" s="142">
        <v>72237428</v>
      </c>
      <c r="F154" s="142">
        <v>54074479</v>
      </c>
      <c r="G154" s="142">
        <v>50354468.530000001</v>
      </c>
      <c r="H154" s="131">
        <f t="shared" si="64"/>
        <v>0.93120580098423145</v>
      </c>
      <c r="I154" s="142">
        <v>6057402.9299999997</v>
      </c>
      <c r="J154" s="142">
        <v>2718198.52</v>
      </c>
      <c r="K154" s="131">
        <f t="shared" si="67"/>
        <v>0.44873992227556836</v>
      </c>
      <c r="L154" s="108"/>
      <c r="M154" s="89"/>
      <c r="N154" s="133">
        <f t="shared" si="57"/>
        <v>53072667.050000004</v>
      </c>
      <c r="O154" s="33"/>
      <c r="P154" s="34"/>
    </row>
    <row r="155" spans="1:19" s="35" customFormat="1" ht="138.75" thickTop="1" thickBot="1" x14ac:dyDescent="0.25">
      <c r="A155" s="70" t="s">
        <v>298</v>
      </c>
      <c r="B155" s="70" t="s">
        <v>299</v>
      </c>
      <c r="C155" s="70" t="s">
        <v>283</v>
      </c>
      <c r="D155" s="70" t="s">
        <v>300</v>
      </c>
      <c r="E155" s="142">
        <v>5917133.3499999996</v>
      </c>
      <c r="F155" s="142">
        <v>4779741.3499999996</v>
      </c>
      <c r="G155" s="142">
        <v>4725155.29</v>
      </c>
      <c r="H155" s="131">
        <f t="shared" si="64"/>
        <v>0.98857970421349273</v>
      </c>
      <c r="I155" s="142"/>
      <c r="J155" s="142"/>
      <c r="K155" s="131"/>
      <c r="L155" s="142"/>
      <c r="M155" s="158"/>
      <c r="N155" s="133">
        <f t="shared" si="57"/>
        <v>4725155.29</v>
      </c>
      <c r="O155" s="50"/>
      <c r="P155" s="34"/>
    </row>
    <row r="156" spans="1:19" s="35" customFormat="1" ht="93" thickTop="1" thickBot="1" x14ac:dyDescent="0.25">
      <c r="A156" s="58"/>
      <c r="B156" s="71" t="s">
        <v>353</v>
      </c>
      <c r="C156" s="71"/>
      <c r="D156" s="71" t="s">
        <v>354</v>
      </c>
      <c r="E156" s="143">
        <f>SUM(E157:E158)</f>
        <v>210816</v>
      </c>
      <c r="F156" s="143">
        <f>SUM(F157:F158)</f>
        <v>140544</v>
      </c>
      <c r="G156" s="143">
        <f>SUM(G157:G158)</f>
        <v>117120</v>
      </c>
      <c r="H156" s="135">
        <f t="shared" si="64"/>
        <v>0.83333333333333337</v>
      </c>
      <c r="I156" s="143">
        <f>SUM(I157:I158)</f>
        <v>2528649</v>
      </c>
      <c r="J156" s="143">
        <f>SUM(J157:J158)</f>
        <v>0</v>
      </c>
      <c r="K156" s="135">
        <f t="shared" si="67"/>
        <v>0</v>
      </c>
      <c r="L156" s="143"/>
      <c r="M156" s="143"/>
      <c r="N156" s="134">
        <f t="shared" si="57"/>
        <v>117120</v>
      </c>
      <c r="O156" s="50"/>
      <c r="P156" s="34"/>
    </row>
    <row r="157" spans="1:19" s="35" customFormat="1" ht="277.5" customHeight="1" thickTop="1" thickBot="1" x14ac:dyDescent="0.25">
      <c r="A157" s="58"/>
      <c r="B157" s="70" t="s">
        <v>355</v>
      </c>
      <c r="C157" s="70" t="s">
        <v>283</v>
      </c>
      <c r="D157" s="70" t="s">
        <v>592</v>
      </c>
      <c r="E157" s="133"/>
      <c r="F157" s="133"/>
      <c r="G157" s="133"/>
      <c r="H157" s="131">
        <v>0</v>
      </c>
      <c r="I157" s="133">
        <v>2528649</v>
      </c>
      <c r="J157" s="133">
        <v>0</v>
      </c>
      <c r="K157" s="131">
        <f t="shared" si="67"/>
        <v>0</v>
      </c>
      <c r="L157" s="133"/>
      <c r="M157" s="158"/>
      <c r="N157" s="133">
        <f t="shared" si="57"/>
        <v>0</v>
      </c>
      <c r="O157" s="33"/>
      <c r="P157" s="34"/>
    </row>
    <row r="158" spans="1:19" s="35" customFormat="1" ht="138.75" thickTop="1" thickBot="1" x14ac:dyDescent="0.25">
      <c r="A158" s="58"/>
      <c r="B158" s="70" t="s">
        <v>483</v>
      </c>
      <c r="C158" s="70" t="s">
        <v>283</v>
      </c>
      <c r="D158" s="70" t="s">
        <v>484</v>
      </c>
      <c r="E158" s="133">
        <v>210816</v>
      </c>
      <c r="F158" s="133">
        <v>140544</v>
      </c>
      <c r="G158" s="133">
        <v>117120</v>
      </c>
      <c r="H158" s="131">
        <f t="shared" si="64"/>
        <v>0.83333333333333337</v>
      </c>
      <c r="I158" s="133"/>
      <c r="J158" s="133"/>
      <c r="K158" s="131"/>
      <c r="L158" s="133"/>
      <c r="M158" s="158"/>
      <c r="N158" s="133">
        <f t="shared" si="57"/>
        <v>117120</v>
      </c>
      <c r="O158" s="33"/>
      <c r="P158" s="34"/>
    </row>
    <row r="159" spans="1:19" ht="93" thickTop="1" thickBot="1" x14ac:dyDescent="0.25">
      <c r="A159" s="67" t="s">
        <v>301</v>
      </c>
      <c r="B159" s="71" t="s">
        <v>302</v>
      </c>
      <c r="C159" s="71"/>
      <c r="D159" s="71" t="s">
        <v>303</v>
      </c>
      <c r="E159" s="143">
        <f t="shared" ref="E159:J159" si="68">SUM(E160:E162)</f>
        <v>7449454</v>
      </c>
      <c r="F159" s="143">
        <f t="shared" si="68"/>
        <v>5807036</v>
      </c>
      <c r="G159" s="143">
        <f t="shared" si="68"/>
        <v>5394460.0300000003</v>
      </c>
      <c r="H159" s="135">
        <f t="shared" si="64"/>
        <v>0.92895240015732639</v>
      </c>
      <c r="I159" s="143">
        <f t="shared" si="68"/>
        <v>150159</v>
      </c>
      <c r="J159" s="143">
        <f t="shared" si="68"/>
        <v>115379.02</v>
      </c>
      <c r="K159" s="135">
        <f t="shared" si="67"/>
        <v>0.76837898494262746</v>
      </c>
      <c r="L159" s="143"/>
      <c r="M159" s="143"/>
      <c r="N159" s="134">
        <f t="shared" si="57"/>
        <v>5509839.0499999998</v>
      </c>
      <c r="O159" s="50"/>
      <c r="P159" s="26"/>
    </row>
    <row r="160" spans="1:19" s="35" customFormat="1" ht="184.5" thickTop="1" thickBot="1" x14ac:dyDescent="0.25">
      <c r="A160" s="68" t="s">
        <v>304</v>
      </c>
      <c r="B160" s="146" t="s">
        <v>305</v>
      </c>
      <c r="C160" s="146" t="s">
        <v>283</v>
      </c>
      <c r="D160" s="70" t="s">
        <v>306</v>
      </c>
      <c r="E160" s="142">
        <v>950164</v>
      </c>
      <c r="F160" s="142">
        <v>851236</v>
      </c>
      <c r="G160" s="133">
        <v>509616.66</v>
      </c>
      <c r="H160" s="131">
        <f t="shared" si="64"/>
        <v>0.59867846284696602</v>
      </c>
      <c r="I160" s="133"/>
      <c r="J160" s="133"/>
      <c r="K160" s="133"/>
      <c r="L160" s="133"/>
      <c r="M160" s="158"/>
      <c r="N160" s="133">
        <f t="shared" si="57"/>
        <v>509616.66</v>
      </c>
      <c r="O160" s="33"/>
      <c r="P160" s="34"/>
    </row>
    <row r="161" spans="1:16" s="35" customFormat="1" ht="138.75" thickTop="1" thickBot="1" x14ac:dyDescent="0.25">
      <c r="A161" s="68" t="s">
        <v>307</v>
      </c>
      <c r="B161" s="146" t="s">
        <v>308</v>
      </c>
      <c r="C161" s="146" t="s">
        <v>283</v>
      </c>
      <c r="D161" s="70" t="s">
        <v>309</v>
      </c>
      <c r="E161" s="142">
        <v>4210750</v>
      </c>
      <c r="F161" s="142">
        <v>3192750</v>
      </c>
      <c r="G161" s="133">
        <v>3165750</v>
      </c>
      <c r="H161" s="131">
        <f t="shared" si="64"/>
        <v>0.9915433403805497</v>
      </c>
      <c r="I161" s="133"/>
      <c r="J161" s="133"/>
      <c r="K161" s="133"/>
      <c r="L161" s="133"/>
      <c r="M161" s="158"/>
      <c r="N161" s="133">
        <f t="shared" si="57"/>
        <v>3165750</v>
      </c>
      <c r="O161" s="33"/>
      <c r="P161" s="34"/>
    </row>
    <row r="162" spans="1:16" s="35" customFormat="1" ht="93" thickTop="1" thickBot="1" x14ac:dyDescent="0.25">
      <c r="A162" s="68" t="s">
        <v>310</v>
      </c>
      <c r="B162" s="146" t="s">
        <v>311</v>
      </c>
      <c r="C162" s="146" t="s">
        <v>283</v>
      </c>
      <c r="D162" s="70" t="s">
        <v>312</v>
      </c>
      <c r="E162" s="142">
        <v>2288540</v>
      </c>
      <c r="F162" s="142">
        <v>1763050</v>
      </c>
      <c r="G162" s="133">
        <v>1719093.37</v>
      </c>
      <c r="H162" s="131">
        <f t="shared" si="64"/>
        <v>0.97506784833101734</v>
      </c>
      <c r="I162" s="133">
        <v>150159</v>
      </c>
      <c r="J162" s="133">
        <v>115379.02</v>
      </c>
      <c r="K162" s="131">
        <f t="shared" ref="K162" si="69">J162/I162</f>
        <v>0.76837898494262746</v>
      </c>
      <c r="L162" s="133"/>
      <c r="M162" s="158"/>
      <c r="N162" s="133">
        <f t="shared" si="57"/>
        <v>1834472.3900000001</v>
      </c>
      <c r="O162" s="33"/>
      <c r="P162" s="34"/>
    </row>
    <row r="163" spans="1:16" s="35" customFormat="1" ht="93" thickTop="1" thickBot="1" x14ac:dyDescent="0.25">
      <c r="A163" s="68"/>
      <c r="B163" s="146" t="s">
        <v>615</v>
      </c>
      <c r="C163" s="146"/>
      <c r="D163" s="70" t="s">
        <v>616</v>
      </c>
      <c r="E163" s="142"/>
      <c r="F163" s="142"/>
      <c r="G163" s="133"/>
      <c r="H163" s="131"/>
      <c r="I163" s="133">
        <v>331633</v>
      </c>
      <c r="J163" s="133">
        <v>0</v>
      </c>
      <c r="K163" s="131">
        <f t="shared" ref="K163" si="70">J163/I163</f>
        <v>0</v>
      </c>
      <c r="L163" s="133"/>
      <c r="M163" s="158"/>
      <c r="N163" s="133">
        <f t="shared" ref="N163" si="71">G163+J163</f>
        <v>0</v>
      </c>
      <c r="O163" s="33"/>
      <c r="P163" s="34"/>
    </row>
    <row r="164" spans="1:16" ht="91.5" thickTop="1" thickBot="1" x14ac:dyDescent="0.25">
      <c r="A164" s="57" t="s">
        <v>315</v>
      </c>
      <c r="B164" s="120" t="s">
        <v>235</v>
      </c>
      <c r="C164" s="120"/>
      <c r="D164" s="121" t="s">
        <v>236</v>
      </c>
      <c r="E164" s="122">
        <f>SUM(E165:E179)-E165-E174</f>
        <v>477429861</v>
      </c>
      <c r="F164" s="122">
        <f>SUM(F165:F179)-F165-F174</f>
        <v>387300916</v>
      </c>
      <c r="G164" s="122">
        <f>SUM(G165:G179)-G165-G174</f>
        <v>339431336.18000001</v>
      </c>
      <c r="H164" s="123">
        <f>G164/F164</f>
        <v>0.87640210016957465</v>
      </c>
      <c r="I164" s="122">
        <f t="shared" ref="I164:J164" si="72">SUM(I165:I179)-I165-I174</f>
        <v>72159881</v>
      </c>
      <c r="J164" s="122">
        <f t="shared" si="72"/>
        <v>40926774.5</v>
      </c>
      <c r="K164" s="124">
        <f>J164/I164</f>
        <v>0.56716798770774024</v>
      </c>
      <c r="L164" s="122"/>
      <c r="M164" s="122"/>
      <c r="N164" s="125">
        <f>J164+G164</f>
        <v>380358110.68000001</v>
      </c>
      <c r="O164" s="53" t="b">
        <f>N164=N166+N167+N168+N169+N171+N172+N173+N175+N178+N179</f>
        <v>1</v>
      </c>
      <c r="P164" s="37"/>
    </row>
    <row r="165" spans="1:16" s="18" customFormat="1" ht="93" thickTop="1" thickBot="1" x14ac:dyDescent="0.25">
      <c r="A165" s="71" t="s">
        <v>316</v>
      </c>
      <c r="B165" s="71" t="s">
        <v>317</v>
      </c>
      <c r="C165" s="71"/>
      <c r="D165" s="71" t="s">
        <v>548</v>
      </c>
      <c r="E165" s="134">
        <f t="shared" ref="E165:J165" si="73">SUM(E166:E171)</f>
        <v>132398098</v>
      </c>
      <c r="F165" s="134">
        <f t="shared" si="73"/>
        <v>116820698</v>
      </c>
      <c r="G165" s="134">
        <f t="shared" si="73"/>
        <v>115850010.7</v>
      </c>
      <c r="H165" s="135">
        <f>G165/F165</f>
        <v>0.99169079352701694</v>
      </c>
      <c r="I165" s="134">
        <f t="shared" si="73"/>
        <v>17650257</v>
      </c>
      <c r="J165" s="134">
        <f t="shared" si="73"/>
        <v>11384372.960000001</v>
      </c>
      <c r="K165" s="135">
        <f t="shared" ref="K165:K168" si="74">J165/I165</f>
        <v>0.64499757482284825</v>
      </c>
      <c r="L165" s="134"/>
      <c r="M165" s="134"/>
      <c r="N165" s="134">
        <f t="shared" ref="N165:N211" si="75">G165+J165</f>
        <v>127234383.66</v>
      </c>
      <c r="O165" s="20"/>
      <c r="P165" s="37"/>
    </row>
    <row r="166" spans="1:16" ht="93" thickTop="1" thickBot="1" x14ac:dyDescent="0.25">
      <c r="A166" s="70" t="s">
        <v>318</v>
      </c>
      <c r="B166" s="70" t="s">
        <v>319</v>
      </c>
      <c r="C166" s="70" t="s">
        <v>239</v>
      </c>
      <c r="D166" s="70" t="s">
        <v>320</v>
      </c>
      <c r="E166" s="142">
        <v>4746258</v>
      </c>
      <c r="F166" s="142">
        <v>4321998</v>
      </c>
      <c r="G166" s="142">
        <v>3424459.67</v>
      </c>
      <c r="H166" s="131">
        <f>G166/F166</f>
        <v>0.79233254388363894</v>
      </c>
      <c r="I166" s="142">
        <v>4384867</v>
      </c>
      <c r="J166" s="161">
        <v>1308303.53</v>
      </c>
      <c r="K166" s="131">
        <f t="shared" si="74"/>
        <v>0.29836789348456866</v>
      </c>
      <c r="L166" s="161"/>
      <c r="M166" s="158"/>
      <c r="N166" s="133">
        <f t="shared" si="75"/>
        <v>4732763.2</v>
      </c>
      <c r="P166" s="37"/>
    </row>
    <row r="167" spans="1:16" ht="138.75" customHeight="1" thickTop="1" thickBot="1" x14ac:dyDescent="0.25">
      <c r="A167" s="58"/>
      <c r="B167" s="70" t="s">
        <v>338</v>
      </c>
      <c r="C167" s="70" t="s">
        <v>323</v>
      </c>
      <c r="D167" s="70" t="s">
        <v>339</v>
      </c>
      <c r="E167" s="142">
        <v>77000000</v>
      </c>
      <c r="F167" s="142">
        <v>77000000</v>
      </c>
      <c r="G167" s="142">
        <v>77000000</v>
      </c>
      <c r="H167" s="131">
        <f t="shared" ref="H167:H178" si="76">G167/F167</f>
        <v>1</v>
      </c>
      <c r="I167" s="142"/>
      <c r="J167" s="161"/>
      <c r="K167" s="161"/>
      <c r="L167" s="161"/>
      <c r="M167" s="158"/>
      <c r="N167" s="133">
        <f t="shared" si="75"/>
        <v>77000000</v>
      </c>
      <c r="P167" s="37"/>
    </row>
    <row r="168" spans="1:16" ht="93" thickTop="1" thickBot="1" x14ac:dyDescent="0.25">
      <c r="A168" s="58"/>
      <c r="B168" s="70" t="s">
        <v>340</v>
      </c>
      <c r="C168" s="70" t="s">
        <v>323</v>
      </c>
      <c r="D168" s="70" t="s">
        <v>341</v>
      </c>
      <c r="E168" s="142">
        <v>50600240</v>
      </c>
      <c r="F168" s="142">
        <v>35460000</v>
      </c>
      <c r="G168" s="142">
        <v>35391151.030000001</v>
      </c>
      <c r="H168" s="131">
        <f t="shared" si="76"/>
        <v>0.99805840468133111</v>
      </c>
      <c r="I168" s="142">
        <v>94317</v>
      </c>
      <c r="J168" s="161">
        <v>94316.68</v>
      </c>
      <c r="K168" s="131">
        <f t="shared" si="74"/>
        <v>0.99999660718640326</v>
      </c>
      <c r="L168" s="161"/>
      <c r="M168" s="158"/>
      <c r="N168" s="133">
        <f t="shared" si="75"/>
        <v>35485467.710000001</v>
      </c>
      <c r="P168" s="37"/>
    </row>
    <row r="169" spans="1:16" ht="93" thickTop="1" thickBot="1" x14ac:dyDescent="0.25">
      <c r="A169" s="58" t="s">
        <v>321</v>
      </c>
      <c r="B169" s="70" t="s">
        <v>322</v>
      </c>
      <c r="C169" s="70" t="s">
        <v>323</v>
      </c>
      <c r="D169" s="70" t="s">
        <v>324</v>
      </c>
      <c r="E169" s="142"/>
      <c r="F169" s="142"/>
      <c r="G169" s="142"/>
      <c r="H169" s="131"/>
      <c r="I169" s="142">
        <v>13171073</v>
      </c>
      <c r="J169" s="161">
        <v>9981752.75</v>
      </c>
      <c r="K169" s="131">
        <f t="shared" ref="K169:K178" si="77">J169/I169</f>
        <v>0.75785418166006668</v>
      </c>
      <c r="L169" s="161"/>
      <c r="M169" s="158"/>
      <c r="N169" s="133">
        <f t="shared" si="75"/>
        <v>9981752.75</v>
      </c>
      <c r="O169" s="50"/>
      <c r="P169" s="37"/>
    </row>
    <row r="170" spans="1:16" ht="93" hidden="1" thickTop="1" thickBot="1" x14ac:dyDescent="0.25">
      <c r="A170" s="58"/>
      <c r="B170" s="70" t="s">
        <v>498</v>
      </c>
      <c r="C170" s="70" t="s">
        <v>323</v>
      </c>
      <c r="D170" s="70" t="s">
        <v>499</v>
      </c>
      <c r="E170" s="142">
        <v>0</v>
      </c>
      <c r="F170" s="142">
        <v>0</v>
      </c>
      <c r="G170" s="142">
        <v>0</v>
      </c>
      <c r="H170" s="131" t="e">
        <f t="shared" si="76"/>
        <v>#DIV/0!</v>
      </c>
      <c r="I170" s="108"/>
      <c r="J170" s="109"/>
      <c r="K170" s="86"/>
      <c r="L170" s="109"/>
      <c r="M170" s="89"/>
      <c r="N170" s="88">
        <f t="shared" si="75"/>
        <v>0</v>
      </c>
      <c r="O170" s="50"/>
      <c r="P170" s="37"/>
    </row>
    <row r="171" spans="1:16" ht="93" thickTop="1" thickBot="1" x14ac:dyDescent="0.25">
      <c r="A171" s="58" t="s">
        <v>325</v>
      </c>
      <c r="B171" s="70" t="s">
        <v>326</v>
      </c>
      <c r="C171" s="70" t="s">
        <v>323</v>
      </c>
      <c r="D171" s="70" t="s">
        <v>577</v>
      </c>
      <c r="E171" s="142">
        <v>51600</v>
      </c>
      <c r="F171" s="142">
        <v>38700</v>
      </c>
      <c r="G171" s="142">
        <v>34400</v>
      </c>
      <c r="H171" s="131">
        <f t="shared" si="76"/>
        <v>0.88888888888888884</v>
      </c>
      <c r="I171" s="142"/>
      <c r="J171" s="161"/>
      <c r="K171" s="131"/>
      <c r="L171" s="161"/>
      <c r="M171" s="158"/>
      <c r="N171" s="133">
        <f t="shared" si="75"/>
        <v>34400</v>
      </c>
      <c r="O171" s="50"/>
      <c r="P171" s="37"/>
    </row>
    <row r="172" spans="1:16" ht="184.5" thickTop="1" thickBot="1" x14ac:dyDescent="0.25">
      <c r="A172" s="58" t="s">
        <v>327</v>
      </c>
      <c r="B172" s="70" t="s">
        <v>328</v>
      </c>
      <c r="C172" s="70" t="s">
        <v>323</v>
      </c>
      <c r="D172" s="70" t="s">
        <v>329</v>
      </c>
      <c r="E172" s="142">
        <v>18766645</v>
      </c>
      <c r="F172" s="142">
        <v>7922852</v>
      </c>
      <c r="G172" s="142">
        <v>6171305.1799999997</v>
      </c>
      <c r="H172" s="131">
        <f t="shared" si="76"/>
        <v>0.77892470792083457</v>
      </c>
      <c r="I172" s="142"/>
      <c r="J172" s="161"/>
      <c r="K172" s="161"/>
      <c r="L172" s="161"/>
      <c r="M172" s="158"/>
      <c r="N172" s="133">
        <f t="shared" si="75"/>
        <v>6171305.1799999997</v>
      </c>
      <c r="O172" s="50"/>
      <c r="P172" s="37"/>
    </row>
    <row r="173" spans="1:16" ht="62.25" thickTop="1" thickBot="1" x14ac:dyDescent="0.25">
      <c r="A173" s="58"/>
      <c r="B173" s="70" t="s">
        <v>331</v>
      </c>
      <c r="C173" s="70" t="s">
        <v>323</v>
      </c>
      <c r="D173" s="70" t="s">
        <v>332</v>
      </c>
      <c r="E173" s="142">
        <v>323389831</v>
      </c>
      <c r="F173" s="142">
        <v>260958401</v>
      </c>
      <c r="G173" s="142">
        <v>216006854.69999999</v>
      </c>
      <c r="H173" s="131">
        <f t="shared" si="76"/>
        <v>0.82774439861777049</v>
      </c>
      <c r="I173" s="133">
        <v>2423285</v>
      </c>
      <c r="J173" s="142">
        <v>61232</v>
      </c>
      <c r="K173" s="131">
        <f t="shared" si="77"/>
        <v>2.5268179351582664E-2</v>
      </c>
      <c r="L173" s="142"/>
      <c r="M173" s="158"/>
      <c r="N173" s="133">
        <f t="shared" si="75"/>
        <v>216068086.69999999</v>
      </c>
      <c r="O173" s="52"/>
      <c r="P173" s="37"/>
    </row>
    <row r="174" spans="1:16" ht="123" thickTop="1" thickBot="1" x14ac:dyDescent="0.25">
      <c r="A174" s="58"/>
      <c r="B174" s="71" t="s">
        <v>237</v>
      </c>
      <c r="C174" s="71"/>
      <c r="D174" s="71" t="s">
        <v>549</v>
      </c>
      <c r="E174" s="143">
        <f>SUM(E175:E177)</f>
        <v>0</v>
      </c>
      <c r="F174" s="143">
        <f>SUM(F175:F177)</f>
        <v>0</v>
      </c>
      <c r="G174" s="143">
        <f>SUM(G175:G177)</f>
        <v>0</v>
      </c>
      <c r="H174" s="135">
        <v>0</v>
      </c>
      <c r="I174" s="143">
        <f>SUM(I175:I177)</f>
        <v>45770000</v>
      </c>
      <c r="J174" s="143">
        <f>SUM(J175:J177)</f>
        <v>27419616.809999999</v>
      </c>
      <c r="K174" s="131">
        <f t="shared" si="77"/>
        <v>0.59907399628577673</v>
      </c>
      <c r="L174" s="143"/>
      <c r="M174" s="159"/>
      <c r="N174" s="134">
        <f t="shared" si="75"/>
        <v>27419616.809999999</v>
      </c>
      <c r="O174" s="50" t="s">
        <v>391</v>
      </c>
      <c r="P174" s="37"/>
    </row>
    <row r="175" spans="1:16" ht="93" thickTop="1" thickBot="1" x14ac:dyDescent="0.25">
      <c r="A175" s="58" t="s">
        <v>330</v>
      </c>
      <c r="B175" s="70" t="s">
        <v>238</v>
      </c>
      <c r="C175" s="70" t="s">
        <v>239</v>
      </c>
      <c r="D175" s="70" t="s">
        <v>550</v>
      </c>
      <c r="E175" s="142"/>
      <c r="F175" s="142"/>
      <c r="G175" s="142"/>
      <c r="H175" s="131"/>
      <c r="I175" s="133">
        <v>45770000</v>
      </c>
      <c r="J175" s="142">
        <v>27419616.809999999</v>
      </c>
      <c r="K175" s="131">
        <f t="shared" si="77"/>
        <v>0.59907399628577673</v>
      </c>
      <c r="L175" s="142"/>
      <c r="M175" s="158"/>
      <c r="N175" s="133">
        <f t="shared" si="75"/>
        <v>27419616.809999999</v>
      </c>
      <c r="O175" s="50"/>
      <c r="P175" s="30"/>
    </row>
    <row r="176" spans="1:16" ht="409.6" hidden="1" customHeight="1" thickTop="1" thickBot="1" x14ac:dyDescent="0.25">
      <c r="A176" s="58"/>
      <c r="B176" s="87" t="s">
        <v>443</v>
      </c>
      <c r="C176" s="87" t="s">
        <v>239</v>
      </c>
      <c r="D176" s="87" t="s">
        <v>444</v>
      </c>
      <c r="E176" s="108"/>
      <c r="F176" s="108"/>
      <c r="G176" s="108"/>
      <c r="H176" s="86" t="e">
        <f t="shared" si="76"/>
        <v>#DIV/0!</v>
      </c>
      <c r="I176" s="88">
        <v>0</v>
      </c>
      <c r="J176" s="108">
        <v>0</v>
      </c>
      <c r="K176" s="86" t="e">
        <f t="shared" si="77"/>
        <v>#DIV/0!</v>
      </c>
      <c r="L176" s="108"/>
      <c r="M176" s="89"/>
      <c r="N176" s="88">
        <f t="shared" si="75"/>
        <v>0</v>
      </c>
      <c r="P176" s="30"/>
    </row>
    <row r="177" spans="1:16" ht="184.5" hidden="1" thickTop="1" thickBot="1" x14ac:dyDescent="0.25">
      <c r="A177" s="58"/>
      <c r="B177" s="115" t="s">
        <v>313</v>
      </c>
      <c r="C177" s="115" t="s">
        <v>239</v>
      </c>
      <c r="D177" s="87" t="s">
        <v>314</v>
      </c>
      <c r="E177" s="108">
        <v>0</v>
      </c>
      <c r="F177" s="108">
        <v>0</v>
      </c>
      <c r="G177" s="88">
        <v>0</v>
      </c>
      <c r="H177" s="86">
        <v>0</v>
      </c>
      <c r="I177" s="88"/>
      <c r="J177" s="88"/>
      <c r="K177" s="88"/>
      <c r="L177" s="88"/>
      <c r="M177" s="89"/>
      <c r="N177" s="88">
        <f t="shared" si="75"/>
        <v>0</v>
      </c>
      <c r="O177" s="185" t="s">
        <v>391</v>
      </c>
      <c r="P177" s="186"/>
    </row>
    <row r="178" spans="1:16" ht="93" thickTop="1" thickBot="1" x14ac:dyDescent="0.25">
      <c r="A178" s="58"/>
      <c r="B178" s="70" t="s">
        <v>456</v>
      </c>
      <c r="C178" s="70" t="s">
        <v>457</v>
      </c>
      <c r="D178" s="70" t="s">
        <v>458</v>
      </c>
      <c r="E178" s="142">
        <v>2875287</v>
      </c>
      <c r="F178" s="142">
        <v>1598965</v>
      </c>
      <c r="G178" s="133">
        <v>1403165.6</v>
      </c>
      <c r="H178" s="131">
        <f t="shared" si="76"/>
        <v>0.87754616267397978</v>
      </c>
      <c r="I178" s="133">
        <v>1500000</v>
      </c>
      <c r="J178" s="133">
        <v>0</v>
      </c>
      <c r="K178" s="131">
        <f t="shared" si="77"/>
        <v>0</v>
      </c>
      <c r="L178" s="133"/>
      <c r="M178" s="158"/>
      <c r="N178" s="133">
        <f t="shared" si="75"/>
        <v>1403165.6</v>
      </c>
      <c r="O178" s="185"/>
      <c r="P178" s="186"/>
    </row>
    <row r="179" spans="1:16" ht="93" thickTop="1" thickBot="1" x14ac:dyDescent="0.25">
      <c r="A179" s="58"/>
      <c r="B179" s="70" t="s">
        <v>578</v>
      </c>
      <c r="C179" s="70" t="s">
        <v>457</v>
      </c>
      <c r="D179" s="70" t="s">
        <v>579</v>
      </c>
      <c r="E179" s="142"/>
      <c r="F179" s="142"/>
      <c r="G179" s="133"/>
      <c r="H179" s="131"/>
      <c r="I179" s="133">
        <f>1964189+2852150</f>
        <v>4816339</v>
      </c>
      <c r="J179" s="133">
        <v>2061552.73</v>
      </c>
      <c r="K179" s="131">
        <f t="shared" ref="K179" si="78">J179/I179</f>
        <v>0.42803314509215401</v>
      </c>
      <c r="L179" s="133"/>
      <c r="M179" s="158"/>
      <c r="N179" s="133">
        <f t="shared" si="75"/>
        <v>2061552.73</v>
      </c>
      <c r="O179" s="52"/>
      <c r="P179" s="52"/>
    </row>
    <row r="180" spans="1:16" s="38" customFormat="1" ht="101.25" customHeight="1" thickTop="1" thickBot="1" x14ac:dyDescent="0.25">
      <c r="A180" s="60" t="s">
        <v>333</v>
      </c>
      <c r="B180" s="120" t="s">
        <v>30</v>
      </c>
      <c r="C180" s="120"/>
      <c r="D180" s="121" t="s">
        <v>334</v>
      </c>
      <c r="E180" s="122">
        <f>E181+E183+E191+E199+E202</f>
        <v>201047573.63999999</v>
      </c>
      <c r="F180" s="122">
        <f>F181+F183+F191+F199+F202</f>
        <v>151888137</v>
      </c>
      <c r="G180" s="122">
        <f>G181+G183+G191+G199+G202</f>
        <v>140818944.13</v>
      </c>
      <c r="H180" s="123">
        <f>G180/F180</f>
        <v>0.92712272934126516</v>
      </c>
      <c r="I180" s="122">
        <f>I181+I183+I191+I199+I202</f>
        <v>151003063.79000002</v>
      </c>
      <c r="J180" s="122">
        <f>J181+J183+J191+J199+J202</f>
        <v>71149813.370000005</v>
      </c>
      <c r="K180" s="124">
        <f>J180/I180</f>
        <v>0.47118125675216799</v>
      </c>
      <c r="L180" s="122"/>
      <c r="M180" s="122"/>
      <c r="N180" s="125">
        <f>J180+G180</f>
        <v>211968757.5</v>
      </c>
      <c r="O180" s="53" t="b">
        <f>N180=N182+N185+N187+N190+N193+N195+N198+N200+N203+N205+N206+N207+N208+N209+N210+N212+N213</f>
        <v>1</v>
      </c>
      <c r="P180" s="51"/>
    </row>
    <row r="181" spans="1:16" s="38" customFormat="1" ht="91.5" thickTop="1" thickBot="1" x14ac:dyDescent="0.25">
      <c r="A181" s="126"/>
      <c r="B181" s="147" t="s">
        <v>372</v>
      </c>
      <c r="C181" s="147"/>
      <c r="D181" s="147" t="s">
        <v>373</v>
      </c>
      <c r="E181" s="148">
        <f>SUM(E182)</f>
        <v>320400</v>
      </c>
      <c r="F181" s="148">
        <f>SUM(F182)</f>
        <v>320400</v>
      </c>
      <c r="G181" s="148">
        <f>SUM(G182)</f>
        <v>187220</v>
      </c>
      <c r="H181" s="149">
        <f>G181/F181</f>
        <v>0.58433208489388266</v>
      </c>
      <c r="I181" s="148">
        <f>SUM(I182)</f>
        <v>0</v>
      </c>
      <c r="J181" s="148">
        <f>SUM(J182)</f>
        <v>0</v>
      </c>
      <c r="K181" s="149">
        <v>0</v>
      </c>
      <c r="L181" s="148"/>
      <c r="M181" s="148"/>
      <c r="N181" s="148">
        <f t="shared" si="75"/>
        <v>187220</v>
      </c>
      <c r="O181" s="185" t="s">
        <v>391</v>
      </c>
      <c r="P181" s="186"/>
    </row>
    <row r="182" spans="1:16" s="38" customFormat="1" ht="62.25" thickTop="1" thickBot="1" x14ac:dyDescent="0.25">
      <c r="A182" s="126"/>
      <c r="B182" s="70" t="s">
        <v>374</v>
      </c>
      <c r="C182" s="70" t="s">
        <v>375</v>
      </c>
      <c r="D182" s="70" t="s">
        <v>376</v>
      </c>
      <c r="E182" s="133">
        <v>320400</v>
      </c>
      <c r="F182" s="133">
        <v>320400</v>
      </c>
      <c r="G182" s="133">
        <v>187220</v>
      </c>
      <c r="H182" s="131">
        <f>G182/F182</f>
        <v>0.58433208489388266</v>
      </c>
      <c r="I182" s="133"/>
      <c r="J182" s="133"/>
      <c r="K182" s="131"/>
      <c r="L182" s="133"/>
      <c r="M182" s="158"/>
      <c r="N182" s="133">
        <f t="shared" si="75"/>
        <v>187220</v>
      </c>
      <c r="O182" s="185"/>
      <c r="P182" s="186"/>
    </row>
    <row r="183" spans="1:16" s="38" customFormat="1" ht="91.5" thickTop="1" thickBot="1" x14ac:dyDescent="0.25">
      <c r="A183" s="126"/>
      <c r="B183" s="147" t="s">
        <v>240</v>
      </c>
      <c r="C183" s="147"/>
      <c r="D183" s="147" t="s">
        <v>551</v>
      </c>
      <c r="E183" s="150">
        <f>SUM(E185:E190)</f>
        <v>260000</v>
      </c>
      <c r="F183" s="150">
        <f>SUM(F185:F190)</f>
        <v>200000</v>
      </c>
      <c r="G183" s="150">
        <f>SUM(G185:G190)</f>
        <v>0</v>
      </c>
      <c r="H183" s="149">
        <f>G183/F183</f>
        <v>0</v>
      </c>
      <c r="I183" s="150">
        <f>SUM(I185:I190)</f>
        <v>48180048.119999997</v>
      </c>
      <c r="J183" s="150">
        <f>SUM(J185:J190)</f>
        <v>40380877.609999999</v>
      </c>
      <c r="K183" s="149">
        <f t="shared" ref="K183" si="79">J183/I183</f>
        <v>0.83812447653487321</v>
      </c>
      <c r="L183" s="150"/>
      <c r="M183" s="150"/>
      <c r="N183" s="148">
        <f>G183+J183</f>
        <v>40380877.609999999</v>
      </c>
      <c r="O183" s="185"/>
      <c r="P183" s="186"/>
    </row>
    <row r="184" spans="1:16" s="38" customFormat="1" ht="93" hidden="1" thickTop="1" thickBot="1" x14ac:dyDescent="0.25">
      <c r="A184" s="126"/>
      <c r="B184" s="87" t="s">
        <v>466</v>
      </c>
      <c r="C184" s="87" t="s">
        <v>241</v>
      </c>
      <c r="D184" s="87" t="s">
        <v>469</v>
      </c>
      <c r="E184" s="88"/>
      <c r="F184" s="88"/>
      <c r="G184" s="88"/>
      <c r="H184" s="88"/>
      <c r="I184" s="88">
        <v>0</v>
      </c>
      <c r="J184" s="88">
        <v>0</v>
      </c>
      <c r="K184" s="86" t="e">
        <f t="shared" ref="K184:K191" si="80">J184/I184</f>
        <v>#DIV/0!</v>
      </c>
      <c r="L184" s="88"/>
      <c r="M184" s="89"/>
      <c r="N184" s="88">
        <f t="shared" si="75"/>
        <v>0</v>
      </c>
      <c r="O184" s="39"/>
      <c r="P184" s="51"/>
    </row>
    <row r="185" spans="1:16" s="38" customFormat="1" ht="93" thickTop="1" thickBot="1" x14ac:dyDescent="0.25">
      <c r="A185" s="126"/>
      <c r="B185" s="70" t="s">
        <v>356</v>
      </c>
      <c r="C185" s="70" t="s">
        <v>241</v>
      </c>
      <c r="D185" s="70" t="s">
        <v>470</v>
      </c>
      <c r="E185" s="133"/>
      <c r="F185" s="133"/>
      <c r="G185" s="133"/>
      <c r="H185" s="133"/>
      <c r="I185" s="133">
        <v>48080048.119999997</v>
      </c>
      <c r="J185" s="133">
        <v>40380877.609999999</v>
      </c>
      <c r="K185" s="131">
        <f>J185/I185</f>
        <v>0.83986766213743969</v>
      </c>
      <c r="L185" s="133"/>
      <c r="M185" s="158"/>
      <c r="N185" s="133">
        <f t="shared" si="75"/>
        <v>40380877.609999999</v>
      </c>
      <c r="O185" s="39"/>
      <c r="P185" s="51"/>
    </row>
    <row r="186" spans="1:16" s="38" customFormat="1" ht="138.75" thickTop="1" thickBot="1" x14ac:dyDescent="0.25">
      <c r="A186" s="126"/>
      <c r="B186" s="70" t="s">
        <v>404</v>
      </c>
      <c r="C186" s="70" t="s">
        <v>241</v>
      </c>
      <c r="D186" s="70" t="s">
        <v>593</v>
      </c>
      <c r="E186" s="133"/>
      <c r="F186" s="133"/>
      <c r="G186" s="133"/>
      <c r="H186" s="133"/>
      <c r="I186" s="133">
        <v>100000</v>
      </c>
      <c r="J186" s="133">
        <v>0</v>
      </c>
      <c r="K186" s="131">
        <f t="shared" si="80"/>
        <v>0</v>
      </c>
      <c r="L186" s="133"/>
      <c r="M186" s="158"/>
      <c r="N186" s="133">
        <f t="shared" si="75"/>
        <v>0</v>
      </c>
      <c r="O186" s="39"/>
      <c r="P186" s="51"/>
    </row>
    <row r="187" spans="1:16" s="38" customFormat="1" ht="93" hidden="1" thickTop="1" thickBot="1" x14ac:dyDescent="0.25">
      <c r="A187" s="126"/>
      <c r="B187" s="87" t="s">
        <v>580</v>
      </c>
      <c r="C187" s="87" t="s">
        <v>241</v>
      </c>
      <c r="D187" s="87" t="s">
        <v>581</v>
      </c>
      <c r="E187" s="88"/>
      <c r="F187" s="88"/>
      <c r="G187" s="88"/>
      <c r="H187" s="86"/>
      <c r="I187" s="88">
        <v>0</v>
      </c>
      <c r="J187" s="133">
        <v>0</v>
      </c>
      <c r="K187" s="86" t="e">
        <f t="shared" si="80"/>
        <v>#DIV/0!</v>
      </c>
      <c r="L187" s="88"/>
      <c r="M187" s="89"/>
      <c r="N187" s="88">
        <f t="shared" si="75"/>
        <v>0</v>
      </c>
      <c r="O187" s="39"/>
      <c r="P187" s="51"/>
    </row>
    <row r="188" spans="1:16" s="38" customFormat="1" ht="62.25" hidden="1" thickTop="1" thickBot="1" x14ac:dyDescent="0.25">
      <c r="A188" s="126"/>
      <c r="B188" s="90" t="s">
        <v>445</v>
      </c>
      <c r="C188" s="90"/>
      <c r="D188" s="90" t="s">
        <v>447</v>
      </c>
      <c r="E188" s="91">
        <f>E189</f>
        <v>0</v>
      </c>
      <c r="F188" s="91">
        <f>F189</f>
        <v>0</v>
      </c>
      <c r="G188" s="91">
        <f t="shared" ref="G188" si="81">G189</f>
        <v>0</v>
      </c>
      <c r="H188" s="92"/>
      <c r="I188" s="91">
        <f>I189</f>
        <v>0</v>
      </c>
      <c r="J188" s="91">
        <f>J189</f>
        <v>0</v>
      </c>
      <c r="K188" s="86" t="e">
        <f t="shared" si="80"/>
        <v>#DIV/0!</v>
      </c>
      <c r="L188" s="91"/>
      <c r="M188" s="91"/>
      <c r="N188" s="91">
        <f t="shared" si="75"/>
        <v>0</v>
      </c>
      <c r="O188" s="185" t="s">
        <v>391</v>
      </c>
      <c r="P188" s="186"/>
    </row>
    <row r="189" spans="1:16" s="38" customFormat="1" ht="138.75" hidden="1" thickTop="1" thickBot="1" x14ac:dyDescent="0.25">
      <c r="A189" s="126"/>
      <c r="B189" s="87" t="s">
        <v>446</v>
      </c>
      <c r="C189" s="87" t="s">
        <v>38</v>
      </c>
      <c r="D189" s="87" t="s">
        <v>448</v>
      </c>
      <c r="E189" s="88"/>
      <c r="F189" s="88"/>
      <c r="G189" s="88"/>
      <c r="H189" s="88"/>
      <c r="I189" s="88"/>
      <c r="J189" s="88">
        <v>0</v>
      </c>
      <c r="K189" s="86" t="e">
        <f t="shared" si="80"/>
        <v>#DIV/0!</v>
      </c>
      <c r="L189" s="88"/>
      <c r="M189" s="89"/>
      <c r="N189" s="88">
        <f t="shared" si="75"/>
        <v>0</v>
      </c>
      <c r="O189" s="39"/>
      <c r="P189" s="51"/>
    </row>
    <row r="190" spans="1:16" s="38" customFormat="1" ht="93" thickTop="1" thickBot="1" x14ac:dyDescent="0.25">
      <c r="A190" s="126"/>
      <c r="B190" s="70" t="s">
        <v>357</v>
      </c>
      <c r="C190" s="70" t="s">
        <v>38</v>
      </c>
      <c r="D190" s="70" t="s">
        <v>358</v>
      </c>
      <c r="E190" s="133">
        <v>260000</v>
      </c>
      <c r="F190" s="133">
        <v>200000</v>
      </c>
      <c r="G190" s="133">
        <v>0</v>
      </c>
      <c r="H190" s="131">
        <f t="shared" ref="H190" si="82">G190/F190</f>
        <v>0</v>
      </c>
      <c r="I190" s="133"/>
      <c r="J190" s="133"/>
      <c r="K190" s="131"/>
      <c r="L190" s="133"/>
      <c r="M190" s="158"/>
      <c r="N190" s="133">
        <f>G190+J190</f>
        <v>0</v>
      </c>
      <c r="O190" s="185"/>
      <c r="P190" s="186"/>
    </row>
    <row r="191" spans="1:16" s="38" customFormat="1" ht="91.5" thickTop="1" thickBot="1" x14ac:dyDescent="0.25">
      <c r="A191" s="128"/>
      <c r="B191" s="147" t="s">
        <v>342</v>
      </c>
      <c r="C191" s="147"/>
      <c r="D191" s="147" t="s">
        <v>343</v>
      </c>
      <c r="E191" s="148">
        <f>SUM(E192:E198)-E194-E197-E192</f>
        <v>164709660</v>
      </c>
      <c r="F191" s="148">
        <f>SUM(F192:F198)-F194-F197-F192</f>
        <v>122616774</v>
      </c>
      <c r="G191" s="148">
        <f>SUM(G192:G198)-G194-G197-G192</f>
        <v>119807405.71000001</v>
      </c>
      <c r="H191" s="149">
        <f t="shared" ref="H191" si="83">G191/F191</f>
        <v>0.97708822212204027</v>
      </c>
      <c r="I191" s="148">
        <f>SUM(I192:I198)-I194-I197-I192</f>
        <v>25125000</v>
      </c>
      <c r="J191" s="148">
        <f>SUM(J192:J198)-J194-J197-J192</f>
        <v>2168497.2200000002</v>
      </c>
      <c r="K191" s="149">
        <f t="shared" si="80"/>
        <v>8.6308347064676619E-2</v>
      </c>
      <c r="L191" s="148"/>
      <c r="M191" s="148"/>
      <c r="N191" s="148">
        <f>G191+J191</f>
        <v>121975902.93000001</v>
      </c>
      <c r="O191" s="39"/>
      <c r="P191" s="51"/>
    </row>
    <row r="192" spans="1:16" s="38" customFormat="1" ht="93" thickTop="1" thickBot="1" x14ac:dyDescent="0.25">
      <c r="A192" s="128"/>
      <c r="B192" s="71" t="s">
        <v>414</v>
      </c>
      <c r="C192" s="71"/>
      <c r="D192" s="71" t="s">
        <v>415</v>
      </c>
      <c r="E192" s="134">
        <f>E193</f>
        <v>2450000</v>
      </c>
      <c r="F192" s="134">
        <f>F193</f>
        <v>1630201</v>
      </c>
      <c r="G192" s="134">
        <f>G193</f>
        <v>644252.17000000004</v>
      </c>
      <c r="H192" s="135">
        <f t="shared" ref="H192:H207" si="84">G192/F192</f>
        <v>0.3951979970568047</v>
      </c>
      <c r="I192" s="134">
        <f t="shared" ref="I192:J192" si="85">I193</f>
        <v>0</v>
      </c>
      <c r="J192" s="134">
        <f t="shared" si="85"/>
        <v>0</v>
      </c>
      <c r="K192" s="135">
        <v>0</v>
      </c>
      <c r="L192" s="134"/>
      <c r="M192" s="134"/>
      <c r="N192" s="134">
        <f t="shared" si="75"/>
        <v>644252.17000000004</v>
      </c>
      <c r="O192" s="185" t="s">
        <v>391</v>
      </c>
      <c r="P192" s="186"/>
    </row>
    <row r="193" spans="1:19" s="38" customFormat="1" ht="48" thickTop="1" thickBot="1" x14ac:dyDescent="0.25">
      <c r="A193" s="128"/>
      <c r="B193" s="70" t="s">
        <v>416</v>
      </c>
      <c r="C193" s="70" t="s">
        <v>417</v>
      </c>
      <c r="D193" s="70" t="s">
        <v>418</v>
      </c>
      <c r="E193" s="133">
        <v>2450000</v>
      </c>
      <c r="F193" s="133">
        <v>1630201</v>
      </c>
      <c r="G193" s="133">
        <v>644252.17000000004</v>
      </c>
      <c r="H193" s="131">
        <f>G193/F193</f>
        <v>0.3951979970568047</v>
      </c>
      <c r="I193" s="133"/>
      <c r="J193" s="133"/>
      <c r="K193" s="133"/>
      <c r="L193" s="133"/>
      <c r="M193" s="158"/>
      <c r="N193" s="133">
        <f t="shared" si="75"/>
        <v>644252.17000000004</v>
      </c>
      <c r="O193" s="39"/>
      <c r="P193" s="51"/>
    </row>
    <row r="194" spans="1:19" s="38" customFormat="1" ht="93" thickTop="1" thickBot="1" x14ac:dyDescent="0.25">
      <c r="A194" s="128"/>
      <c r="B194" s="71" t="s">
        <v>359</v>
      </c>
      <c r="C194" s="71"/>
      <c r="D194" s="71" t="s">
        <v>360</v>
      </c>
      <c r="E194" s="134">
        <f>E195</f>
        <v>162259660</v>
      </c>
      <c r="F194" s="134">
        <f>F195</f>
        <v>120986573</v>
      </c>
      <c r="G194" s="134">
        <f>G195</f>
        <v>119163153.54000001</v>
      </c>
      <c r="H194" s="131">
        <f t="shared" si="84"/>
        <v>0.98492874527489926</v>
      </c>
      <c r="I194" s="134">
        <f>I195</f>
        <v>0</v>
      </c>
      <c r="J194" s="134">
        <f>J195</f>
        <v>0</v>
      </c>
      <c r="K194" s="135">
        <v>0</v>
      </c>
      <c r="L194" s="134"/>
      <c r="M194" s="134"/>
      <c r="N194" s="134">
        <f t="shared" si="75"/>
        <v>119163153.54000001</v>
      </c>
      <c r="O194" s="185" t="s">
        <v>391</v>
      </c>
      <c r="P194" s="186"/>
    </row>
    <row r="195" spans="1:19" s="38" customFormat="1" ht="66" customHeight="1" thickTop="1" thickBot="1" x14ac:dyDescent="0.25">
      <c r="A195" s="128"/>
      <c r="B195" s="70" t="s">
        <v>361</v>
      </c>
      <c r="C195" s="70" t="s">
        <v>362</v>
      </c>
      <c r="D195" s="70" t="s">
        <v>363</v>
      </c>
      <c r="E195" s="133">
        <v>162259660</v>
      </c>
      <c r="F195" s="133">
        <v>120986573</v>
      </c>
      <c r="G195" s="133">
        <v>119163153.54000001</v>
      </c>
      <c r="H195" s="131">
        <f t="shared" si="84"/>
        <v>0.98492874527489926</v>
      </c>
      <c r="I195" s="133"/>
      <c r="J195" s="133"/>
      <c r="K195" s="133"/>
      <c r="L195" s="133"/>
      <c r="M195" s="158"/>
      <c r="N195" s="133">
        <f t="shared" si="75"/>
        <v>119163153.54000001</v>
      </c>
      <c r="O195" s="39"/>
      <c r="P195" s="51"/>
    </row>
    <row r="196" spans="1:19" s="38" customFormat="1" ht="62.25" hidden="1" thickTop="1" thickBot="1" x14ac:dyDescent="0.25">
      <c r="A196" s="128"/>
      <c r="B196" s="87" t="s">
        <v>459</v>
      </c>
      <c r="C196" s="87" t="s">
        <v>345</v>
      </c>
      <c r="D196" s="87" t="s">
        <v>460</v>
      </c>
      <c r="E196" s="88">
        <v>0</v>
      </c>
      <c r="F196" s="88">
        <v>0</v>
      </c>
      <c r="G196" s="88">
        <v>0</v>
      </c>
      <c r="H196" s="86" t="e">
        <f t="shared" si="84"/>
        <v>#DIV/0!</v>
      </c>
      <c r="I196" s="88"/>
      <c r="J196" s="88"/>
      <c r="K196" s="88"/>
      <c r="L196" s="88"/>
      <c r="M196" s="89"/>
      <c r="N196" s="88">
        <f t="shared" si="75"/>
        <v>0</v>
      </c>
      <c r="O196" s="50"/>
      <c r="P196" s="51"/>
    </row>
    <row r="197" spans="1:19" s="38" customFormat="1" ht="93" thickTop="1" thickBot="1" x14ac:dyDescent="0.25">
      <c r="A197" s="128"/>
      <c r="B197" s="71" t="s">
        <v>402</v>
      </c>
      <c r="C197" s="71"/>
      <c r="D197" s="71" t="s">
        <v>403</v>
      </c>
      <c r="E197" s="134">
        <f>E198</f>
        <v>0</v>
      </c>
      <c r="F197" s="134">
        <f>F198</f>
        <v>0</v>
      </c>
      <c r="G197" s="134">
        <f>G198</f>
        <v>0</v>
      </c>
      <c r="H197" s="135">
        <v>0</v>
      </c>
      <c r="I197" s="134">
        <f>I198</f>
        <v>25125000</v>
      </c>
      <c r="J197" s="134">
        <f>J198</f>
        <v>2168497.2200000002</v>
      </c>
      <c r="K197" s="135">
        <f t="shared" ref="K197:K198" si="86">J197/I197</f>
        <v>8.6308347064676619E-2</v>
      </c>
      <c r="L197" s="134"/>
      <c r="M197" s="159"/>
      <c r="N197" s="134">
        <f t="shared" si="75"/>
        <v>2168497.2200000002</v>
      </c>
      <c r="O197" s="185" t="s">
        <v>391</v>
      </c>
      <c r="P197" s="186"/>
    </row>
    <row r="198" spans="1:19" s="38" customFormat="1" ht="138.75" thickTop="1" thickBot="1" x14ac:dyDescent="0.25">
      <c r="A198" s="126"/>
      <c r="B198" s="70" t="s">
        <v>344</v>
      </c>
      <c r="C198" s="70" t="s">
        <v>345</v>
      </c>
      <c r="D198" s="70" t="s">
        <v>346</v>
      </c>
      <c r="E198" s="142"/>
      <c r="F198" s="142"/>
      <c r="G198" s="142"/>
      <c r="H198" s="131"/>
      <c r="I198" s="142">
        <v>25125000</v>
      </c>
      <c r="J198" s="161">
        <v>2168497.2200000002</v>
      </c>
      <c r="K198" s="131">
        <f t="shared" si="86"/>
        <v>8.6308347064676619E-2</v>
      </c>
      <c r="L198" s="161"/>
      <c r="M198" s="158"/>
      <c r="N198" s="133">
        <f t="shared" si="75"/>
        <v>2168497.2200000002</v>
      </c>
      <c r="O198" s="185"/>
      <c r="P198" s="186"/>
    </row>
    <row r="199" spans="1:19" s="38" customFormat="1" ht="62.25" thickTop="1" thickBot="1" x14ac:dyDescent="0.25">
      <c r="A199" s="126"/>
      <c r="B199" s="147" t="s">
        <v>31</v>
      </c>
      <c r="C199" s="8"/>
      <c r="D199" s="147" t="s">
        <v>32</v>
      </c>
      <c r="E199" s="150">
        <f>E200+E201</f>
        <v>7425100</v>
      </c>
      <c r="F199" s="150">
        <f>F200+F201</f>
        <v>5485000</v>
      </c>
      <c r="G199" s="150">
        <f>G200+G201</f>
        <v>4726616.05</v>
      </c>
      <c r="H199" s="149">
        <f t="shared" si="84"/>
        <v>0.86173492251595252</v>
      </c>
      <c r="I199" s="150">
        <f>I200+I201</f>
        <v>4000000</v>
      </c>
      <c r="J199" s="150">
        <f>J200+J201</f>
        <v>1996680</v>
      </c>
      <c r="K199" s="149">
        <v>0</v>
      </c>
      <c r="L199" s="170"/>
      <c r="M199" s="170"/>
      <c r="N199" s="148">
        <f>G199+J199</f>
        <v>6723296.0499999998</v>
      </c>
      <c r="O199" s="185" t="s">
        <v>391</v>
      </c>
      <c r="P199" s="186"/>
    </row>
    <row r="200" spans="1:19" s="38" customFormat="1" ht="66" customHeight="1" thickTop="1" thickBot="1" x14ac:dyDescent="0.25">
      <c r="A200" s="126"/>
      <c r="B200" s="70" t="s">
        <v>33</v>
      </c>
      <c r="C200" s="70" t="s">
        <v>449</v>
      </c>
      <c r="D200" s="70" t="s">
        <v>34</v>
      </c>
      <c r="E200" s="142">
        <v>7425100</v>
      </c>
      <c r="F200" s="142">
        <v>5485000</v>
      </c>
      <c r="G200" s="142">
        <v>4726616.05</v>
      </c>
      <c r="H200" s="131">
        <f t="shared" si="84"/>
        <v>0.86173492251595252</v>
      </c>
      <c r="I200" s="142">
        <v>4000000</v>
      </c>
      <c r="J200" s="142">
        <v>1996680</v>
      </c>
      <c r="K200" s="131">
        <f>J200/I200</f>
        <v>0.49917</v>
      </c>
      <c r="L200" s="170"/>
      <c r="M200" s="170"/>
      <c r="N200" s="133">
        <f t="shared" si="75"/>
        <v>6723296.0499999998</v>
      </c>
      <c r="O200" s="39"/>
      <c r="P200" s="51"/>
    </row>
    <row r="201" spans="1:19" s="38" customFormat="1" ht="138.75" hidden="1" thickTop="1" thickBot="1" x14ac:dyDescent="0.25">
      <c r="A201" s="128"/>
      <c r="B201" s="103" t="s">
        <v>405</v>
      </c>
      <c r="C201" s="103" t="s">
        <v>449</v>
      </c>
      <c r="D201" s="103" t="s">
        <v>406</v>
      </c>
      <c r="E201" s="110"/>
      <c r="F201" s="110"/>
      <c r="G201" s="110"/>
      <c r="H201" s="86" t="e">
        <f t="shared" si="84"/>
        <v>#DIV/0!</v>
      </c>
      <c r="I201" s="110">
        <v>0</v>
      </c>
      <c r="J201" s="110">
        <v>0</v>
      </c>
      <c r="K201" s="99">
        <v>0</v>
      </c>
      <c r="L201" s="116"/>
      <c r="M201" s="116"/>
      <c r="N201" s="98">
        <f t="shared" si="75"/>
        <v>0</v>
      </c>
      <c r="O201" s="50" t="s">
        <v>391</v>
      </c>
      <c r="P201" s="51"/>
    </row>
    <row r="202" spans="1:19" s="38" customFormat="1" ht="91.5" thickTop="1" thickBot="1" x14ac:dyDescent="0.25">
      <c r="A202" s="128"/>
      <c r="B202" s="147" t="s">
        <v>35</v>
      </c>
      <c r="C202" s="8"/>
      <c r="D202" s="147" t="s">
        <v>36</v>
      </c>
      <c r="E202" s="150">
        <f>SUM(E203:E213)-E211-E204</f>
        <v>28332413.640000001</v>
      </c>
      <c r="F202" s="150">
        <f>SUM(F203:F213)-F211-F204</f>
        <v>23265963</v>
      </c>
      <c r="G202" s="150">
        <f>SUM(G203:G213)-G211-G204</f>
        <v>16097702.370000001</v>
      </c>
      <c r="H202" s="149">
        <f t="shared" si="84"/>
        <v>0.69189925084983595</v>
      </c>
      <c r="I202" s="150">
        <f>SUM(I203:I213)-I211-I204</f>
        <v>73698015.670000002</v>
      </c>
      <c r="J202" s="150">
        <f>SUM(J203:J213)-J211-J204</f>
        <v>26603758.540000003</v>
      </c>
      <c r="K202" s="149">
        <f>J202/I202</f>
        <v>0.36098337652840634</v>
      </c>
      <c r="L202" s="170"/>
      <c r="M202" s="170"/>
      <c r="N202" s="148">
        <f t="shared" si="75"/>
        <v>42701460.910000004</v>
      </c>
      <c r="O202" s="39"/>
      <c r="P202" s="51"/>
    </row>
    <row r="203" spans="1:19" s="38" customFormat="1" ht="93" thickTop="1" thickBot="1" x14ac:dyDescent="0.25">
      <c r="A203" s="128"/>
      <c r="B203" s="70" t="s">
        <v>364</v>
      </c>
      <c r="C203" s="70" t="s">
        <v>365</v>
      </c>
      <c r="D203" s="70" t="s">
        <v>366</v>
      </c>
      <c r="E203" s="133">
        <v>12758000</v>
      </c>
      <c r="F203" s="133">
        <v>10562500</v>
      </c>
      <c r="G203" s="133">
        <v>7932603.8899999997</v>
      </c>
      <c r="H203" s="131">
        <f t="shared" si="84"/>
        <v>0.75101575289940825</v>
      </c>
      <c r="I203" s="133"/>
      <c r="J203" s="133"/>
      <c r="K203" s="131"/>
      <c r="L203" s="133"/>
      <c r="M203" s="158"/>
      <c r="N203" s="133">
        <f t="shared" si="75"/>
        <v>7932603.8899999997</v>
      </c>
      <c r="O203" s="39"/>
      <c r="P203" s="51"/>
    </row>
    <row r="204" spans="1:19" s="38" customFormat="1" ht="74.25" customHeight="1" thickTop="1" thickBot="1" x14ac:dyDescent="0.25">
      <c r="A204" s="128"/>
      <c r="B204" s="71" t="s">
        <v>419</v>
      </c>
      <c r="C204" s="71"/>
      <c r="D204" s="71" t="s">
        <v>421</v>
      </c>
      <c r="E204" s="134">
        <f>E205</f>
        <v>1376675</v>
      </c>
      <c r="F204" s="134">
        <f>F205</f>
        <v>1117080</v>
      </c>
      <c r="G204" s="134">
        <f>G205</f>
        <v>931238.45</v>
      </c>
      <c r="H204" s="131">
        <f t="shared" si="84"/>
        <v>0.83363631073871158</v>
      </c>
      <c r="I204" s="134">
        <f>I205</f>
        <v>0</v>
      </c>
      <c r="J204" s="134">
        <f>J205</f>
        <v>0</v>
      </c>
      <c r="K204" s="135">
        <v>0</v>
      </c>
      <c r="L204" s="134"/>
      <c r="M204" s="159"/>
      <c r="N204" s="134">
        <f t="shared" si="75"/>
        <v>931238.45</v>
      </c>
      <c r="O204" s="185" t="s">
        <v>391</v>
      </c>
      <c r="P204" s="186"/>
    </row>
    <row r="205" spans="1:19" s="38" customFormat="1" ht="93" thickTop="1" thickBot="1" x14ac:dyDescent="0.25">
      <c r="A205" s="128"/>
      <c r="B205" s="70" t="s">
        <v>420</v>
      </c>
      <c r="C205" s="70" t="s">
        <v>336</v>
      </c>
      <c r="D205" s="70" t="s">
        <v>422</v>
      </c>
      <c r="E205" s="133">
        <v>1376675</v>
      </c>
      <c r="F205" s="133">
        <v>1117080</v>
      </c>
      <c r="G205" s="133">
        <v>931238.45</v>
      </c>
      <c r="H205" s="131">
        <f t="shared" si="84"/>
        <v>0.83363631073871158</v>
      </c>
      <c r="I205" s="133"/>
      <c r="J205" s="133"/>
      <c r="K205" s="131"/>
      <c r="L205" s="133"/>
      <c r="M205" s="158"/>
      <c r="N205" s="133">
        <f t="shared" si="75"/>
        <v>931238.45</v>
      </c>
      <c r="O205" s="39"/>
      <c r="P205" s="51"/>
    </row>
    <row r="206" spans="1:19" s="38" customFormat="1" ht="93" thickTop="1" thickBot="1" x14ac:dyDescent="0.25">
      <c r="A206" s="128"/>
      <c r="B206" s="70" t="s">
        <v>367</v>
      </c>
      <c r="C206" s="70" t="s">
        <v>336</v>
      </c>
      <c r="D206" s="70" t="s">
        <v>368</v>
      </c>
      <c r="E206" s="133">
        <v>985000</v>
      </c>
      <c r="F206" s="133">
        <v>985000</v>
      </c>
      <c r="G206" s="133">
        <v>398794.03</v>
      </c>
      <c r="H206" s="131">
        <f t="shared" si="84"/>
        <v>0.40486703553299497</v>
      </c>
      <c r="I206" s="133"/>
      <c r="J206" s="133"/>
      <c r="K206" s="131"/>
      <c r="L206" s="133"/>
      <c r="M206" s="158"/>
      <c r="N206" s="133">
        <f t="shared" si="75"/>
        <v>398794.03</v>
      </c>
      <c r="O206" s="39"/>
      <c r="P206" s="51"/>
    </row>
    <row r="207" spans="1:19" s="38" customFormat="1" ht="62.25" thickTop="1" thickBot="1" x14ac:dyDescent="0.25">
      <c r="A207" s="128"/>
      <c r="B207" s="70" t="s">
        <v>335</v>
      </c>
      <c r="C207" s="70" t="s">
        <v>336</v>
      </c>
      <c r="D207" s="70" t="s">
        <v>337</v>
      </c>
      <c r="E207" s="142">
        <v>9431289.6400000006</v>
      </c>
      <c r="F207" s="142">
        <v>7731784</v>
      </c>
      <c r="G207" s="142">
        <v>4462366.04</v>
      </c>
      <c r="H207" s="131">
        <f t="shared" si="84"/>
        <v>0.57714571953898353</v>
      </c>
      <c r="I207" s="133">
        <f>6653528.51+6518815</f>
        <v>13172343.51</v>
      </c>
      <c r="J207" s="142">
        <v>9130072.4299999997</v>
      </c>
      <c r="K207" s="131">
        <f>J207/I207</f>
        <v>0.69312438011267741</v>
      </c>
      <c r="L207" s="142"/>
      <c r="M207" s="158"/>
      <c r="N207" s="133">
        <f t="shared" si="75"/>
        <v>13592438.469999999</v>
      </c>
      <c r="O207" s="185"/>
      <c r="P207" s="186"/>
      <c r="S207" s="65">
        <f>N207/(I207+E207)*100</f>
        <v>60.13386600197942</v>
      </c>
    </row>
    <row r="208" spans="1:19" s="38" customFormat="1" ht="93" thickTop="1" thickBot="1" x14ac:dyDescent="0.25">
      <c r="A208" s="128"/>
      <c r="B208" s="70" t="s">
        <v>377</v>
      </c>
      <c r="C208" s="70" t="s">
        <v>38</v>
      </c>
      <c r="D208" s="70" t="s">
        <v>378</v>
      </c>
      <c r="E208" s="133"/>
      <c r="F208" s="133"/>
      <c r="G208" s="133"/>
      <c r="H208" s="133"/>
      <c r="I208" s="133">
        <v>10000</v>
      </c>
      <c r="J208" s="133">
        <v>0</v>
      </c>
      <c r="K208" s="131">
        <f>J208/I208</f>
        <v>0</v>
      </c>
      <c r="L208" s="133"/>
      <c r="M208" s="158"/>
      <c r="N208" s="133">
        <f t="shared" si="75"/>
        <v>0</v>
      </c>
      <c r="O208" s="39"/>
      <c r="P208" s="51"/>
    </row>
    <row r="209" spans="1:19" s="38" customFormat="1" ht="111" customHeight="1" thickTop="1" thickBot="1" x14ac:dyDescent="0.25">
      <c r="A209" s="128"/>
      <c r="B209" s="70" t="s">
        <v>173</v>
      </c>
      <c r="C209" s="70" t="s">
        <v>38</v>
      </c>
      <c r="D209" s="70" t="s">
        <v>552</v>
      </c>
      <c r="E209" s="142"/>
      <c r="F209" s="142"/>
      <c r="G209" s="142"/>
      <c r="H209" s="142"/>
      <c r="I209" s="133">
        <f>998662+26102487.19+17600000</f>
        <v>44701149.189999998</v>
      </c>
      <c r="J209" s="142">
        <v>16055933.92</v>
      </c>
      <c r="K209" s="131">
        <f>J209/I209</f>
        <v>0.35918391833183205</v>
      </c>
      <c r="L209" s="142"/>
      <c r="M209" s="158"/>
      <c r="N209" s="133">
        <f t="shared" si="75"/>
        <v>16055933.92</v>
      </c>
      <c r="O209" s="39"/>
      <c r="P209" s="51"/>
    </row>
    <row r="210" spans="1:19" s="38" customFormat="1" ht="102" customHeight="1" thickTop="1" thickBot="1" x14ac:dyDescent="0.25">
      <c r="A210" s="128"/>
      <c r="B210" s="70" t="s">
        <v>37</v>
      </c>
      <c r="C210" s="70" t="s">
        <v>38</v>
      </c>
      <c r="D210" s="70" t="s">
        <v>39</v>
      </c>
      <c r="E210" s="133">
        <v>626435</v>
      </c>
      <c r="F210" s="133">
        <v>544845</v>
      </c>
      <c r="G210" s="133">
        <v>544826.28</v>
      </c>
      <c r="H210" s="131">
        <f t="shared" ref="H210:H211" si="87">G210/F210</f>
        <v>0.99996564160449308</v>
      </c>
      <c r="I210" s="170"/>
      <c r="J210" s="170"/>
      <c r="K210" s="170"/>
      <c r="L210" s="170"/>
      <c r="M210" s="170"/>
      <c r="N210" s="133">
        <f t="shared" si="75"/>
        <v>544826.28</v>
      </c>
      <c r="O210" s="39"/>
      <c r="P210" s="51"/>
    </row>
    <row r="211" spans="1:19" s="38" customFormat="1" ht="72" customHeight="1" thickTop="1" thickBot="1" x14ac:dyDescent="0.25">
      <c r="A211" s="128"/>
      <c r="B211" s="71" t="s">
        <v>40</v>
      </c>
      <c r="C211" s="71"/>
      <c r="D211" s="71" t="s">
        <v>553</v>
      </c>
      <c r="E211" s="143">
        <f>SUM(E212:E213)</f>
        <v>3155014</v>
      </c>
      <c r="F211" s="143">
        <f>SUM(F212:F213)</f>
        <v>2324754</v>
      </c>
      <c r="G211" s="143">
        <f>SUM(G212:G213)</f>
        <v>1827873.68</v>
      </c>
      <c r="H211" s="135">
        <f t="shared" si="87"/>
        <v>0.78626541991109589</v>
      </c>
      <c r="I211" s="143">
        <f>SUM(I212:I213)</f>
        <v>15814522.970000001</v>
      </c>
      <c r="J211" s="143">
        <f>SUM(J212:J213)</f>
        <v>1417752.19</v>
      </c>
      <c r="K211" s="135">
        <f>J211/I211</f>
        <v>8.9648748349189053E-2</v>
      </c>
      <c r="L211" s="143"/>
      <c r="M211" s="143"/>
      <c r="N211" s="134">
        <f t="shared" si="75"/>
        <v>3245625.87</v>
      </c>
      <c r="O211" s="39"/>
      <c r="P211" s="51"/>
    </row>
    <row r="212" spans="1:19" s="38" customFormat="1" ht="367.5" thickTop="1" thickBot="1" x14ac:dyDescent="0.25">
      <c r="A212" s="128"/>
      <c r="B212" s="136" t="s">
        <v>41</v>
      </c>
      <c r="C212" s="136" t="s">
        <v>38</v>
      </c>
      <c r="D212" s="171" t="s">
        <v>554</v>
      </c>
      <c r="E212" s="169"/>
      <c r="F212" s="169"/>
      <c r="G212" s="169"/>
      <c r="H212" s="169"/>
      <c r="I212" s="169">
        <f>13137018.97+2677504</f>
        <v>15814522.970000001</v>
      </c>
      <c r="J212" s="169">
        <v>1417752.19</v>
      </c>
      <c r="K212" s="172">
        <f>J212/I212</f>
        <v>8.9648748349189053E-2</v>
      </c>
      <c r="L212" s="169"/>
      <c r="M212" s="160"/>
      <c r="N212" s="169">
        <f>J212+G212</f>
        <v>1417752.19</v>
      </c>
      <c r="O212" s="39"/>
      <c r="P212" s="51"/>
      <c r="S212" s="65"/>
    </row>
    <row r="213" spans="1:19" s="38" customFormat="1" ht="66" customHeight="1" thickTop="1" thickBot="1" x14ac:dyDescent="0.25">
      <c r="A213" s="128"/>
      <c r="B213" s="70" t="s">
        <v>42</v>
      </c>
      <c r="C213" s="70" t="s">
        <v>38</v>
      </c>
      <c r="D213" s="70" t="s">
        <v>43</v>
      </c>
      <c r="E213" s="133">
        <v>3155014</v>
      </c>
      <c r="F213" s="133">
        <v>2324754</v>
      </c>
      <c r="G213" s="133">
        <v>1827873.68</v>
      </c>
      <c r="H213" s="131">
        <f t="shared" ref="H213" si="88">G213/F213</f>
        <v>0.78626541991109589</v>
      </c>
      <c r="I213" s="133"/>
      <c r="J213" s="133"/>
      <c r="K213" s="131"/>
      <c r="L213" s="133"/>
      <c r="M213" s="158"/>
      <c r="N213" s="133">
        <f>G213+J213</f>
        <v>1827873.68</v>
      </c>
      <c r="O213" s="39"/>
      <c r="P213" s="51"/>
    </row>
    <row r="214" spans="1:19" s="38" customFormat="1" ht="107.45" customHeight="1" thickTop="1" thickBot="1" x14ac:dyDescent="0.25">
      <c r="A214" s="60"/>
      <c r="B214" s="120" t="s">
        <v>44</v>
      </c>
      <c r="C214" s="120"/>
      <c r="D214" s="121" t="s">
        <v>45</v>
      </c>
      <c r="E214" s="122">
        <f>SUM(E215:E228)-E215-E222-E224-E227-E218</f>
        <v>79246400.379999995</v>
      </c>
      <c r="F214" s="122">
        <f>SUM(F215:F228)-F215-F222-F224-F227-F218</f>
        <v>60935500</v>
      </c>
      <c r="G214" s="122">
        <f>SUM(G215:G228)-G215-G222-G224-G227-G218</f>
        <v>43616800.899999976</v>
      </c>
      <c r="H214" s="123">
        <f>G214/F214</f>
        <v>0.7157863790401322</v>
      </c>
      <c r="I214" s="122">
        <f>SUM(I215:I228)-I215-I222-I224-I227-I218</f>
        <v>98401056.349999994</v>
      </c>
      <c r="J214" s="122">
        <f>SUM(J215:J228)-J215-J222-J224-J227-J218</f>
        <v>64674951.579999998</v>
      </c>
      <c r="K214" s="124">
        <f t="shared" ref="K214:K220" si="89">J214/I214</f>
        <v>0.65725871224348908</v>
      </c>
      <c r="L214" s="122"/>
      <c r="M214" s="122"/>
      <c r="N214" s="125">
        <f>J214+G214</f>
        <v>108291752.47999997</v>
      </c>
      <c r="O214" s="53" t="b">
        <f>N214=N216+N217+N219+N220+N221+N223+N225+N226+N228</f>
        <v>1</v>
      </c>
      <c r="P214" s="51"/>
      <c r="S214" s="65">
        <f>N214/(I214+E214)*100</f>
        <v>60.958796975398712</v>
      </c>
    </row>
    <row r="215" spans="1:19" s="38" customFormat="1" ht="107.45" customHeight="1" thickTop="1" thickBot="1" x14ac:dyDescent="0.25">
      <c r="A215" s="60"/>
      <c r="B215" s="147" t="s">
        <v>347</v>
      </c>
      <c r="C215" s="147"/>
      <c r="D215" s="151" t="s">
        <v>555</v>
      </c>
      <c r="E215" s="148">
        <f>SUM(E216:E217)</f>
        <v>7643528</v>
      </c>
      <c r="F215" s="148">
        <f>SUM(F216:F217)</f>
        <v>5334914</v>
      </c>
      <c r="G215" s="148">
        <f>SUM(G216:G217)</f>
        <v>2556547.2999999998</v>
      </c>
      <c r="H215" s="149">
        <f>G215/F215</f>
        <v>0.47921059271058536</v>
      </c>
      <c r="I215" s="148">
        <f t="shared" ref="I215:J215" si="90">SUM(I216:I217)</f>
        <v>64433</v>
      </c>
      <c r="J215" s="148">
        <f t="shared" si="90"/>
        <v>14779</v>
      </c>
      <c r="K215" s="149">
        <f>J215/I215</f>
        <v>0.22937004330079308</v>
      </c>
      <c r="L215" s="148"/>
      <c r="M215" s="148"/>
      <c r="N215" s="148">
        <f t="shared" ref="N215:N234" si="91">G215+J215</f>
        <v>2571326.2999999998</v>
      </c>
      <c r="O215" s="185"/>
      <c r="P215" s="186"/>
    </row>
    <row r="216" spans="1:19" s="38" customFormat="1" ht="102" customHeight="1" thickTop="1" thickBot="1" x14ac:dyDescent="0.25">
      <c r="A216" s="57"/>
      <c r="B216" s="70" t="s">
        <v>348</v>
      </c>
      <c r="C216" s="70" t="s">
        <v>349</v>
      </c>
      <c r="D216" s="70" t="s">
        <v>350</v>
      </c>
      <c r="E216" s="142">
        <v>4948076</v>
      </c>
      <c r="F216" s="142">
        <v>3186076</v>
      </c>
      <c r="G216" s="142">
        <v>638301.69999999995</v>
      </c>
      <c r="H216" s="131">
        <f>G216/F216</f>
        <v>0.20034101509191871</v>
      </c>
      <c r="I216" s="133"/>
      <c r="J216" s="133"/>
      <c r="K216" s="131"/>
      <c r="L216" s="142"/>
      <c r="M216" s="158"/>
      <c r="N216" s="133">
        <f t="shared" si="91"/>
        <v>638301.69999999995</v>
      </c>
      <c r="O216" s="185"/>
      <c r="P216" s="186"/>
    </row>
    <row r="217" spans="1:19" s="38" customFormat="1" ht="66" customHeight="1" thickTop="1" thickBot="1" x14ac:dyDescent="0.25">
      <c r="A217" s="57"/>
      <c r="B217" s="70" t="s">
        <v>351</v>
      </c>
      <c r="C217" s="70" t="s">
        <v>349</v>
      </c>
      <c r="D217" s="70" t="s">
        <v>352</v>
      </c>
      <c r="E217" s="142">
        <v>2695452</v>
      </c>
      <c r="F217" s="142">
        <v>2148838</v>
      </c>
      <c r="G217" s="142">
        <v>1918245.6</v>
      </c>
      <c r="H217" s="131">
        <f t="shared" ref="H217:H226" si="92">G217/F217</f>
        <v>0.89268972346914943</v>
      </c>
      <c r="I217" s="133">
        <v>64433</v>
      </c>
      <c r="J217" s="133">
        <v>14779</v>
      </c>
      <c r="K217" s="172">
        <f>J217/I217</f>
        <v>0.22937004330079308</v>
      </c>
      <c r="L217" s="142"/>
      <c r="M217" s="158"/>
      <c r="N217" s="133">
        <f>G217+J217</f>
        <v>1933024.6</v>
      </c>
      <c r="O217" s="12"/>
      <c r="P217" s="51"/>
    </row>
    <row r="218" spans="1:19" s="38" customFormat="1" ht="62.25" thickTop="1" thickBot="1" x14ac:dyDescent="0.25">
      <c r="A218" s="57"/>
      <c r="B218" s="147" t="s">
        <v>461</v>
      </c>
      <c r="C218" s="147"/>
      <c r="D218" s="147" t="s">
        <v>462</v>
      </c>
      <c r="E218" s="150">
        <f>SUM(E219:E221)</f>
        <v>51456114</v>
      </c>
      <c r="F218" s="150">
        <f>SUM(F219:F221)</f>
        <v>46663116</v>
      </c>
      <c r="G218" s="150">
        <f>SUM(G219:G221)</f>
        <v>32851451.25</v>
      </c>
      <c r="H218" s="149">
        <f t="shared" si="92"/>
        <v>0.70401323499270818</v>
      </c>
      <c r="I218" s="150">
        <f t="shared" ref="I218:J218" si="93">SUM(I219:I221)</f>
        <v>92287945.719999999</v>
      </c>
      <c r="J218" s="150">
        <f t="shared" si="93"/>
        <v>62257416.670000002</v>
      </c>
      <c r="K218" s="149">
        <f t="shared" si="89"/>
        <v>0.67459965853924098</v>
      </c>
      <c r="L218" s="150"/>
      <c r="M218" s="150"/>
      <c r="N218" s="148">
        <f>G218+J218</f>
        <v>95108867.920000002</v>
      </c>
      <c r="O218" s="185"/>
      <c r="P218" s="186"/>
    </row>
    <row r="219" spans="1:19" s="38" customFormat="1" ht="93" thickTop="1" thickBot="1" x14ac:dyDescent="0.25">
      <c r="A219" s="57"/>
      <c r="B219" s="70" t="s">
        <v>476</v>
      </c>
      <c r="C219" s="70" t="s">
        <v>464</v>
      </c>
      <c r="D219" s="70" t="s">
        <v>477</v>
      </c>
      <c r="E219" s="142">
        <v>800000</v>
      </c>
      <c r="F219" s="142">
        <v>235316</v>
      </c>
      <c r="G219" s="142">
        <v>118315.47</v>
      </c>
      <c r="H219" s="131">
        <f t="shared" si="92"/>
        <v>0.50279398765914773</v>
      </c>
      <c r="I219" s="133"/>
      <c r="J219" s="142"/>
      <c r="K219" s="135"/>
      <c r="L219" s="142"/>
      <c r="M219" s="158"/>
      <c r="N219" s="133">
        <f t="shared" ref="N219" si="94">G219+J219</f>
        <v>118315.47</v>
      </c>
      <c r="O219" s="52"/>
      <c r="P219" s="52"/>
    </row>
    <row r="220" spans="1:19" s="38" customFormat="1" ht="74.25" customHeight="1" thickTop="1" thickBot="1" x14ac:dyDescent="0.25">
      <c r="A220" s="57"/>
      <c r="B220" s="70" t="s">
        <v>478</v>
      </c>
      <c r="C220" s="70" t="s">
        <v>464</v>
      </c>
      <c r="D220" s="70" t="s">
        <v>479</v>
      </c>
      <c r="E220" s="142">
        <v>42800000</v>
      </c>
      <c r="F220" s="142">
        <v>40800000</v>
      </c>
      <c r="G220" s="142">
        <v>27931885.539999999</v>
      </c>
      <c r="H220" s="131">
        <f t="shared" si="92"/>
        <v>0.68460503774509807</v>
      </c>
      <c r="I220" s="133">
        <v>90400000</v>
      </c>
      <c r="J220" s="142">
        <v>60861748.039999999</v>
      </c>
      <c r="K220" s="131">
        <f t="shared" si="89"/>
        <v>0.67324942522123887</v>
      </c>
      <c r="L220" s="142"/>
      <c r="M220" s="158"/>
      <c r="N220" s="133">
        <f>G220+J220</f>
        <v>88793633.579999998</v>
      </c>
      <c r="O220" s="52"/>
      <c r="P220" s="52"/>
    </row>
    <row r="221" spans="1:19" s="38" customFormat="1" ht="78" customHeight="1" thickTop="1" thickBot="1" x14ac:dyDescent="0.25">
      <c r="A221" s="57"/>
      <c r="B221" s="70" t="s">
        <v>463</v>
      </c>
      <c r="C221" s="70" t="s">
        <v>464</v>
      </c>
      <c r="D221" s="70" t="s">
        <v>465</v>
      </c>
      <c r="E221" s="142">
        <v>7856114</v>
      </c>
      <c r="F221" s="142">
        <v>5627800</v>
      </c>
      <c r="G221" s="142">
        <v>4801250.24</v>
      </c>
      <c r="H221" s="131">
        <f t="shared" si="92"/>
        <v>0.85313092860442807</v>
      </c>
      <c r="I221" s="133">
        <v>1887945.72</v>
      </c>
      <c r="J221" s="142">
        <v>1395668.63</v>
      </c>
      <c r="K221" s="131">
        <f>J221/I221</f>
        <v>0.73925251939976322</v>
      </c>
      <c r="L221" s="142"/>
      <c r="M221" s="158"/>
      <c r="N221" s="133">
        <f>G221+J221</f>
        <v>6196918.8700000001</v>
      </c>
      <c r="O221" s="12"/>
      <c r="P221" s="51"/>
    </row>
    <row r="222" spans="1:19" s="38" customFormat="1" ht="91.5" thickTop="1" thickBot="1" x14ac:dyDescent="0.25">
      <c r="A222" s="57"/>
      <c r="B222" s="147" t="s">
        <v>369</v>
      </c>
      <c r="C222" s="147"/>
      <c r="D222" s="147" t="s">
        <v>370</v>
      </c>
      <c r="E222" s="150">
        <f>SUM(E223:E223)</f>
        <v>0</v>
      </c>
      <c r="F222" s="150">
        <f>SUM(F223:F223)</f>
        <v>0</v>
      </c>
      <c r="G222" s="150">
        <f>SUM(G223:G223)</f>
        <v>0</v>
      </c>
      <c r="H222" s="149">
        <v>0</v>
      </c>
      <c r="I222" s="150">
        <f>SUM(I223:I223)</f>
        <v>5448677.6299999999</v>
      </c>
      <c r="J222" s="150">
        <f>SUM(J223:J223)</f>
        <v>1802755.91</v>
      </c>
      <c r="K222" s="149">
        <f t="shared" ref="K222:K225" si="95">J222/I222</f>
        <v>0.33086117998138936</v>
      </c>
      <c r="L222" s="150"/>
      <c r="M222" s="150"/>
      <c r="N222" s="148">
        <f t="shared" si="91"/>
        <v>1802755.91</v>
      </c>
      <c r="O222" s="185" t="s">
        <v>391</v>
      </c>
      <c r="P222" s="186"/>
    </row>
    <row r="223" spans="1:19" s="38" customFormat="1" ht="93" thickTop="1" thickBot="1" x14ac:dyDescent="0.25">
      <c r="A223" s="57"/>
      <c r="B223" s="70" t="s">
        <v>467</v>
      </c>
      <c r="C223" s="70" t="s">
        <v>371</v>
      </c>
      <c r="D223" s="70" t="s">
        <v>468</v>
      </c>
      <c r="E223" s="133"/>
      <c r="F223" s="133"/>
      <c r="G223" s="133"/>
      <c r="H223" s="131"/>
      <c r="I223" s="133">
        <v>5448677.6299999999</v>
      </c>
      <c r="J223" s="133">
        <v>1802755.91</v>
      </c>
      <c r="K223" s="131">
        <f t="shared" si="95"/>
        <v>0.33086117998138936</v>
      </c>
      <c r="L223" s="133"/>
      <c r="M223" s="158"/>
      <c r="N223" s="133">
        <f t="shared" si="91"/>
        <v>1802755.91</v>
      </c>
      <c r="O223" s="39"/>
      <c r="P223" s="51"/>
    </row>
    <row r="224" spans="1:19" s="38" customFormat="1" ht="62.25" thickTop="1" thickBot="1" x14ac:dyDescent="0.25">
      <c r="A224" s="57"/>
      <c r="B224" s="147" t="s">
        <v>46</v>
      </c>
      <c r="C224" s="147"/>
      <c r="D224" s="147" t="s">
        <v>556</v>
      </c>
      <c r="E224" s="148">
        <f>SUM(E225)</f>
        <v>11148571</v>
      </c>
      <c r="F224" s="148">
        <f>SUM(F225)</f>
        <v>8370000</v>
      </c>
      <c r="G224" s="148">
        <f t="shared" ref="G224:J224" si="96">SUM(G225)</f>
        <v>7886910.0700000003</v>
      </c>
      <c r="H224" s="149">
        <f t="shared" si="92"/>
        <v>0.94228316248506572</v>
      </c>
      <c r="I224" s="148">
        <f t="shared" si="96"/>
        <v>600000</v>
      </c>
      <c r="J224" s="148">
        <f t="shared" si="96"/>
        <v>600000</v>
      </c>
      <c r="K224" s="149">
        <f t="shared" si="95"/>
        <v>1</v>
      </c>
      <c r="L224" s="148"/>
      <c r="M224" s="148"/>
      <c r="N224" s="148">
        <f t="shared" si="91"/>
        <v>8486910.0700000003</v>
      </c>
      <c r="O224" s="185"/>
      <c r="P224" s="186"/>
    </row>
    <row r="225" spans="1:17" s="38" customFormat="1" ht="93" thickTop="1" thickBot="1" x14ac:dyDescent="0.25">
      <c r="A225" s="57"/>
      <c r="B225" s="70" t="s">
        <v>47</v>
      </c>
      <c r="C225" s="70" t="s">
        <v>48</v>
      </c>
      <c r="D225" s="70" t="s">
        <v>557</v>
      </c>
      <c r="E225" s="133">
        <v>11148571</v>
      </c>
      <c r="F225" s="133">
        <v>8370000</v>
      </c>
      <c r="G225" s="133">
        <v>7886910.0700000003</v>
      </c>
      <c r="H225" s="131">
        <f t="shared" si="92"/>
        <v>0.94228316248506572</v>
      </c>
      <c r="I225" s="133">
        <v>600000</v>
      </c>
      <c r="J225" s="133">
        <v>600000</v>
      </c>
      <c r="K225" s="131">
        <f t="shared" si="95"/>
        <v>1</v>
      </c>
      <c r="L225" s="133"/>
      <c r="M225" s="158"/>
      <c r="N225" s="133">
        <f t="shared" si="91"/>
        <v>8486910.0700000003</v>
      </c>
      <c r="O225" s="39"/>
      <c r="P225" s="51"/>
    </row>
    <row r="226" spans="1:17" s="38" customFormat="1" ht="62.25" thickTop="1" thickBot="1" x14ac:dyDescent="0.25">
      <c r="A226" s="57"/>
      <c r="B226" s="152">
        <v>8600</v>
      </c>
      <c r="C226" s="147" t="s">
        <v>23</v>
      </c>
      <c r="D226" s="152" t="s">
        <v>379</v>
      </c>
      <c r="E226" s="148">
        <v>773346</v>
      </c>
      <c r="F226" s="148">
        <v>567470</v>
      </c>
      <c r="G226" s="148">
        <v>321892.28000000003</v>
      </c>
      <c r="H226" s="149">
        <f t="shared" si="92"/>
        <v>0.56724105239043476</v>
      </c>
      <c r="I226" s="148"/>
      <c r="J226" s="148"/>
      <c r="K226" s="148"/>
      <c r="L226" s="148"/>
      <c r="M226" s="173"/>
      <c r="N226" s="148">
        <f t="shared" si="91"/>
        <v>321892.28000000003</v>
      </c>
      <c r="O226" s="185" t="s">
        <v>391</v>
      </c>
      <c r="P226" s="186"/>
    </row>
    <row r="227" spans="1:17" s="38" customFormat="1" ht="62.25" thickTop="1" thickBot="1" x14ac:dyDescent="0.25">
      <c r="A227" s="57"/>
      <c r="B227" s="152">
        <v>8700</v>
      </c>
      <c r="C227" s="147"/>
      <c r="D227" s="152" t="s">
        <v>380</v>
      </c>
      <c r="E227" s="148">
        <f t="shared" ref="E227:J227" si="97">E228</f>
        <v>8224841.3799999999</v>
      </c>
      <c r="F227" s="148">
        <f t="shared" si="97"/>
        <v>0</v>
      </c>
      <c r="G227" s="148">
        <f t="shared" si="97"/>
        <v>0</v>
      </c>
      <c r="H227" s="149">
        <v>0</v>
      </c>
      <c r="I227" s="148">
        <f t="shared" si="97"/>
        <v>0</v>
      </c>
      <c r="J227" s="148">
        <f t="shared" si="97"/>
        <v>0</v>
      </c>
      <c r="K227" s="149">
        <v>0</v>
      </c>
      <c r="L227" s="148"/>
      <c r="M227" s="148"/>
      <c r="N227" s="148">
        <f t="shared" si="91"/>
        <v>0</v>
      </c>
      <c r="O227" s="185" t="s">
        <v>391</v>
      </c>
      <c r="P227" s="186"/>
    </row>
    <row r="228" spans="1:17" s="38" customFormat="1" ht="62.25" thickTop="1" thickBot="1" x14ac:dyDescent="0.25">
      <c r="A228" s="57"/>
      <c r="B228" s="140">
        <v>8710</v>
      </c>
      <c r="C228" s="70" t="s">
        <v>28</v>
      </c>
      <c r="D228" s="139" t="s">
        <v>381</v>
      </c>
      <c r="E228" s="133">
        <v>8224841.3799999999</v>
      </c>
      <c r="F228" s="133">
        <v>0</v>
      </c>
      <c r="G228" s="133">
        <v>0</v>
      </c>
      <c r="H228" s="131">
        <v>0</v>
      </c>
      <c r="I228" s="133"/>
      <c r="J228" s="133"/>
      <c r="K228" s="131"/>
      <c r="L228" s="133"/>
      <c r="M228" s="158"/>
      <c r="N228" s="133">
        <f t="shared" si="91"/>
        <v>0</v>
      </c>
      <c r="O228" s="185" t="s">
        <v>391</v>
      </c>
      <c r="P228" s="186"/>
    </row>
    <row r="229" spans="1:17" s="38" customFormat="1" ht="86.25" customHeight="1" thickTop="1" thickBot="1" x14ac:dyDescent="0.25">
      <c r="A229" s="60"/>
      <c r="B229" s="120" t="s">
        <v>49</v>
      </c>
      <c r="C229" s="120"/>
      <c r="D229" s="121" t="s">
        <v>50</v>
      </c>
      <c r="E229" s="122">
        <f>SUM(E230:E236)-E230-E232</f>
        <v>264770271.87</v>
      </c>
      <c r="F229" s="122">
        <f>SUM(F230:F236)-F230-F232</f>
        <v>222082371.87</v>
      </c>
      <c r="G229" s="122">
        <f>SUM(G230:G236)-G230-G232</f>
        <v>218196171.87</v>
      </c>
      <c r="H229" s="123">
        <f>G229/F229</f>
        <v>0.98250108746913578</v>
      </c>
      <c r="I229" s="122">
        <f>SUM(I230:I236)-I230-I232</f>
        <v>152963955.56</v>
      </c>
      <c r="J229" s="122">
        <f>SUM(J230:J236)-J230-J232</f>
        <v>144068655.56</v>
      </c>
      <c r="K229" s="124">
        <f t="shared" ref="K229" si="98">J229/I229</f>
        <v>0.94184708438380549</v>
      </c>
      <c r="L229" s="122"/>
      <c r="M229" s="122"/>
      <c r="N229" s="125">
        <f>J229+G229</f>
        <v>362264827.43000001</v>
      </c>
      <c r="O229" s="53" t="b">
        <f>N229=N231+N233+N234+N235</f>
        <v>1</v>
      </c>
      <c r="P229" s="185"/>
      <c r="Q229" s="186"/>
    </row>
    <row r="230" spans="1:17" s="38" customFormat="1" ht="91.5" thickTop="1" thickBot="1" x14ac:dyDescent="0.25">
      <c r="A230" s="60"/>
      <c r="B230" s="147" t="s">
        <v>382</v>
      </c>
      <c r="C230" s="147"/>
      <c r="D230" s="147" t="s">
        <v>383</v>
      </c>
      <c r="E230" s="148">
        <f t="shared" ref="E230:J230" si="99">E231</f>
        <v>166190800</v>
      </c>
      <c r="F230" s="148">
        <f t="shared" si="99"/>
        <v>124642800</v>
      </c>
      <c r="G230" s="148">
        <f t="shared" si="99"/>
        <v>124642800</v>
      </c>
      <c r="H230" s="149">
        <f>G230/F230</f>
        <v>1</v>
      </c>
      <c r="I230" s="148">
        <f t="shared" si="99"/>
        <v>0</v>
      </c>
      <c r="J230" s="148">
        <f t="shared" si="99"/>
        <v>0</v>
      </c>
      <c r="K230" s="149">
        <v>0</v>
      </c>
      <c r="L230" s="148"/>
      <c r="M230" s="148"/>
      <c r="N230" s="148">
        <f t="shared" si="91"/>
        <v>124642800</v>
      </c>
      <c r="O230" s="185" t="s">
        <v>391</v>
      </c>
      <c r="P230" s="186"/>
    </row>
    <row r="231" spans="1:17" s="38" customFormat="1" ht="69" customHeight="1" thickTop="1" thickBot="1" x14ac:dyDescent="0.25">
      <c r="A231" s="60"/>
      <c r="B231" s="140">
        <v>9110</v>
      </c>
      <c r="C231" s="70" t="s">
        <v>27</v>
      </c>
      <c r="D231" s="139" t="s">
        <v>384</v>
      </c>
      <c r="E231" s="133">
        <v>166190800</v>
      </c>
      <c r="F231" s="133">
        <v>124642800</v>
      </c>
      <c r="G231" s="133">
        <v>124642800</v>
      </c>
      <c r="H231" s="131">
        <f>G231/F231</f>
        <v>1</v>
      </c>
      <c r="I231" s="133"/>
      <c r="J231" s="133"/>
      <c r="K231" s="133"/>
      <c r="L231" s="133"/>
      <c r="M231" s="158"/>
      <c r="N231" s="133">
        <f t="shared" si="91"/>
        <v>124642800</v>
      </c>
      <c r="O231" s="12"/>
    </row>
    <row r="232" spans="1:17" s="38" customFormat="1" ht="136.5" thickTop="1" thickBot="1" x14ac:dyDescent="0.25">
      <c r="A232" s="60"/>
      <c r="B232" s="147" t="s">
        <v>51</v>
      </c>
      <c r="C232" s="147"/>
      <c r="D232" s="147" t="s">
        <v>52</v>
      </c>
      <c r="E232" s="148">
        <f>SUM(E233:E234)</f>
        <v>3159600</v>
      </c>
      <c r="F232" s="148">
        <f>SUM(F233:F234)</f>
        <v>2019700</v>
      </c>
      <c r="G232" s="148">
        <f t="shared" ref="G232" si="100">SUM(G233:G234)</f>
        <v>1019700</v>
      </c>
      <c r="H232" s="149">
        <f t="shared" ref="H232:H236" si="101">G232/F232</f>
        <v>0.50487696192503839</v>
      </c>
      <c r="I232" s="148">
        <f t="shared" ref="I232:J232" si="102">SUM(I233:I234)</f>
        <v>500000</v>
      </c>
      <c r="J232" s="148">
        <f t="shared" si="102"/>
        <v>0</v>
      </c>
      <c r="K232" s="149">
        <f t="shared" ref="K232" si="103">J232/I232</f>
        <v>0</v>
      </c>
      <c r="L232" s="148"/>
      <c r="M232" s="148"/>
      <c r="N232" s="148">
        <f t="shared" si="91"/>
        <v>1019700</v>
      </c>
      <c r="O232" s="185"/>
      <c r="P232" s="186"/>
    </row>
    <row r="233" spans="1:17" s="38" customFormat="1" ht="184.5" thickTop="1" thickBot="1" x14ac:dyDescent="0.25">
      <c r="A233" s="57"/>
      <c r="B233" s="70" t="s">
        <v>53</v>
      </c>
      <c r="C233" s="70" t="s">
        <v>27</v>
      </c>
      <c r="D233" s="70" t="s">
        <v>54</v>
      </c>
      <c r="E233" s="133">
        <v>1359600</v>
      </c>
      <c r="F233" s="133">
        <v>1019700</v>
      </c>
      <c r="G233" s="133">
        <v>1019700</v>
      </c>
      <c r="H233" s="131">
        <f>G233/F233</f>
        <v>1</v>
      </c>
      <c r="I233" s="133"/>
      <c r="J233" s="133"/>
      <c r="K233" s="133"/>
      <c r="L233" s="133"/>
      <c r="M233" s="158"/>
      <c r="N233" s="133">
        <f t="shared" si="91"/>
        <v>1019700</v>
      </c>
      <c r="O233" s="39"/>
      <c r="P233" s="51"/>
    </row>
    <row r="234" spans="1:17" s="38" customFormat="1" ht="60.75" thickTop="1" thickBot="1" x14ac:dyDescent="0.8">
      <c r="A234" s="57"/>
      <c r="B234" s="70" t="s">
        <v>55</v>
      </c>
      <c r="C234" s="70" t="s">
        <v>27</v>
      </c>
      <c r="D234" s="70" t="s">
        <v>56</v>
      </c>
      <c r="E234" s="133">
        <v>1800000</v>
      </c>
      <c r="F234" s="133">
        <v>1000000</v>
      </c>
      <c r="G234" s="133">
        <v>0</v>
      </c>
      <c r="H234" s="131">
        <f>G234/F234</f>
        <v>0</v>
      </c>
      <c r="I234" s="133">
        <v>500000</v>
      </c>
      <c r="J234" s="133">
        <v>0</v>
      </c>
      <c r="K234" s="131">
        <f t="shared" ref="K234" si="104">J234/I234</f>
        <v>0</v>
      </c>
      <c r="L234" s="133"/>
      <c r="M234" s="158"/>
      <c r="N234" s="133">
        <f t="shared" si="91"/>
        <v>0</v>
      </c>
      <c r="O234" s="54"/>
      <c r="P234" s="51"/>
    </row>
    <row r="235" spans="1:17" s="38" customFormat="1" ht="136.5" thickTop="1" thickBot="1" x14ac:dyDescent="0.25">
      <c r="A235" s="57"/>
      <c r="B235" s="147" t="s">
        <v>57</v>
      </c>
      <c r="C235" s="147" t="s">
        <v>27</v>
      </c>
      <c r="D235" s="147" t="s">
        <v>58</v>
      </c>
      <c r="E235" s="138">
        <v>95419871.870000005</v>
      </c>
      <c r="F235" s="138">
        <v>95419871.870000005</v>
      </c>
      <c r="G235" s="138">
        <v>92533671.870000005</v>
      </c>
      <c r="H235" s="153">
        <f t="shared" si="101"/>
        <v>0.96975263177955051</v>
      </c>
      <c r="I235" s="138">
        <v>152463955.56</v>
      </c>
      <c r="J235" s="138">
        <v>144068655.56</v>
      </c>
      <c r="K235" s="149">
        <f t="shared" ref="K235" si="105">J235/I235</f>
        <v>0.94493583765970079</v>
      </c>
      <c r="L235" s="101"/>
      <c r="M235" s="101"/>
      <c r="N235" s="138">
        <f t="shared" ref="N235:N236" si="106">G235+J235</f>
        <v>236602327.43000001</v>
      </c>
      <c r="O235" s="39"/>
      <c r="P235" s="51"/>
    </row>
    <row r="236" spans="1:17" s="38" customFormat="1" ht="367.5" hidden="1" thickTop="1" thickBot="1" x14ac:dyDescent="0.25">
      <c r="A236" s="57"/>
      <c r="B236" s="74" t="s">
        <v>486</v>
      </c>
      <c r="C236" s="74" t="s">
        <v>27</v>
      </c>
      <c r="D236" s="74" t="s">
        <v>485</v>
      </c>
      <c r="E236" s="75">
        <v>0</v>
      </c>
      <c r="F236" s="75">
        <v>0</v>
      </c>
      <c r="G236" s="75">
        <v>0</v>
      </c>
      <c r="H236" s="73" t="e">
        <f t="shared" si="101"/>
        <v>#DIV/0!</v>
      </c>
      <c r="I236" s="75"/>
      <c r="J236" s="75"/>
      <c r="K236" s="73"/>
      <c r="L236" s="75"/>
      <c r="M236" s="76"/>
      <c r="N236" s="75">
        <f t="shared" si="106"/>
        <v>0</v>
      </c>
      <c r="O236" s="39"/>
      <c r="P236" s="51"/>
    </row>
    <row r="237" spans="1:17" s="38" customFormat="1" ht="71.45" customHeight="1" thickTop="1" thickBot="1" x14ac:dyDescent="0.25">
      <c r="A237" s="60"/>
      <c r="B237" s="63" t="s">
        <v>385</v>
      </c>
      <c r="C237" s="63" t="s">
        <v>385</v>
      </c>
      <c r="D237" s="64" t="s">
        <v>392</v>
      </c>
      <c r="E237" s="65">
        <f>E14+E19+E67+E83+E137+E147+E164+E180+E214+E229</f>
        <v>4519370552.9699993</v>
      </c>
      <c r="F237" s="65">
        <f>F14+F19+F67+F83+F137+F147+F164+F180+F214+F229</f>
        <v>3495801652.6399999</v>
      </c>
      <c r="G237" s="65">
        <f>G14+G19+G67+G83+G137+G147+G164+G180+G214+G229</f>
        <v>3225840311.3999982</v>
      </c>
      <c r="H237" s="66">
        <f>G237/F237</f>
        <v>0.92277555534761846</v>
      </c>
      <c r="I237" s="65">
        <f>I14+I19+I67+I83+I137+I147+I164+I180+I214+I229</f>
        <v>1135109421.7</v>
      </c>
      <c r="J237" s="65">
        <f>J14+J19+J67+J83+J137+J147+J164+J180+J214+J229</f>
        <v>700882888.8499999</v>
      </c>
      <c r="K237" s="66">
        <f>J237/I237</f>
        <v>0.61745843656228361</v>
      </c>
      <c r="L237" s="65" t="e">
        <f>#REF!+#REF!+#REF!+#REF!+#REF!+#REF!++L155+L165+L225+L184+L206+L217+L174+#REF!+#REF!</f>
        <v>#REF!</v>
      </c>
      <c r="M237" s="65" t="e">
        <f>#REF!+#REF!+#REF!+#REF!+#REF!+#REF!++M155+M165+M225+M184+M206+M217+M174+#REF!+#REF!</f>
        <v>#REF!</v>
      </c>
      <c r="N237" s="65">
        <f>N14+N19+N67+N83+N137+N147+N164+N180+N214+N229</f>
        <v>3926723200.2499986</v>
      </c>
      <c r="O237" s="53" t="b">
        <f>N237=J237+G237</f>
        <v>1</v>
      </c>
      <c r="P237" s="51"/>
    </row>
    <row r="238" spans="1:17" s="38" customFormat="1" ht="62.25" thickTop="1" thickBot="1" x14ac:dyDescent="0.25">
      <c r="A238" s="57"/>
      <c r="B238" s="8" t="s">
        <v>44</v>
      </c>
      <c r="C238" s="178"/>
      <c r="D238" s="182" t="s">
        <v>397</v>
      </c>
      <c r="E238" s="176">
        <f>E239</f>
        <v>0</v>
      </c>
      <c r="F238" s="176">
        <f t="shared" ref="F238:G238" si="107">F239</f>
        <v>0</v>
      </c>
      <c r="G238" s="176">
        <f t="shared" si="107"/>
        <v>0</v>
      </c>
      <c r="H238" s="153">
        <v>0</v>
      </c>
      <c r="I238" s="176">
        <f>I239</f>
        <v>0</v>
      </c>
      <c r="J238" s="176">
        <f>J239</f>
        <v>-596008.05999999994</v>
      </c>
      <c r="K238" s="153"/>
      <c r="L238" s="176"/>
      <c r="M238" s="176"/>
      <c r="N238" s="138">
        <f t="shared" ref="N238:N245" si="108">G238+J238</f>
        <v>-596008.05999999994</v>
      </c>
      <c r="O238" s="185" t="s">
        <v>391</v>
      </c>
      <c r="P238" s="186"/>
    </row>
    <row r="239" spans="1:17" s="38" customFormat="1" ht="62.25" thickTop="1" thickBot="1" x14ac:dyDescent="0.25">
      <c r="A239" s="57"/>
      <c r="B239" s="147" t="s">
        <v>395</v>
      </c>
      <c r="C239" s="178"/>
      <c r="D239" s="181" t="s">
        <v>398</v>
      </c>
      <c r="E239" s="173">
        <f>E240+E245+E243</f>
        <v>0</v>
      </c>
      <c r="F239" s="173">
        <f t="shared" ref="F239:G239" si="109">F240+F245+F243</f>
        <v>0</v>
      </c>
      <c r="G239" s="173">
        <f t="shared" si="109"/>
        <v>0</v>
      </c>
      <c r="H239" s="149">
        <v>0</v>
      </c>
      <c r="I239" s="173">
        <f>I240+I245+I243</f>
        <v>0</v>
      </c>
      <c r="J239" s="173">
        <f>J240+J245+J243</f>
        <v>-596008.05999999994</v>
      </c>
      <c r="K239" s="149"/>
      <c r="L239" s="173"/>
      <c r="M239" s="173"/>
      <c r="N239" s="148">
        <f t="shared" si="108"/>
        <v>-596008.05999999994</v>
      </c>
      <c r="O239" s="185" t="s">
        <v>391</v>
      </c>
      <c r="P239" s="186"/>
    </row>
    <row r="240" spans="1:17" s="38" customFormat="1" ht="184.5" thickTop="1" thickBot="1" x14ac:dyDescent="0.25">
      <c r="A240" s="60"/>
      <c r="B240" s="71" t="s">
        <v>396</v>
      </c>
      <c r="C240" s="178"/>
      <c r="D240" s="179" t="s">
        <v>399</v>
      </c>
      <c r="E240" s="159">
        <f>E241+E242</f>
        <v>0</v>
      </c>
      <c r="F240" s="159">
        <f>F241+F242</f>
        <v>0</v>
      </c>
      <c r="G240" s="159">
        <f>G241+G242</f>
        <v>0</v>
      </c>
      <c r="H240" s="135">
        <v>0</v>
      </c>
      <c r="I240" s="159">
        <f>I241+I242</f>
        <v>0</v>
      </c>
      <c r="J240" s="159">
        <f>J241+J242</f>
        <v>-574911.74</v>
      </c>
      <c r="K240" s="131"/>
      <c r="L240" s="159"/>
      <c r="M240" s="159"/>
      <c r="N240" s="134">
        <f t="shared" si="108"/>
        <v>-574911.74</v>
      </c>
      <c r="O240" s="185" t="s">
        <v>391</v>
      </c>
      <c r="P240" s="186"/>
    </row>
    <row r="241" spans="1:27" s="38" customFormat="1" ht="184.5" hidden="1" customHeight="1" thickTop="1" thickBot="1" x14ac:dyDescent="0.25">
      <c r="A241" s="60"/>
      <c r="B241" s="118" t="s">
        <v>393</v>
      </c>
      <c r="C241" s="118" t="s">
        <v>81</v>
      </c>
      <c r="D241" s="119" t="s">
        <v>400</v>
      </c>
      <c r="E241" s="89">
        <v>0</v>
      </c>
      <c r="F241" s="89">
        <v>0</v>
      </c>
      <c r="G241" s="89">
        <v>0</v>
      </c>
      <c r="H241" s="86">
        <v>0</v>
      </c>
      <c r="I241" s="89">
        <v>0</v>
      </c>
      <c r="J241" s="89">
        <v>0</v>
      </c>
      <c r="K241" s="86" t="e">
        <f>J241/I241</f>
        <v>#DIV/0!</v>
      </c>
      <c r="L241" s="117"/>
      <c r="M241" s="117"/>
      <c r="N241" s="88">
        <f>G241+J241</f>
        <v>0</v>
      </c>
      <c r="O241" s="185" t="s">
        <v>391</v>
      </c>
      <c r="P241" s="186"/>
    </row>
    <row r="242" spans="1:27" s="38" customFormat="1" ht="184.5" thickTop="1" thickBot="1" x14ac:dyDescent="1.2">
      <c r="A242" s="57"/>
      <c r="B242" s="174" t="s">
        <v>394</v>
      </c>
      <c r="C242" s="174" t="s">
        <v>81</v>
      </c>
      <c r="D242" s="175" t="s">
        <v>401</v>
      </c>
      <c r="E242" s="176"/>
      <c r="F242" s="176"/>
      <c r="G242" s="176"/>
      <c r="H242" s="149"/>
      <c r="I242" s="158">
        <v>0</v>
      </c>
      <c r="J242" s="158">
        <v>-574911.74</v>
      </c>
      <c r="K242" s="131"/>
      <c r="L242" s="176"/>
      <c r="M242" s="176"/>
      <c r="N242" s="133">
        <f t="shared" si="108"/>
        <v>-574911.74</v>
      </c>
      <c r="O242" s="185" t="s">
        <v>391</v>
      </c>
      <c r="P242" s="186"/>
      <c r="AA242" s="56"/>
    </row>
    <row r="243" spans="1:27" s="38" customFormat="1" ht="138.75" thickTop="1" thickBot="1" x14ac:dyDescent="1.2">
      <c r="A243" s="60"/>
      <c r="B243" s="177" t="s">
        <v>495</v>
      </c>
      <c r="C243" s="177"/>
      <c r="D243" s="180" t="s">
        <v>494</v>
      </c>
      <c r="E243" s="159">
        <f>E244</f>
        <v>0</v>
      </c>
      <c r="F243" s="159">
        <f>F244</f>
        <v>0</v>
      </c>
      <c r="G243" s="159">
        <f>G244</f>
        <v>0</v>
      </c>
      <c r="H243" s="135">
        <v>0</v>
      </c>
      <c r="I243" s="159">
        <f>I244</f>
        <v>0</v>
      </c>
      <c r="J243" s="159">
        <f>J244</f>
        <v>-21096.32</v>
      </c>
      <c r="K243" s="135"/>
      <c r="L243" s="159"/>
      <c r="M243" s="159"/>
      <c r="N243" s="134">
        <f t="shared" ref="N243" si="110">G243+J243</f>
        <v>-21096.32</v>
      </c>
      <c r="O243" s="185" t="s">
        <v>391</v>
      </c>
      <c r="P243" s="186"/>
      <c r="AA243" s="56"/>
    </row>
    <row r="244" spans="1:27" s="38" customFormat="1" ht="138.75" thickTop="1" thickBot="1" x14ac:dyDescent="1.2">
      <c r="A244" s="60"/>
      <c r="B244" s="174" t="s">
        <v>496</v>
      </c>
      <c r="C244" s="174" t="s">
        <v>81</v>
      </c>
      <c r="D244" s="175" t="s">
        <v>497</v>
      </c>
      <c r="E244" s="158"/>
      <c r="F244" s="158"/>
      <c r="G244" s="158"/>
      <c r="H244" s="131"/>
      <c r="I244" s="158">
        <v>0</v>
      </c>
      <c r="J244" s="158">
        <v>-21096.32</v>
      </c>
      <c r="K244" s="131"/>
      <c r="L244" s="176"/>
      <c r="M244" s="176"/>
      <c r="N244" s="133">
        <f>G244+J244</f>
        <v>-21096.32</v>
      </c>
      <c r="O244" s="185" t="s">
        <v>391</v>
      </c>
      <c r="P244" s="186"/>
      <c r="AA244" s="56"/>
    </row>
    <row r="245" spans="1:27" s="38" customFormat="1" ht="138.75" thickTop="1" thickBot="1" x14ac:dyDescent="1.2">
      <c r="A245" s="60"/>
      <c r="B245" s="177" t="s">
        <v>493</v>
      </c>
      <c r="C245" s="178"/>
      <c r="D245" s="179" t="s">
        <v>490</v>
      </c>
      <c r="E245" s="159">
        <f>SUM(E246:E247)</f>
        <v>0</v>
      </c>
      <c r="F245" s="159">
        <f>SUM(F246:F247)</f>
        <v>0</v>
      </c>
      <c r="G245" s="159">
        <f>SUM(G246:G247)</f>
        <v>0</v>
      </c>
      <c r="H245" s="135">
        <v>0</v>
      </c>
      <c r="I245" s="159">
        <f>SUM(I246:I247)</f>
        <v>0</v>
      </c>
      <c r="J245" s="159">
        <f>SUM(J246:J247)</f>
        <v>0</v>
      </c>
      <c r="K245" s="135">
        <v>0</v>
      </c>
      <c r="L245" s="159"/>
      <c r="M245" s="159"/>
      <c r="N245" s="134">
        <f t="shared" si="108"/>
        <v>0</v>
      </c>
      <c r="O245" s="185" t="s">
        <v>391</v>
      </c>
      <c r="P245" s="186"/>
      <c r="AA245" s="56"/>
    </row>
    <row r="246" spans="1:27" s="38" customFormat="1" ht="138.75" thickTop="1" thickBot="1" x14ac:dyDescent="1.2">
      <c r="A246" s="60"/>
      <c r="B246" s="174" t="s">
        <v>492</v>
      </c>
      <c r="C246" s="174" t="s">
        <v>38</v>
      </c>
      <c r="D246" s="175" t="s">
        <v>491</v>
      </c>
      <c r="E246" s="176"/>
      <c r="F246" s="176"/>
      <c r="G246" s="176"/>
      <c r="H246" s="149"/>
      <c r="I246" s="158">
        <v>68876235</v>
      </c>
      <c r="J246" s="158">
        <v>0</v>
      </c>
      <c r="K246" s="131">
        <f>J246/I246</f>
        <v>0</v>
      </c>
      <c r="L246" s="176"/>
      <c r="M246" s="176"/>
      <c r="N246" s="133">
        <f>G246+J246</f>
        <v>0</v>
      </c>
      <c r="O246" s="72"/>
      <c r="P246" s="51"/>
      <c r="AA246" s="56"/>
    </row>
    <row r="247" spans="1:27" s="38" customFormat="1" ht="138.75" thickTop="1" thickBot="1" x14ac:dyDescent="1.2">
      <c r="A247" s="60"/>
      <c r="B247" s="174" t="s">
        <v>508</v>
      </c>
      <c r="C247" s="174" t="s">
        <v>38</v>
      </c>
      <c r="D247" s="175" t="s">
        <v>509</v>
      </c>
      <c r="E247" s="176"/>
      <c r="F247" s="176"/>
      <c r="G247" s="176"/>
      <c r="H247" s="149"/>
      <c r="I247" s="158">
        <v>-68876235</v>
      </c>
      <c r="J247" s="158">
        <v>0</v>
      </c>
      <c r="K247" s="131">
        <f>J247/I247</f>
        <v>0</v>
      </c>
      <c r="L247" s="176"/>
      <c r="M247" s="176"/>
      <c r="N247" s="133">
        <f>G247+J247</f>
        <v>0</v>
      </c>
      <c r="O247" s="72"/>
      <c r="P247" s="51"/>
      <c r="AA247" s="56"/>
    </row>
    <row r="248" spans="1:27" s="38" customFormat="1" ht="119.25" customHeight="1" thickTop="1" thickBot="1" x14ac:dyDescent="0.25">
      <c r="A248" s="60"/>
      <c r="B248" s="63" t="s">
        <v>385</v>
      </c>
      <c r="C248" s="63" t="s">
        <v>385</v>
      </c>
      <c r="D248" s="64" t="s">
        <v>386</v>
      </c>
      <c r="E248" s="65">
        <f>E237+E238</f>
        <v>4519370552.9699993</v>
      </c>
      <c r="F248" s="65">
        <f>F237+F238</f>
        <v>3495801652.6399999</v>
      </c>
      <c r="G248" s="65">
        <f>G237+G238</f>
        <v>3225840311.3999982</v>
      </c>
      <c r="H248" s="66">
        <f>G248/F248</f>
        <v>0.92277555534761846</v>
      </c>
      <c r="I248" s="65">
        <f>I237+I238</f>
        <v>1135109421.7</v>
      </c>
      <c r="J248" s="65">
        <f>J237+J238</f>
        <v>700286880.78999996</v>
      </c>
      <c r="K248" s="66">
        <f>J248/I248</f>
        <v>0.61693336994878711</v>
      </c>
      <c r="L248" s="65" t="e">
        <f>#REF!+#REF!+#REF!+#REF!+#REF!+#REF!++L162+L172+L231+L198+L212+#REF!+L183+#REF!+#REF!</f>
        <v>#REF!</v>
      </c>
      <c r="M248" s="65" t="e">
        <f>#REF!+#REF!+#REF!+#REF!+#REF!+#REF!++M162+M172+M231+M198+M212+#REF!+M183+#REF!+#REF!</f>
        <v>#REF!</v>
      </c>
      <c r="N248" s="65">
        <f>N237+N238</f>
        <v>3926127192.1899986</v>
      </c>
      <c r="O248" s="53" t="b">
        <f>N248=J248+G248</f>
        <v>1</v>
      </c>
      <c r="P248" s="51"/>
      <c r="S248" s="65">
        <f>N248/(I248+E248)*100</f>
        <v>69.433921594516406</v>
      </c>
      <c r="T248" s="65">
        <f>G248/E248*100</f>
        <v>71.378088465883138</v>
      </c>
    </row>
    <row r="249" spans="1:27" ht="46.5" thickTop="1" x14ac:dyDescent="0.2">
      <c r="A249" s="202" t="s">
        <v>475</v>
      </c>
      <c r="B249" s="202"/>
      <c r="C249" s="202"/>
      <c r="D249" s="202"/>
      <c r="E249" s="202"/>
      <c r="F249" s="202"/>
      <c r="G249" s="202"/>
      <c r="H249" s="202"/>
      <c r="I249" s="202"/>
      <c r="J249" s="202"/>
      <c r="K249" s="202"/>
      <c r="L249" s="202"/>
      <c r="M249" s="202"/>
      <c r="N249" s="202"/>
      <c r="O249" s="40"/>
    </row>
    <row r="250" spans="1:27" ht="45.75" x14ac:dyDescent="0.65">
      <c r="A250" s="41"/>
      <c r="B250" s="42"/>
      <c r="C250" s="42"/>
      <c r="D250" s="43" t="s">
        <v>582</v>
      </c>
      <c r="E250"/>
      <c r="F250"/>
      <c r="G250" s="43"/>
      <c r="H250" s="45"/>
      <c r="I250" s="43" t="s">
        <v>583</v>
      </c>
      <c r="J250" s="45"/>
      <c r="K250" s="45"/>
      <c r="L250" s="45"/>
      <c r="M250" s="45"/>
      <c r="N250" s="45"/>
      <c r="O250" s="40"/>
    </row>
    <row r="251" spans="1:27" ht="45.75" x14ac:dyDescent="0.65">
      <c r="A251" s="61"/>
      <c r="B251" s="62"/>
      <c r="C251" s="62"/>
      <c r="D251" s="203"/>
      <c r="E251" s="203"/>
      <c r="F251" s="203"/>
      <c r="G251" s="203"/>
      <c r="H251" s="203"/>
      <c r="I251" s="203"/>
      <c r="J251" s="203"/>
      <c r="K251" s="203"/>
      <c r="L251" s="203"/>
      <c r="M251" s="203"/>
      <c r="N251" s="203"/>
      <c r="O251" s="40"/>
    </row>
    <row r="252" spans="1:27" ht="45.75" x14ac:dyDescent="0.65">
      <c r="A252" s="41"/>
      <c r="B252" s="42"/>
      <c r="C252" s="42"/>
      <c r="D252" s="43" t="s">
        <v>501</v>
      </c>
      <c r="E252" s="44"/>
      <c r="F252" s="44"/>
      <c r="G252" s="43"/>
      <c r="H252" s="45"/>
      <c r="I252" s="43" t="s">
        <v>502</v>
      </c>
      <c r="J252" s="45"/>
      <c r="K252" s="45"/>
      <c r="L252" s="45"/>
      <c r="M252" s="45"/>
      <c r="N252" s="45"/>
      <c r="O252" s="40"/>
    </row>
    <row r="253" spans="1:27" ht="45.75" x14ac:dyDescent="0.65">
      <c r="A253" s="2"/>
      <c r="B253" s="2"/>
      <c r="C253" s="2"/>
      <c r="D253" s="199"/>
      <c r="E253" s="199"/>
      <c r="F253" s="199"/>
      <c r="G253" s="199"/>
      <c r="H253" s="199"/>
      <c r="I253" s="199"/>
      <c r="J253" s="199"/>
      <c r="K253" s="199"/>
      <c r="L253" s="199"/>
      <c r="M253" s="199"/>
      <c r="N253" s="199"/>
      <c r="O253" s="46"/>
    </row>
    <row r="270" spans="5:10" ht="47.25" hidden="1" thickTop="1" thickBot="1" x14ac:dyDescent="0.25">
      <c r="E270" s="55">
        <f>E237-E229-E227</f>
        <v>4246375439.7199993</v>
      </c>
      <c r="F270" s="55">
        <f>F237-F229-F227</f>
        <v>3273719280.77</v>
      </c>
      <c r="I270" s="55">
        <f>I237-I229-I227</f>
        <v>982145466.1400001</v>
      </c>
      <c r="J270" s="82"/>
    </row>
    <row r="278" spans="9:9" ht="45.75" x14ac:dyDescent="0.2">
      <c r="I278" s="82"/>
    </row>
    <row r="280" spans="9:9" ht="183" customHeight="1" x14ac:dyDescent="0.2"/>
    <row r="281" spans="9:9" ht="228" customHeight="1" x14ac:dyDescent="0.2"/>
    <row r="282" spans="9:9" ht="294" customHeight="1" x14ac:dyDescent="0.2"/>
    <row r="283" spans="9:9" ht="258" customHeight="1" x14ac:dyDescent="0.2"/>
    <row r="284" spans="9:9" ht="180" customHeight="1" x14ac:dyDescent="0.2"/>
    <row r="285" spans="9:9" ht="249" customHeight="1" x14ac:dyDescent="0.2"/>
  </sheetData>
  <mergeCells count="108">
    <mergeCell ref="C128:C130"/>
    <mergeCell ref="B128:B130"/>
    <mergeCell ref="E128:E130"/>
    <mergeCell ref="F128:F130"/>
    <mergeCell ref="G128:G130"/>
    <mergeCell ref="H128:H130"/>
    <mergeCell ref="I128:I130"/>
    <mergeCell ref="J128:J130"/>
    <mergeCell ref="K128:K130"/>
    <mergeCell ref="B118:B121"/>
    <mergeCell ref="C118:C121"/>
    <mergeCell ref="B122:B124"/>
    <mergeCell ref="K2:N2"/>
    <mergeCell ref="J3:N3"/>
    <mergeCell ref="A8:B8"/>
    <mergeCell ref="A4:N4"/>
    <mergeCell ref="N10:N12"/>
    <mergeCell ref="E11:E12"/>
    <mergeCell ref="H11:H12"/>
    <mergeCell ref="I11:I12"/>
    <mergeCell ref="J11:J12"/>
    <mergeCell ref="E10:H10"/>
    <mergeCell ref="A10:A12"/>
    <mergeCell ref="B10:B12"/>
    <mergeCell ref="C10:C12"/>
    <mergeCell ref="D10:D12"/>
    <mergeCell ref="M11:M12"/>
    <mergeCell ref="I10:M10"/>
    <mergeCell ref="A5:N5"/>
    <mergeCell ref="A7:B7"/>
    <mergeCell ref="I115:I117"/>
    <mergeCell ref="J115:J117"/>
    <mergeCell ref="N115:N117"/>
    <mergeCell ref="D253:N253"/>
    <mergeCell ref="F11:F12"/>
    <mergeCell ref="G11:G12"/>
    <mergeCell ref="K11:K12"/>
    <mergeCell ref="A249:N249"/>
    <mergeCell ref="D251:N251"/>
    <mergeCell ref="B125:B127"/>
    <mergeCell ref="C125:C127"/>
    <mergeCell ref="E115:E117"/>
    <mergeCell ref="K115:K117"/>
    <mergeCell ref="F115:F117"/>
    <mergeCell ref="N118:N121"/>
    <mergeCell ref="F122:F124"/>
    <mergeCell ref="G122:G124"/>
    <mergeCell ref="F125:F127"/>
    <mergeCell ref="F118:F121"/>
    <mergeCell ref="B115:B117"/>
    <mergeCell ref="C115:C117"/>
    <mergeCell ref="H115:H117"/>
    <mergeCell ref="H118:H121"/>
    <mergeCell ref="H122:H124"/>
    <mergeCell ref="H125:H127"/>
    <mergeCell ref="N122:N124"/>
    <mergeCell ref="G115:G117"/>
    <mergeCell ref="K125:K127"/>
    <mergeCell ref="N125:N127"/>
    <mergeCell ref="G125:G127"/>
    <mergeCell ref="G118:G121"/>
    <mergeCell ref="N128:N130"/>
    <mergeCell ref="O226:P226"/>
    <mergeCell ref="O207:P207"/>
    <mergeCell ref="C122:C124"/>
    <mergeCell ref="E118:E121"/>
    <mergeCell ref="E122:E124"/>
    <mergeCell ref="O215:P215"/>
    <mergeCell ref="O181:P181"/>
    <mergeCell ref="O182:P182"/>
    <mergeCell ref="K122:K124"/>
    <mergeCell ref="K118:K121"/>
    <mergeCell ref="I122:I124"/>
    <mergeCell ref="J122:J124"/>
    <mergeCell ref="I118:I121"/>
    <mergeCell ref="J118:J121"/>
    <mergeCell ref="E125:E127"/>
    <mergeCell ref="I125:I127"/>
    <mergeCell ref="J125:J127"/>
    <mergeCell ref="O183:P183"/>
    <mergeCell ref="O190:P190"/>
    <mergeCell ref="O204:P204"/>
    <mergeCell ref="O245:P245"/>
    <mergeCell ref="O241:P241"/>
    <mergeCell ref="O240:P240"/>
    <mergeCell ref="O239:P239"/>
    <mergeCell ref="O238:P238"/>
    <mergeCell ref="O216:P216"/>
    <mergeCell ref="O228:P228"/>
    <mergeCell ref="O227:P227"/>
    <mergeCell ref="O218:P218"/>
    <mergeCell ref="O243:P243"/>
    <mergeCell ref="O232:P232"/>
    <mergeCell ref="P229:Q229"/>
    <mergeCell ref="O242:P242"/>
    <mergeCell ref="O244:P244"/>
    <mergeCell ref="O222:P222"/>
    <mergeCell ref="O224:P224"/>
    <mergeCell ref="O230:P230"/>
    <mergeCell ref="O82:P82"/>
    <mergeCell ref="O192:P192"/>
    <mergeCell ref="O194:P194"/>
    <mergeCell ref="O188:P188"/>
    <mergeCell ref="O177:P177"/>
    <mergeCell ref="O178:P178"/>
    <mergeCell ref="O197:P197"/>
    <mergeCell ref="O198:P198"/>
    <mergeCell ref="O199:P199"/>
  </mergeCells>
  <pageMargins left="0.23622047244094491" right="0.27559055118110237" top="0.27559055118110237" bottom="0.15748031496062992" header="0.23622047244094491" footer="0.27559055118110237"/>
  <pageSetup paperSize="9" scale="18" orientation="landscape" horizontalDpi="300" verticalDpi="300" r:id="rId1"/>
  <headerFooter alignWithMargins="0">
    <oddFooter>&amp;C&amp;"Times New Roman Cyr,курсив"Сторінка &amp;P з &amp;N</oddFooter>
  </headerFooter>
  <rowBreaks count="1" manualBreakCount="1">
    <brk id="110" min="1"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2</vt:i4>
      </vt:variant>
    </vt:vector>
  </HeadingPairs>
  <TitlesOfParts>
    <vt:vector size="3" baseType="lpstr">
      <vt:lpstr>d2</vt:lpstr>
      <vt:lpstr>'d2'!Заголовки_для_друку</vt:lpstr>
      <vt:lpstr>'d2'!Область_друку</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Ковтун Денис Леонідович</dc:creator>
  <cp:lastModifiedBy>Отрощенко Сергій Володимирович</cp:lastModifiedBy>
  <cp:lastPrinted>2025-11-07T08:12:22Z</cp:lastPrinted>
  <dcterms:created xsi:type="dcterms:W3CDTF">2021-05-18T12:47:38Z</dcterms:created>
  <dcterms:modified xsi:type="dcterms:W3CDTF">2025-11-18T06:45:33Z</dcterms:modified>
</cp:coreProperties>
</file>