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O:\BUDJET\2024\Звіт за І-е півріччя 2024\"/>
    </mc:Choice>
  </mc:AlternateContent>
  <xr:revisionPtr revIDLastSave="0" documentId="13_ncr:1_{1F3C1BA3-DC4D-41C4-8AE5-87988A07CFE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d2" sheetId="1" r:id="rId1"/>
  </sheets>
  <definedNames>
    <definedName name="_xlnm.Print_Titles" localSheetId="0">'d2'!$10:$13</definedName>
    <definedName name="_xlnm.Print_Area" localSheetId="0">'d2'!$B$1:$N$236</definedName>
    <definedName name="С16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32" i="1" l="1"/>
  <c r="S232" i="1"/>
  <c r="E254" i="1"/>
  <c r="F254" i="1"/>
  <c r="I190" i="1"/>
  <c r="I189" i="1"/>
  <c r="I162" i="1"/>
  <c r="I117" i="1"/>
  <c r="I114" i="1"/>
  <c r="O19" i="1"/>
  <c r="I18" i="1"/>
  <c r="K189" i="1"/>
  <c r="K169" i="1"/>
  <c r="K173" i="1"/>
  <c r="K167" i="1"/>
  <c r="K166" i="1"/>
  <c r="J136" i="1"/>
  <c r="I136" i="1"/>
  <c r="E136" i="1"/>
  <c r="G136" i="1"/>
  <c r="O57" i="1"/>
  <c r="J57" i="1"/>
  <c r="I57" i="1"/>
  <c r="G57" i="1"/>
  <c r="F57" i="1"/>
  <c r="E57" i="1"/>
  <c r="J70" i="1"/>
  <c r="I70" i="1"/>
  <c r="G70" i="1"/>
  <c r="N70" i="1" s="1"/>
  <c r="F70" i="1"/>
  <c r="E70" i="1"/>
  <c r="N71" i="1"/>
  <c r="K71" i="1"/>
  <c r="N52" i="1"/>
  <c r="K50" i="1"/>
  <c r="K49" i="1"/>
  <c r="H210" i="1"/>
  <c r="H55" i="1"/>
  <c r="I54" i="1"/>
  <c r="K55" i="1"/>
  <c r="H47" i="1"/>
  <c r="N189" i="1"/>
  <c r="I16" i="1"/>
  <c r="G229" i="1"/>
  <c r="F229" i="1"/>
  <c r="E229" i="1"/>
  <c r="J229" i="1"/>
  <c r="I229" i="1"/>
  <c r="N231" i="1"/>
  <c r="K231" i="1"/>
  <c r="H218" i="1"/>
  <c r="H217" i="1"/>
  <c r="E175" i="1"/>
  <c r="N55" i="1"/>
  <c r="N56" i="1"/>
  <c r="K56" i="1"/>
  <c r="J54" i="1"/>
  <c r="G54" i="1"/>
  <c r="F54" i="1"/>
  <c r="E54" i="1"/>
  <c r="K70" i="1" l="1"/>
  <c r="H54" i="1"/>
  <c r="K54" i="1"/>
  <c r="N54" i="1"/>
  <c r="K58" i="1"/>
  <c r="K60" i="1"/>
  <c r="K68" i="1"/>
  <c r="J63" i="1"/>
  <c r="I63" i="1"/>
  <c r="E63" i="1"/>
  <c r="J51" i="1" l="1"/>
  <c r="I51" i="1"/>
  <c r="G51" i="1"/>
  <c r="F51" i="1"/>
  <c r="E51" i="1"/>
  <c r="K52" i="1"/>
  <c r="N42" i="1"/>
  <c r="K51" i="1" l="1"/>
  <c r="N51" i="1"/>
  <c r="E177" i="1" l="1"/>
  <c r="G175" i="1" l="1"/>
  <c r="H149" i="1"/>
  <c r="N149" i="1"/>
  <c r="N91" i="1" l="1"/>
  <c r="F67" i="1"/>
  <c r="N228" i="1" l="1"/>
  <c r="J227" i="1"/>
  <c r="I227" i="1"/>
  <c r="G227" i="1"/>
  <c r="F227" i="1"/>
  <c r="E227" i="1"/>
  <c r="N227" i="1" l="1"/>
  <c r="K230" i="1"/>
  <c r="N230" i="1"/>
  <c r="N229" i="1" l="1"/>
  <c r="K204" i="1" l="1"/>
  <c r="K86" i="1"/>
  <c r="N53" i="1"/>
  <c r="K53" i="1"/>
  <c r="N220" i="1" l="1"/>
  <c r="H220" i="1"/>
  <c r="H176" i="1" l="1"/>
  <c r="F136" i="1"/>
  <c r="H138" i="1"/>
  <c r="N138" i="1"/>
  <c r="H119" i="1" l="1"/>
  <c r="H80" i="1"/>
  <c r="K225" i="1" l="1"/>
  <c r="H219" i="1"/>
  <c r="H215" i="1"/>
  <c r="H209" i="1"/>
  <c r="H205" i="1"/>
  <c r="H204" i="1"/>
  <c r="H203" i="1"/>
  <c r="H201" i="1"/>
  <c r="H200" i="1"/>
  <c r="I163" i="1" l="1"/>
  <c r="H197" i="1"/>
  <c r="H193" i="1"/>
  <c r="H190" i="1"/>
  <c r="H189" i="1"/>
  <c r="H188" i="1"/>
  <c r="H186" i="1"/>
  <c r="H184" i="1"/>
  <c r="H183" i="1"/>
  <c r="H179" i="1"/>
  <c r="H178" i="1"/>
  <c r="H160" i="1"/>
  <c r="H157" i="1" l="1"/>
  <c r="H155" i="1"/>
  <c r="H152" i="1"/>
  <c r="H151" i="1"/>
  <c r="H147" i="1"/>
  <c r="H146" i="1"/>
  <c r="H145" i="1"/>
  <c r="H142" i="1"/>
  <c r="H141" i="1"/>
  <c r="H140" i="1"/>
  <c r="H135" i="1"/>
  <c r="H134" i="1"/>
  <c r="H132" i="1"/>
  <c r="H130" i="1"/>
  <c r="H129" i="1"/>
  <c r="H126" i="1"/>
  <c r="H125" i="1"/>
  <c r="H123" i="1"/>
  <c r="H122" i="1"/>
  <c r="H121" i="1"/>
  <c r="H120" i="1"/>
  <c r="H117" i="1" l="1"/>
  <c r="H116" i="1"/>
  <c r="H114" i="1"/>
  <c r="H99" i="1"/>
  <c r="H97" i="1"/>
  <c r="H95" i="1"/>
  <c r="H94" i="1"/>
  <c r="H92" i="1"/>
  <c r="H90" i="1"/>
  <c r="H89" i="1"/>
  <c r="H87" i="1"/>
  <c r="H86" i="1"/>
  <c r="H84" i="1"/>
  <c r="H83" i="1"/>
  <c r="H81" i="1"/>
  <c r="H79" i="1"/>
  <c r="F73" i="1"/>
  <c r="H78" i="1"/>
  <c r="H77" i="1"/>
  <c r="H76" i="1"/>
  <c r="H75" i="1"/>
  <c r="H74" i="1"/>
  <c r="K114" i="1" l="1"/>
  <c r="H69" i="1"/>
  <c r="H68" i="1"/>
  <c r="H64" i="1"/>
  <c r="H61" i="1"/>
  <c r="H60" i="1"/>
  <c r="H59" i="1"/>
  <c r="E67" i="1"/>
  <c r="H58" i="1"/>
  <c r="H46" i="1"/>
  <c r="H45" i="1"/>
  <c r="H44" i="1"/>
  <c r="H42" i="1"/>
  <c r="H41" i="1"/>
  <c r="H40" i="1"/>
  <c r="H38" i="1"/>
  <c r="H37" i="1"/>
  <c r="H35" i="1"/>
  <c r="E14" i="1"/>
  <c r="F14" i="1"/>
  <c r="G14" i="1"/>
  <c r="I14" i="1"/>
  <c r="J14" i="1"/>
  <c r="H34" i="1"/>
  <c r="H32" i="1"/>
  <c r="H31" i="1"/>
  <c r="H30" i="1"/>
  <c r="H27" i="1"/>
  <c r="H26" i="1"/>
  <c r="H24" i="1"/>
  <c r="H23" i="1"/>
  <c r="H22" i="1"/>
  <c r="G48" i="1"/>
  <c r="H20" i="1"/>
  <c r="H18" i="1"/>
  <c r="H17" i="1"/>
  <c r="H16" i="1"/>
  <c r="K14" i="1" l="1"/>
  <c r="H14" i="1"/>
  <c r="K15" i="1"/>
  <c r="H15" i="1" l="1"/>
  <c r="I98" i="1" l="1"/>
  <c r="J98" i="1"/>
  <c r="N24" i="1"/>
  <c r="K24" i="1"/>
  <c r="F224" i="1" l="1"/>
  <c r="F223" i="1" s="1"/>
  <c r="F222" i="1" s="1"/>
  <c r="F216" i="1"/>
  <c r="F214" i="1"/>
  <c r="F211" i="1"/>
  <c r="F208" i="1"/>
  <c r="F206" i="1"/>
  <c r="F202" i="1"/>
  <c r="F199" i="1"/>
  <c r="F194" i="1"/>
  <c r="F187" i="1"/>
  <c r="F182" i="1"/>
  <c r="F180" i="1"/>
  <c r="F177" i="1"/>
  <c r="F175" i="1"/>
  <c r="F171" i="1"/>
  <c r="F161" i="1" s="1"/>
  <c r="F159" i="1"/>
  <c r="F153" i="1"/>
  <c r="F144" i="1"/>
  <c r="F139" i="1"/>
  <c r="F133" i="1"/>
  <c r="F131" i="1"/>
  <c r="F128" i="1"/>
  <c r="F124" i="1"/>
  <c r="F118" i="1" s="1"/>
  <c r="F115" i="1"/>
  <c r="F100" i="1"/>
  <c r="F98" i="1"/>
  <c r="F96" i="1"/>
  <c r="F93" i="1"/>
  <c r="F88" i="1"/>
  <c r="F85" i="1"/>
  <c r="F82" i="1"/>
  <c r="F65" i="1"/>
  <c r="F63" i="1"/>
  <c r="F48" i="1"/>
  <c r="F43" i="1"/>
  <c r="F39" i="1"/>
  <c r="F36" i="1"/>
  <c r="F33" i="1"/>
  <c r="F28" i="1"/>
  <c r="F25" i="1"/>
  <c r="F21" i="1"/>
  <c r="F19" i="1" l="1"/>
  <c r="F185" i="1"/>
  <c r="F143" i="1"/>
  <c r="F213" i="1"/>
  <c r="F174" i="1"/>
  <c r="F198" i="1"/>
  <c r="F72" i="1"/>
  <c r="F127" i="1"/>
  <c r="F158" i="1" l="1"/>
  <c r="F221" i="1" s="1"/>
  <c r="N225" i="1"/>
  <c r="K142" i="1"/>
  <c r="N99" i="1"/>
  <c r="K98" i="1"/>
  <c r="K99" i="1"/>
  <c r="F232" i="1" l="1"/>
  <c r="K18" i="1"/>
  <c r="N204" i="1" l="1"/>
  <c r="G202" i="1"/>
  <c r="H202" i="1" s="1"/>
  <c r="J202" i="1"/>
  <c r="I202" i="1"/>
  <c r="E202" i="1"/>
  <c r="N203" i="1" l="1"/>
  <c r="N173" i="1" l="1"/>
  <c r="G159" i="1"/>
  <c r="H159" i="1" s="1"/>
  <c r="E159" i="1"/>
  <c r="I159" i="1"/>
  <c r="N123" i="1" l="1"/>
  <c r="N114" i="1"/>
  <c r="N80" i="1"/>
  <c r="K205" i="1" l="1"/>
  <c r="J180" i="1"/>
  <c r="N142" i="1"/>
  <c r="G63" i="1" l="1"/>
  <c r="H63" i="1" s="1"/>
  <c r="N15" i="1" l="1"/>
  <c r="N16" i="1"/>
  <c r="N17" i="1"/>
  <c r="N18" i="1"/>
  <c r="K20" i="1"/>
  <c r="N20" i="1"/>
  <c r="E21" i="1"/>
  <c r="G21" i="1"/>
  <c r="I21" i="1"/>
  <c r="J21" i="1"/>
  <c r="K22" i="1"/>
  <c r="N22" i="1"/>
  <c r="K23" i="1"/>
  <c r="N23" i="1"/>
  <c r="E25" i="1"/>
  <c r="G25" i="1"/>
  <c r="I25" i="1"/>
  <c r="J25" i="1"/>
  <c r="N26" i="1"/>
  <c r="N27" i="1"/>
  <c r="E28" i="1"/>
  <c r="G28" i="1"/>
  <c r="H28" i="1" s="1"/>
  <c r="I28" i="1"/>
  <c r="J28" i="1"/>
  <c r="N30" i="1"/>
  <c r="K31" i="1"/>
  <c r="N31" i="1"/>
  <c r="K32" i="1"/>
  <c r="N32" i="1"/>
  <c r="E33" i="1"/>
  <c r="G33" i="1"/>
  <c r="H33" i="1" s="1"/>
  <c r="I33" i="1"/>
  <c r="J33" i="1"/>
  <c r="K34" i="1"/>
  <c r="N34" i="1"/>
  <c r="N35" i="1"/>
  <c r="E36" i="1"/>
  <c r="G36" i="1"/>
  <c r="H36" i="1" s="1"/>
  <c r="I36" i="1"/>
  <c r="J36" i="1"/>
  <c r="K37" i="1"/>
  <c r="N37" i="1"/>
  <c r="N38" i="1"/>
  <c r="E39" i="1"/>
  <c r="G39" i="1"/>
  <c r="H39" i="1" s="1"/>
  <c r="I39" i="1"/>
  <c r="J39" i="1"/>
  <c r="N40" i="1"/>
  <c r="N41" i="1"/>
  <c r="E43" i="1"/>
  <c r="G43" i="1"/>
  <c r="H43" i="1" s="1"/>
  <c r="I43" i="1"/>
  <c r="J43" i="1"/>
  <c r="K44" i="1"/>
  <c r="N44" i="1"/>
  <c r="K45" i="1"/>
  <c r="N45" i="1"/>
  <c r="N46" i="1"/>
  <c r="N47" i="1"/>
  <c r="E48" i="1"/>
  <c r="I48" i="1"/>
  <c r="J48" i="1"/>
  <c r="N49" i="1"/>
  <c r="N50" i="1"/>
  <c r="N58" i="1"/>
  <c r="N59" i="1"/>
  <c r="N60" i="1"/>
  <c r="N61" i="1"/>
  <c r="K62" i="1"/>
  <c r="N62" i="1"/>
  <c r="N63" i="1"/>
  <c r="N64" i="1"/>
  <c r="E65" i="1"/>
  <c r="G65" i="1"/>
  <c r="N66" i="1"/>
  <c r="G67" i="1"/>
  <c r="H67" i="1" s="1"/>
  <c r="I67" i="1"/>
  <c r="J67" i="1"/>
  <c r="N68" i="1"/>
  <c r="N69" i="1"/>
  <c r="E73" i="1"/>
  <c r="G73" i="1"/>
  <c r="H73" i="1" s="1"/>
  <c r="I73" i="1"/>
  <c r="J73" i="1"/>
  <c r="K74" i="1"/>
  <c r="N74" i="1"/>
  <c r="N75" i="1"/>
  <c r="N76" i="1"/>
  <c r="N77" i="1"/>
  <c r="N78" i="1"/>
  <c r="N79" i="1"/>
  <c r="N81" i="1"/>
  <c r="E82" i="1"/>
  <c r="G82" i="1"/>
  <c r="H82" i="1" s="1"/>
  <c r="I82" i="1"/>
  <c r="J82" i="1"/>
  <c r="K83" i="1"/>
  <c r="N83" i="1"/>
  <c r="K84" i="1"/>
  <c r="N84" i="1"/>
  <c r="E85" i="1"/>
  <c r="G85" i="1"/>
  <c r="H85" i="1" s="1"/>
  <c r="I85" i="1"/>
  <c r="J85" i="1"/>
  <c r="N86" i="1"/>
  <c r="K87" i="1"/>
  <c r="N87" i="1"/>
  <c r="E88" i="1"/>
  <c r="G88" i="1"/>
  <c r="H88" i="1" s="1"/>
  <c r="I88" i="1"/>
  <c r="J88" i="1"/>
  <c r="K89" i="1"/>
  <c r="N89" i="1"/>
  <c r="K90" i="1"/>
  <c r="N90" i="1"/>
  <c r="N92" i="1"/>
  <c r="E93" i="1"/>
  <c r="G93" i="1"/>
  <c r="N94" i="1"/>
  <c r="N95" i="1"/>
  <c r="E96" i="1"/>
  <c r="G96" i="1"/>
  <c r="H96" i="1" s="1"/>
  <c r="N97" i="1"/>
  <c r="E98" i="1"/>
  <c r="G98" i="1"/>
  <c r="E100" i="1"/>
  <c r="G100" i="1"/>
  <c r="I100" i="1"/>
  <c r="J100" i="1"/>
  <c r="K101" i="1"/>
  <c r="N101" i="1"/>
  <c r="K104" i="1"/>
  <c r="N104" i="1"/>
  <c r="K108" i="1"/>
  <c r="N108" i="1"/>
  <c r="K111" i="1"/>
  <c r="N111" i="1"/>
  <c r="E115" i="1"/>
  <c r="G115" i="1"/>
  <c r="H115" i="1" s="1"/>
  <c r="I115" i="1"/>
  <c r="J115" i="1"/>
  <c r="K116" i="1"/>
  <c r="N116" i="1"/>
  <c r="K117" i="1"/>
  <c r="N117" i="1"/>
  <c r="N119" i="1"/>
  <c r="K120" i="1"/>
  <c r="N120" i="1"/>
  <c r="K121" i="1"/>
  <c r="N121" i="1"/>
  <c r="K122" i="1"/>
  <c r="N122" i="1"/>
  <c r="E124" i="1"/>
  <c r="E118" i="1" s="1"/>
  <c r="G124" i="1"/>
  <c r="I124" i="1"/>
  <c r="I118" i="1" s="1"/>
  <c r="J124" i="1"/>
  <c r="K125" i="1"/>
  <c r="N125" i="1"/>
  <c r="N126" i="1"/>
  <c r="E128" i="1"/>
  <c r="G128" i="1"/>
  <c r="N129" i="1"/>
  <c r="N130" i="1"/>
  <c r="E131" i="1"/>
  <c r="G131" i="1"/>
  <c r="H131" i="1" s="1"/>
  <c r="N132" i="1"/>
  <c r="E133" i="1"/>
  <c r="G133" i="1"/>
  <c r="H133" i="1" s="1"/>
  <c r="I133" i="1"/>
  <c r="J133" i="1"/>
  <c r="K134" i="1"/>
  <c r="N134" i="1"/>
  <c r="N135" i="1"/>
  <c r="K137" i="1"/>
  <c r="N137" i="1"/>
  <c r="E139" i="1"/>
  <c r="G139" i="1"/>
  <c r="H139" i="1" s="1"/>
  <c r="I139" i="1"/>
  <c r="J139" i="1"/>
  <c r="N140" i="1"/>
  <c r="N141" i="1"/>
  <c r="E144" i="1"/>
  <c r="G144" i="1"/>
  <c r="H144" i="1" s="1"/>
  <c r="I144" i="1"/>
  <c r="J144" i="1"/>
  <c r="K145" i="1"/>
  <c r="N145" i="1"/>
  <c r="N146" i="1"/>
  <c r="K147" i="1"/>
  <c r="N147" i="1"/>
  <c r="K148" i="1"/>
  <c r="N148" i="1"/>
  <c r="K150" i="1"/>
  <c r="N150" i="1"/>
  <c r="K152" i="1"/>
  <c r="N152" i="1"/>
  <c r="E153" i="1"/>
  <c r="G153" i="1"/>
  <c r="I153" i="1"/>
  <c r="J153" i="1"/>
  <c r="K154" i="1"/>
  <c r="N154" i="1"/>
  <c r="K155" i="1"/>
  <c r="N155" i="1"/>
  <c r="N156" i="1"/>
  <c r="N157" i="1"/>
  <c r="J159" i="1"/>
  <c r="N160" i="1"/>
  <c r="K162" i="1"/>
  <c r="N162" i="1"/>
  <c r="J163" i="1"/>
  <c r="N164" i="1"/>
  <c r="K165" i="1"/>
  <c r="N165" i="1"/>
  <c r="N166" i="1"/>
  <c r="N167" i="1"/>
  <c r="K168" i="1"/>
  <c r="N168" i="1"/>
  <c r="N169" i="1"/>
  <c r="K170" i="1"/>
  <c r="N170" i="1"/>
  <c r="E171" i="1"/>
  <c r="E161" i="1" s="1"/>
  <c r="G171" i="1"/>
  <c r="G161" i="1" s="1"/>
  <c r="I171" i="1"/>
  <c r="J171" i="1"/>
  <c r="K172" i="1"/>
  <c r="N172" i="1"/>
  <c r="H175" i="1"/>
  <c r="I175" i="1"/>
  <c r="J175" i="1"/>
  <c r="N176" i="1"/>
  <c r="G177" i="1"/>
  <c r="N178" i="1"/>
  <c r="N179" i="1"/>
  <c r="E180" i="1"/>
  <c r="G180" i="1"/>
  <c r="I180" i="1"/>
  <c r="I174" i="1" s="1"/>
  <c r="K181" i="1"/>
  <c r="N181" i="1"/>
  <c r="E182" i="1"/>
  <c r="G182" i="1"/>
  <c r="H182" i="1" s="1"/>
  <c r="I182" i="1"/>
  <c r="J182" i="1"/>
  <c r="N183" i="1"/>
  <c r="N184" i="1"/>
  <c r="N186" i="1"/>
  <c r="E187" i="1"/>
  <c r="G187" i="1"/>
  <c r="H187" i="1" s="1"/>
  <c r="I187" i="1"/>
  <c r="J187" i="1"/>
  <c r="N188" i="1"/>
  <c r="K190" i="1"/>
  <c r="N190" i="1"/>
  <c r="K191" i="1"/>
  <c r="N191" i="1"/>
  <c r="N192" i="1"/>
  <c r="N193" i="1"/>
  <c r="I194" i="1"/>
  <c r="J194" i="1"/>
  <c r="E194" i="1"/>
  <c r="E199" i="1"/>
  <c r="G199" i="1"/>
  <c r="H199" i="1" s="1"/>
  <c r="I199" i="1"/>
  <c r="J199" i="1"/>
  <c r="N200" i="1"/>
  <c r="N201" i="1"/>
  <c r="K202" i="1"/>
  <c r="N205" i="1"/>
  <c r="E206" i="1"/>
  <c r="G206" i="1"/>
  <c r="I206" i="1"/>
  <c r="J206" i="1"/>
  <c r="K207" i="1"/>
  <c r="N207" i="1"/>
  <c r="E208" i="1"/>
  <c r="G208" i="1"/>
  <c r="H208" i="1" s="1"/>
  <c r="I208" i="1"/>
  <c r="J208" i="1"/>
  <c r="N209" i="1"/>
  <c r="N210" i="1"/>
  <c r="E211" i="1"/>
  <c r="G211" i="1"/>
  <c r="I211" i="1"/>
  <c r="J211" i="1"/>
  <c r="N212" i="1"/>
  <c r="E214" i="1"/>
  <c r="G214" i="1"/>
  <c r="I214" i="1"/>
  <c r="J214" i="1"/>
  <c r="N215" i="1"/>
  <c r="E216" i="1"/>
  <c r="G216" i="1"/>
  <c r="H216" i="1" s="1"/>
  <c r="I216" i="1"/>
  <c r="J216" i="1"/>
  <c r="N217" i="1"/>
  <c r="N218" i="1"/>
  <c r="K219" i="1"/>
  <c r="N219" i="1"/>
  <c r="L221" i="1"/>
  <c r="M221" i="1"/>
  <c r="E224" i="1"/>
  <c r="E223" i="1" s="1"/>
  <c r="E222" i="1" s="1"/>
  <c r="G224" i="1"/>
  <c r="G223" i="1" s="1"/>
  <c r="I224" i="1"/>
  <c r="I223" i="1" s="1"/>
  <c r="I222" i="1" s="1"/>
  <c r="J224" i="1"/>
  <c r="J223" i="1" s="1"/>
  <c r="N226" i="1"/>
  <c r="L232" i="1"/>
  <c r="M232" i="1"/>
  <c r="N48" i="1" l="1"/>
  <c r="K48" i="1"/>
  <c r="G19" i="1"/>
  <c r="H19" i="1" s="1"/>
  <c r="E19" i="1"/>
  <c r="J19" i="1"/>
  <c r="I19" i="1"/>
  <c r="K67" i="1"/>
  <c r="K139" i="1"/>
  <c r="I213" i="1"/>
  <c r="E213" i="1"/>
  <c r="H21" i="1"/>
  <c r="H214" i="1"/>
  <c r="G213" i="1"/>
  <c r="H213" i="1" s="1"/>
  <c r="K85" i="1"/>
  <c r="N211" i="1"/>
  <c r="J213" i="1"/>
  <c r="N98" i="1"/>
  <c r="H98" i="1"/>
  <c r="N93" i="1"/>
  <c r="H93" i="1"/>
  <c r="N25" i="1"/>
  <c r="H25" i="1"/>
  <c r="N180" i="1"/>
  <c r="N177" i="1"/>
  <c r="H177" i="1"/>
  <c r="N128" i="1"/>
  <c r="H128" i="1"/>
  <c r="G118" i="1"/>
  <c r="H118" i="1" s="1"/>
  <c r="H124" i="1"/>
  <c r="N28" i="1"/>
  <c r="K88" i="1"/>
  <c r="N144" i="1"/>
  <c r="K100" i="1"/>
  <c r="N115" i="1"/>
  <c r="N67" i="1"/>
  <c r="H57" i="1"/>
  <c r="K206" i="1"/>
  <c r="N199" i="1"/>
  <c r="I127" i="1"/>
  <c r="N100" i="1"/>
  <c r="N65" i="1"/>
  <c r="N224" i="1"/>
  <c r="J143" i="1"/>
  <c r="K144" i="1"/>
  <c r="K36" i="1"/>
  <c r="K21" i="1"/>
  <c r="N202" i="1"/>
  <c r="N139" i="1"/>
  <c r="N33" i="1"/>
  <c r="K180" i="1"/>
  <c r="I72" i="1"/>
  <c r="E198" i="1"/>
  <c r="K171" i="1"/>
  <c r="E127" i="1"/>
  <c r="K115" i="1"/>
  <c r="N88" i="1"/>
  <c r="N85" i="1"/>
  <c r="N36" i="1"/>
  <c r="J127" i="1"/>
  <c r="N214" i="1"/>
  <c r="N206" i="1"/>
  <c r="I198" i="1"/>
  <c r="N197" i="1"/>
  <c r="E185" i="1"/>
  <c r="G174" i="1"/>
  <c r="H174" i="1" s="1"/>
  <c r="K164" i="1"/>
  <c r="I143" i="1"/>
  <c r="K16" i="1"/>
  <c r="N216" i="1"/>
  <c r="N208" i="1"/>
  <c r="N195" i="1"/>
  <c r="G194" i="1"/>
  <c r="H194" i="1" s="1"/>
  <c r="N187" i="1"/>
  <c r="E143" i="1"/>
  <c r="N151" i="1"/>
  <c r="G143" i="1"/>
  <c r="H143" i="1" s="1"/>
  <c r="N136" i="1"/>
  <c r="N133" i="1"/>
  <c r="K124" i="1"/>
  <c r="K82" i="1"/>
  <c r="G222" i="1"/>
  <c r="I185" i="1"/>
  <c r="J174" i="1"/>
  <c r="E174" i="1"/>
  <c r="J161" i="1"/>
  <c r="N161" i="1" s="1"/>
  <c r="K133" i="1"/>
  <c r="K73" i="1"/>
  <c r="E72" i="1"/>
  <c r="K43" i="1"/>
  <c r="K33" i="1"/>
  <c r="K194" i="1"/>
  <c r="J222" i="1"/>
  <c r="N171" i="1"/>
  <c r="N39" i="1"/>
  <c r="J198" i="1"/>
  <c r="K195" i="1"/>
  <c r="N182" i="1"/>
  <c r="J72" i="1"/>
  <c r="K57" i="1"/>
  <c r="G198" i="1"/>
  <c r="H198" i="1" s="1"/>
  <c r="I161" i="1"/>
  <c r="G72" i="1"/>
  <c r="H72" i="1" s="1"/>
  <c r="J185" i="1"/>
  <c r="N175" i="1"/>
  <c r="N163" i="1"/>
  <c r="N159" i="1"/>
  <c r="N153" i="1"/>
  <c r="N131" i="1"/>
  <c r="G127" i="1"/>
  <c r="H127" i="1" s="1"/>
  <c r="N124" i="1"/>
  <c r="N96" i="1"/>
  <c r="N82" i="1"/>
  <c r="N73" i="1"/>
  <c r="N43" i="1"/>
  <c r="J118" i="1"/>
  <c r="K192" i="1"/>
  <c r="K163" i="1"/>
  <c r="K153" i="1"/>
  <c r="N21" i="1"/>
  <c r="E158" i="1" l="1"/>
  <c r="K198" i="1"/>
  <c r="G185" i="1"/>
  <c r="H185" i="1" s="1"/>
  <c r="E221" i="1"/>
  <c r="E232" i="1" s="1"/>
  <c r="N194" i="1"/>
  <c r="K185" i="1"/>
  <c r="K127" i="1"/>
  <c r="K143" i="1"/>
  <c r="N222" i="1"/>
  <c r="K174" i="1"/>
  <c r="K19" i="1"/>
  <c r="N143" i="1"/>
  <c r="O143" i="1" s="1"/>
  <c r="N174" i="1"/>
  <c r="N223" i="1"/>
  <c r="I158" i="1"/>
  <c r="I221" i="1" s="1"/>
  <c r="I254" i="1" s="1"/>
  <c r="K118" i="1"/>
  <c r="N118" i="1"/>
  <c r="O118" i="1" s="1"/>
  <c r="N213" i="1"/>
  <c r="O213" i="1" s="1"/>
  <c r="K213" i="1"/>
  <c r="N127" i="1"/>
  <c r="O127" i="1" s="1"/>
  <c r="N14" i="1"/>
  <c r="O14" i="1" s="1"/>
  <c r="N72" i="1"/>
  <c r="O72" i="1" s="1"/>
  <c r="K72" i="1"/>
  <c r="N19" i="1"/>
  <c r="K161" i="1"/>
  <c r="J158" i="1"/>
  <c r="J221" i="1" s="1"/>
  <c r="N57" i="1"/>
  <c r="N198" i="1"/>
  <c r="O198" i="1" s="1"/>
  <c r="N185" i="1" l="1"/>
  <c r="I232" i="1"/>
  <c r="G158" i="1"/>
  <c r="H158" i="1" s="1"/>
  <c r="K158" i="1"/>
  <c r="K221" i="1"/>
  <c r="J232" i="1"/>
  <c r="N158" i="1" l="1"/>
  <c r="O158" i="1" s="1"/>
  <c r="G221" i="1"/>
  <c r="H221" i="1" s="1"/>
  <c r="K232" i="1"/>
  <c r="N221" i="1" l="1"/>
  <c r="N232" i="1" s="1"/>
  <c r="G232" i="1"/>
  <c r="H232" i="1" s="1"/>
  <c r="O221" i="1" l="1"/>
  <c r="O232" i="1"/>
</calcChain>
</file>

<file path=xl/sharedStrings.xml><?xml version="1.0" encoding="utf-8"?>
<sst xmlns="http://schemas.openxmlformats.org/spreadsheetml/2006/main" count="740" uniqueCount="585">
  <si>
    <t>(код бюджету)</t>
  </si>
  <si>
    <t>(грн)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</si>
  <si>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</si>
  <si>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</si>
  <si>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</si>
  <si>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Загальний фонд</t>
  </si>
  <si>
    <t>Спеціальний фонд</t>
  </si>
  <si>
    <t>1</t>
  </si>
  <si>
    <t>2</t>
  </si>
  <si>
    <t>3</t>
  </si>
  <si>
    <t>4</t>
  </si>
  <si>
    <t>5</t>
  </si>
  <si>
    <t>6</t>
  </si>
  <si>
    <t>0210100</t>
  </si>
  <si>
    <t>0100</t>
  </si>
  <si>
    <t>Державне управління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</si>
  <si>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</si>
  <si>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</si>
  <si>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</si>
  <si>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</si>
  <si>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</si>
  <si>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</si>
  <si>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</si>
  <si>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</si>
  <si>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</si>
  <si>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</si>
  <si>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</si>
  <si>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</si>
  <si>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</si>
  <si>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</si>
  <si>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</si>
  <si>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7000</t>
  </si>
  <si>
    <t>7500</t>
  </si>
  <si>
    <t>Зв'язок, телекомунікації та інформатика</t>
  </si>
  <si>
    <t>7520</t>
  </si>
  <si>
    <t>Реалізація Національної програми інформатизації</t>
  </si>
  <si>
    <t>7600</t>
  </si>
  <si>
    <t>Інші програми та заходи, пов'язані з економічною діяльністю</t>
  </si>
  <si>
    <t>7680</t>
  </si>
  <si>
    <t>0490</t>
  </si>
  <si>
    <t>Членські внески до асоціацій органів місцевого самоврядування</t>
  </si>
  <si>
    <t>7690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</si>
  <si>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</si>
  <si>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</si>
  <si>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</si>
  <si>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7693</t>
  </si>
  <si>
    <t>Інші заходи, пов'язані з економічною діяльністю</t>
  </si>
  <si>
    <t>8000</t>
  </si>
  <si>
    <t>Інша діяльність</t>
  </si>
  <si>
    <t>8400</t>
  </si>
  <si>
    <t>Засоби масової інформації</t>
  </si>
  <si>
    <t>8410</t>
  </si>
  <si>
    <t>0830</t>
  </si>
  <si>
    <t>Фінансова підтримка засобів масової інформації</t>
  </si>
  <si>
    <t>9000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</si>
  <si>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</si>
  <si>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</si>
  <si>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</si>
  <si>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9710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</si>
  <si>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</si>
  <si>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</si>
  <si>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</si>
  <si>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</si>
  <si>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</si>
  <si>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0611000</t>
  </si>
  <si>
    <t>1000</t>
  </si>
  <si>
    <t>Освіта</t>
  </si>
  <si>
    <t>0611010</t>
  </si>
  <si>
    <t>1010</t>
  </si>
  <si>
    <t>0910</t>
  </si>
  <si>
    <t>Надання дошкільної освіти</t>
  </si>
  <si>
    <t>0611020</t>
  </si>
  <si>
    <t>1020</t>
  </si>
  <si>
    <t>Надання загальної середньої освіти за рахунок коштів місцевого бюджету</t>
  </si>
  <si>
    <t>0611021</t>
  </si>
  <si>
    <t>1021</t>
  </si>
  <si>
    <t>0921</t>
  </si>
  <si>
    <t>Надання загальної середньої освіти закладами загальної середньої освіти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</si>
  <si>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</si>
  <si>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</si>
  <si>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</si>
  <si>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</si>
  <si>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</si>
  <si>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1030</t>
  </si>
  <si>
    <t>Надання загальної середньої освіти за рахунок освітньої субвенції</t>
  </si>
  <si>
    <t>0611031</t>
  </si>
  <si>
    <t>1031</t>
  </si>
  <si>
    <t>0611060</t>
  </si>
  <si>
    <t>1060</t>
  </si>
  <si>
    <t>0611061</t>
  </si>
  <si>
    <t>1061</t>
  </si>
  <si>
    <t xml:space="preserve"> 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</si>
  <si>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</si>
  <si>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</si>
  <si>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</si>
  <si>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</si>
  <si>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0611090</t>
  </si>
  <si>
    <t>1090</t>
  </si>
  <si>
    <t>Підготовка кадрів закладами професійної (професійно-технічної) освіти та іншими закладами освіти</t>
  </si>
  <si>
    <t>0611091</t>
  </si>
  <si>
    <t>1091</t>
  </si>
  <si>
    <t>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</si>
  <si>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</si>
  <si>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0611092</t>
  </si>
  <si>
    <t>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</si>
  <si>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</si>
  <si>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0611140</t>
  </si>
  <si>
    <t>1140</t>
  </si>
  <si>
    <t>Інші програми, заклади та заходи у сфері освіти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</si>
  <si>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</si>
  <si>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</si>
  <si>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</si>
  <si>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</si>
  <si>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</si>
  <si>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</si>
  <si>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</si>
  <si>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0611150</t>
  </si>
  <si>
    <t>1150</t>
  </si>
  <si>
    <t>Забезпечення діяльності інклюзивно-ресурсних центрів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</si>
  <si>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</si>
  <si>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</si>
  <si>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</si>
  <si>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</si>
  <si>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</si>
  <si>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</si>
  <si>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</si>
  <si>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</si>
  <si>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</si>
  <si>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</si>
  <si>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</si>
  <si>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</si>
  <si>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</si>
  <si>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</si>
  <si>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</si>
  <si>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</si>
  <si>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</si>
  <si>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</si>
  <si>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</si>
  <si>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</si>
  <si>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3000</t>
  </si>
  <si>
    <t>Соціальний захист та соціальне забезпечення</t>
  </si>
  <si>
    <t>1040</t>
  </si>
  <si>
    <t>0712000</t>
  </si>
  <si>
    <t>2000</t>
  </si>
  <si>
    <t>Охорона здоров’я</t>
  </si>
  <si>
    <t>0712010</t>
  </si>
  <si>
    <t>2010</t>
  </si>
  <si>
    <t>0731</t>
  </si>
  <si>
    <t>Багатопрофільна стаціонарна медична допомога населенню</t>
  </si>
  <si>
    <t>0712020</t>
  </si>
  <si>
    <t>2020</t>
  </si>
  <si>
    <t>0732</t>
  </si>
  <si>
    <t>Спеціалізована стаціонарна медична допомога населенню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</si>
  <si>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</si>
  <si>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</si>
  <si>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</si>
  <si>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</si>
  <si>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</si>
  <si>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</si>
  <si>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</si>
  <si>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</si>
  <si>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>0712100</t>
  </si>
  <si>
    <t>2100</t>
  </si>
  <si>
    <t>0722</t>
  </si>
  <si>
    <t>Стоматологічна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</si>
  <si>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</si>
  <si>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</si>
  <si>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</si>
  <si>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</si>
  <si>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</si>
  <si>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</si>
  <si>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</si>
  <si>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0712140</t>
  </si>
  <si>
    <t>2140</t>
  </si>
  <si>
    <t>Програми і централізовані заходи у галузі охорони здоров’я</t>
  </si>
  <si>
    <t>0712144</t>
  </si>
  <si>
    <t>2144</t>
  </si>
  <si>
    <t>0763</t>
  </si>
  <si>
    <t>Централізовані заходи з лікування хворих на цукровий та нецукровий діабет</t>
  </si>
  <si>
    <t>0712150</t>
  </si>
  <si>
    <t>2150</t>
  </si>
  <si>
    <t>Інші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</si>
  <si>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</si>
  <si>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</si>
  <si>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</si>
  <si>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</si>
  <si>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</si>
  <si>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</si>
  <si>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7670</t>
  </si>
  <si>
    <t>Внески до статутного капіталу суб’єктів господарювання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</si>
  <si>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</si>
  <si>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</si>
  <si>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</si>
  <si>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</si>
  <si>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</si>
  <si>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</si>
  <si>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</si>
  <si>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</si>
  <si>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</si>
  <si>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</si>
  <si>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</si>
  <si>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</si>
  <si>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</si>
  <si>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</si>
  <si>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</si>
  <si>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</si>
  <si>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0813036</t>
  </si>
  <si>
    <t>3036</t>
  </si>
  <si>
    <t>Компенсаційні виплати на пільговий проїзд електротранспортом окремим категоріям громадян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</si>
  <si>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</si>
  <si>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</si>
  <si>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</si>
  <si>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3060</t>
  </si>
  <si>
    <t>Оздоровлення громадян,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</si>
  <si>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</si>
  <si>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</si>
  <si>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</si>
  <si>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</si>
  <si>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</si>
  <si>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</si>
  <si>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</si>
  <si>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</si>
  <si>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</si>
  <si>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</si>
  <si>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</si>
  <si>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</si>
  <si>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0813160</t>
  </si>
  <si>
    <t>3160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</si>
  <si>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</si>
  <si>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0813170</t>
  </si>
  <si>
    <t>3170</t>
  </si>
  <si>
    <t>Забезпечення реалізації окремих програм для осіб з інвалідністю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</si>
  <si>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</si>
  <si>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</si>
  <si>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</si>
  <si>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</si>
  <si>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</si>
  <si>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</si>
  <si>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0813190</t>
  </si>
  <si>
    <t>3190</t>
  </si>
  <si>
    <t>Соціальний захист ветеранів війни та праці</t>
  </si>
  <si>
    <t>0813192</t>
  </si>
  <si>
    <t>3192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</si>
  <si>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</si>
  <si>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0813200</t>
  </si>
  <si>
    <t>3200</t>
  </si>
  <si>
    <t>Забезпечення обробки інформації з нарахування та виплати допомог і компенсацій</t>
  </si>
  <si>
    <t>0813210</t>
  </si>
  <si>
    <t>3210</t>
  </si>
  <si>
    <t>1050</t>
  </si>
  <si>
    <t>Організація та проведення громадських робіт</t>
  </si>
  <si>
    <t>0813240</t>
  </si>
  <si>
    <t>3240</t>
  </si>
  <si>
    <t xml:space="preserve"> Інші заклади та заходи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</si>
  <si>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</si>
  <si>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</si>
  <si>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</si>
  <si>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</si>
  <si>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</si>
  <si>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</si>
  <si>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6000</t>
  </si>
  <si>
    <t>Житлово-комунальне господарство</t>
  </si>
  <si>
    <t>6080</t>
  </si>
  <si>
    <t>6082</t>
  </si>
  <si>
    <t>0610</t>
  </si>
  <si>
    <t>7300</t>
  </si>
  <si>
    <t>Будівництво та регіональний розвиток</t>
  </si>
  <si>
    <t>7320</t>
  </si>
  <si>
    <t>0443</t>
  </si>
  <si>
    <t>1080</t>
  </si>
  <si>
    <t>1014000</t>
  </si>
  <si>
    <t>4000</t>
  </si>
  <si>
    <t>Культура i мистецтво</t>
  </si>
  <si>
    <t>1014010</t>
  </si>
  <si>
    <t>4010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</si>
  <si>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</si>
  <si>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</si>
  <si>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</si>
  <si>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</si>
  <si>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</si>
  <si>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</si>
  <si>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</si>
  <si>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</si>
  <si>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</si>
  <si>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</si>
  <si>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</si>
  <si>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</si>
  <si>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</si>
  <si>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</si>
  <si>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</si>
  <si>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</si>
  <si>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</si>
  <si>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</si>
  <si>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</si>
  <si>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</si>
  <si>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</si>
  <si>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</si>
  <si>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</si>
  <si>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3120</t>
  </si>
  <si>
    <t>Здійснення соціальної роботи з вразливими категоріями населення</t>
  </si>
  <si>
    <t>3121</t>
  </si>
  <si>
    <t>Утримання та забезпечення діяльності центрів соціальних служб</t>
  </si>
  <si>
    <t>3130</t>
  </si>
  <si>
    <t>Реалізація державної політики у молодіжній сфері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</si>
  <si>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</si>
  <si>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</si>
  <si>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</si>
  <si>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</si>
  <si>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</si>
  <si>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</si>
  <si>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</si>
  <si>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</si>
  <si>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</si>
  <si>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</si>
  <si>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1115011</t>
  </si>
  <si>
    <t>5011</t>
  </si>
  <si>
    <t>0810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</si>
  <si>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</si>
  <si>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</si>
  <si>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</si>
  <si>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</si>
  <si>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</si>
  <si>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</si>
  <si>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</si>
  <si>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</si>
  <si>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</si>
  <si>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</si>
  <si>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1115030</t>
  </si>
  <si>
    <t>5030</t>
  </si>
  <si>
    <t xml:space="preserve"> Розвиток дитячо-юнацького та резервного спорту</t>
  </si>
  <si>
    <t>1115031</t>
  </si>
  <si>
    <t>5031</t>
  </si>
  <si>
    <t>Утримання та навчально-тренувальна робота комунальних дитячо-юнацьких спортивних шкіл</t>
  </si>
  <si>
    <t>1115032</t>
  </si>
  <si>
    <t>5032</t>
  </si>
  <si>
    <t>Фінансова підтримка дитячо-юнацьких спортивних шкіл фізкультурно-спортивних товариств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</si>
  <si>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</si>
  <si>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</si>
  <si>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</si>
  <si>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</si>
  <si>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</si>
  <si>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</si>
  <si>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</si>
  <si>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</si>
  <si>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</si>
  <si>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1115063</t>
  </si>
  <si>
    <t>5063</t>
  </si>
  <si>
    <t>Забезпечення діяльності централізованої бухгалтерії</t>
  </si>
  <si>
    <t>6084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</si>
  <si>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</si>
  <si>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</si>
  <si>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</si>
  <si>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</si>
  <si>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</si>
  <si>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</si>
  <si>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</si>
  <si>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</si>
  <si>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1216015</t>
  </si>
  <si>
    <t>6015</t>
  </si>
  <si>
    <t>0620</t>
  </si>
  <si>
    <t>Забезпечення надійної та безперебійної експлуатації ліфтів</t>
  </si>
  <si>
    <t>1216017</t>
  </si>
  <si>
    <t>6017</t>
  </si>
  <si>
    <t>Інша діяльність, пов’язана з експлуатацією об’єктів житлово-комунального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</si>
  <si>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</si>
  <si>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</si>
  <si>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</si>
  <si>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</si>
  <si>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</si>
  <si>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</si>
  <si>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1217000</t>
  </si>
  <si>
    <t>Економічна діяльність</t>
  </si>
  <si>
    <t>7640</t>
  </si>
  <si>
    <t>0470</t>
  </si>
  <si>
    <t>Заходи з енергозбереження</t>
  </si>
  <si>
    <t xml:space="preserve"> Інша економічна діяльність</t>
  </si>
  <si>
    <t>6012</t>
  </si>
  <si>
    <t>Забезпечення діяльності з виробництва, транспортування, постачання теплової енергії</t>
  </si>
  <si>
    <t>6013</t>
  </si>
  <si>
    <t>Забезпечення діяльності водопровідно-каналізаційного господарства</t>
  </si>
  <si>
    <t>7310</t>
  </si>
  <si>
    <t>7400</t>
  </si>
  <si>
    <t>Транспорт та транспортна інфраструктура, дорожнє господарство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</si>
  <si>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</si>
  <si>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</si>
  <si>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</si>
  <si>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8100</t>
  </si>
  <si>
    <t>Захист населення і територій від надзвичайних ситуацій техногенного та природного характеру</t>
  </si>
  <si>
    <t>8110</t>
  </si>
  <si>
    <t>0320</t>
  </si>
  <si>
    <t>Заходи із запобігання та ліквідації надзвичайних ситуацій та наслідків стихійного лиха</t>
  </si>
  <si>
    <t>8120</t>
  </si>
  <si>
    <t>Заходи з організації рятування на водах</t>
  </si>
  <si>
    <t>5040</t>
  </si>
  <si>
    <t>Підтримка і розвиток спортивної інфраструктури</t>
  </si>
  <si>
    <t>5043</t>
  </si>
  <si>
    <t>7321</t>
  </si>
  <si>
    <t>7324</t>
  </si>
  <si>
    <t>7330</t>
  </si>
  <si>
    <t>7370</t>
  </si>
  <si>
    <t>Реалізація інших заходів щодо соціально-економічного розвитку територій</t>
  </si>
  <si>
    <t>7420</t>
  </si>
  <si>
    <t>Забезпечення надання послуг з перевезення пасажирів електротранспортом</t>
  </si>
  <si>
    <t>7426</t>
  </si>
  <si>
    <t>0453</t>
  </si>
  <si>
    <t>Інші заходи у сфері електротранспорту</t>
  </si>
  <si>
    <t>7610</t>
  </si>
  <si>
    <t>0411</t>
  </si>
  <si>
    <t>Сприяння розвитку малого та середнього підприємництва</t>
  </si>
  <si>
    <t>7630</t>
  </si>
  <si>
    <t>Реалізація програм і заходів в галузі зовнішньоекономічної діяльності</t>
  </si>
  <si>
    <t>8300</t>
  </si>
  <si>
    <t>Охорона навколишнього природного середовища</t>
  </si>
  <si>
    <t>0540</t>
  </si>
  <si>
    <t>7100</t>
  </si>
  <si>
    <t>Сільське, лісове, рибне господарство та мисливство</t>
  </si>
  <si>
    <t>7130</t>
  </si>
  <si>
    <t>0421</t>
  </si>
  <si>
    <t>Здійснення заходів із землеустрою</t>
  </si>
  <si>
    <t>7650</t>
  </si>
  <si>
    <t>Проведення експертної грошової оцінки земельної ділянки чи права на неї</t>
  </si>
  <si>
    <t>Обслуговування місцевого боргу</t>
  </si>
  <si>
    <t>Резервний фонд</t>
  </si>
  <si>
    <t>Резервний фонд місцевого бюджету</t>
  </si>
  <si>
    <t>9100</t>
  </si>
  <si>
    <t>Дотації з місцевого бюджету іншим бюджетам</t>
  </si>
  <si>
    <t>Реверсна дотація</t>
  </si>
  <si>
    <t>Х</t>
  </si>
  <si>
    <t>УСЬОГО</t>
  </si>
  <si>
    <t>Додаток 2</t>
  </si>
  <si>
    <t>Звіт про виконання видатків загального та спеціального фондів бюджету Хмельницької міської територіальної громади</t>
  </si>
  <si>
    <t>Найменування бюджетної програми згідно з Типовою програмною класифікацією видатків та кредитування місцевого бюджету</t>
  </si>
  <si>
    <t>% виконання</t>
  </si>
  <si>
    <t>Відсоток вручну</t>
  </si>
  <si>
    <t xml:space="preserve"> Реалізація державних та місцевих житлових програм</t>
  </si>
  <si>
    <t xml:space="preserve"> Придбання житла для окремих категорій населення відповідно до законодавства</t>
  </si>
  <si>
    <t>Всього</t>
  </si>
  <si>
    <t>8821</t>
  </si>
  <si>
    <t>8822</t>
  </si>
  <si>
    <t>8800</t>
  </si>
  <si>
    <t>8820</t>
  </si>
  <si>
    <t xml:space="preserve"> Інша діяльність</t>
  </si>
  <si>
    <t>Кредитування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</si>
  <si>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</si>
  <si>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</si>
  <si>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</si>
  <si>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7460</t>
  </si>
  <si>
    <t>Утримання та розвиток автомобільних доріг та дорожньої інфраструктури</t>
  </si>
  <si>
    <t>7323</t>
  </si>
  <si>
    <t>7350</t>
  </si>
  <si>
    <t>Розроблення схем планування та забудови територій(містобудівної документації)</t>
  </si>
  <si>
    <t>7540</t>
  </si>
  <si>
    <t>Реалізація заходів, спрямованих на підвищення  доступності широкосмугового доступу до Інтернету в сільській місцевості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</si>
  <si>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</si>
  <si>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</si>
  <si>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1023</t>
  </si>
  <si>
    <t>Надання загальної середньої освіти спеціалізованими закладами загальної середньої освіти</t>
  </si>
  <si>
    <t>1220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</si>
  <si>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</si>
  <si>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>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</si>
  <si>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</si>
  <si>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</t>
  </si>
  <si>
    <t>а також коштів, необхідних для  забезпечення безпечного навчального процесу у закладах загальної середньої освіти)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</si>
  <si>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</si>
  <si>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</si>
  <si>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7410</t>
  </si>
  <si>
    <t>Забезпечення надання послуг з перевезення пасажирів автомобільним транспортом</t>
  </si>
  <si>
    <t>7413</t>
  </si>
  <si>
    <t>0451</t>
  </si>
  <si>
    <t>Інші заходи у сфері автотранспорту</t>
  </si>
  <si>
    <t>7620</t>
  </si>
  <si>
    <t>7622</t>
  </si>
  <si>
    <t>Розвиток готельного господарства та туризму</t>
  </si>
  <si>
    <t>Реалізація програм і заходів в галузі туризму та курортів</t>
  </si>
  <si>
    <t>1221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</si>
  <si>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</si>
  <si>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</si>
  <si>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</si>
  <si>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3221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</si>
  <si>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</si>
  <si>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</si>
  <si>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</si>
  <si>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</si>
  <si>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</si>
  <si>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</si>
  <si>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</si>
  <si>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</si>
  <si>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</si>
  <si>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</si>
  <si>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</si>
  <si>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</si>
  <si>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3224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</si>
  <si>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</si>
  <si>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</si>
  <si>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</si>
  <si>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</si>
  <si>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</si>
  <si>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7360</t>
  </si>
  <si>
    <t>7363</t>
  </si>
  <si>
    <t>Виконання інвестиційних проектів</t>
  </si>
  <si>
    <t>Виконання інвестиційних проектів в рамках здійснення заходів щодо соціально-економічного розвитку окремих територій</t>
  </si>
  <si>
    <t>0460</t>
  </si>
  <si>
    <t>1033</t>
  </si>
  <si>
    <t>7</t>
  </si>
  <si>
    <t>8</t>
  </si>
  <si>
    <t>9</t>
  </si>
  <si>
    <t>10</t>
  </si>
  <si>
    <t>Надання спеціалізованої освіти мистецькими школами</t>
  </si>
  <si>
    <t>6090</t>
  </si>
  <si>
    <t>0640</t>
  </si>
  <si>
    <t>Інша діяльність у сфері житлово-комунального господарства</t>
  </si>
  <si>
    <t>7450</t>
  </si>
  <si>
    <t>Інша діяльність у сфері транспорту</t>
  </si>
  <si>
    <t>8200</t>
  </si>
  <si>
    <t>Громадський порядок та безпека</t>
  </si>
  <si>
    <t>8240</t>
  </si>
  <si>
    <t>0380</t>
  </si>
  <si>
    <t>Заходи та роботи з територіальної оборони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</si>
  <si>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</si>
  <si>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t>7322</t>
  </si>
  <si>
    <t>7325</t>
  </si>
  <si>
    <t>8340</t>
  </si>
  <si>
    <t>Природоохоронні заходи за рахунок цільових фондів</t>
  </si>
  <si>
    <t>Будівництво¹  установ та закладів соціальної сфери</t>
  </si>
  <si>
    <t>Будівництво¹ споруд, установ та закладів фізичної культури і спорту</t>
  </si>
  <si>
    <t>Будівництво¹   об'єктів житлово-комунального господарства</t>
  </si>
  <si>
    <t>Будівництво¹  об'єктів соціально-культурного призначення</t>
  </si>
  <si>
    <t>Будівництво¹   освітніх установ та закладів</t>
  </si>
  <si>
    <t>Будівництво¹   медичних установ та закладів</t>
  </si>
  <si>
    <t>Будівництво¹   установ та закладів культури</t>
  </si>
  <si>
    <t>Будівництво¹  інших об'єктів комунальної власності</t>
  </si>
  <si>
    <t>3230</t>
  </si>
  <si>
    <t>4070</t>
  </si>
  <si>
    <t>0823</t>
  </si>
  <si>
    <t>Фінансова підтримка кінематографії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</si>
  <si>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</si>
  <si>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</si>
  <si>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</si>
  <si>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</si>
  <si>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</si>
  <si>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</si>
  <si>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</si>
  <si>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</si>
  <si>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5049</t>
  </si>
  <si>
    <t>Виконання окремих заходів з реалізації соціального проекту "Активні парки - локації здорової України"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</si>
  <si>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</si>
  <si>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9820</t>
  </si>
  <si>
    <t>Виконання заходів щодо облаштування безпечних умов у закладах загальної середньої освіти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</si>
  <si>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</si>
  <si>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1262</t>
  </si>
  <si>
    <t>1260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</si>
  <si>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</si>
  <si>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</si>
  <si>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8881</t>
  </si>
  <si>
    <t>8880</t>
  </si>
  <si>
    <t>Довгострокові кредити громадянам на будівництво / реконструкцію / придбання житла та їх повернення</t>
  </si>
  <si>
    <t>8840</t>
  </si>
  <si>
    <t>8842</t>
  </si>
  <si>
    <t>Повернення довгострокових кредитів, наданих громадянам на будівництво/реконструкцію/придбання житла</t>
  </si>
  <si>
    <t>6016</t>
  </si>
  <si>
    <t xml:space="preserve">	Впровадження засобів обліку витрат та регулювання споживання води та теплової енергії</t>
  </si>
  <si>
    <t xml:space="preserve">	
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</si>
  <si>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1261</t>
  </si>
  <si>
    <t>Начальник фінансового управління</t>
  </si>
  <si>
    <t>Сергій ЯМЧУК</t>
  </si>
  <si>
    <t xml:space="preserve">Керуючий справами виконавчого комітету                                                                                                                    </t>
  </si>
  <si>
    <t xml:space="preserve">Юлія  САБІЙ </t>
  </si>
  <si>
    <t xml:space="preserve">до рішення  №    від        .2024 року </t>
  </si>
  <si>
    <t>Затверджено на 2024 рік з урахуванням змін</t>
  </si>
  <si>
    <t>Виконання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</si>
  <si>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1290</t>
  </si>
  <si>
    <t>1291</t>
  </si>
  <si>
    <t>1292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</si>
  <si>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</si>
  <si>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</si>
  <si>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8882</t>
  </si>
  <si>
    <t>Повернення коштів, наданих для виконання гарантійних зобов'язань за позичальників, що отримали кредити під місцеві гарантії</t>
  </si>
  <si>
    <t>за І-е півріччя 2024 року</t>
  </si>
  <si>
    <t>Затверджено на І-е півріччя 2024 року з урахуванням змін</t>
  </si>
  <si>
    <t>Виконано за І-е півріччя 2024 року</t>
  </si>
  <si>
    <t>Виконано за  І-е півріччя  2024 року разом по загальному та спеціальному фондах</t>
  </si>
  <si>
    <t>Виконання заходів щодо облаштування безпечних умов у закладах охорони здоров'я</t>
  </si>
  <si>
    <t>2160</t>
  </si>
  <si>
    <t>2161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</si>
  <si>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охорони здоров'я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</si>
</sst>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sz val="10"/>
      <color rgb="FFFF0000"/>
      <name val="Arial Cyr"/>
      <charset val="204"/>
    </font>
    <font>
      <u/>
      <sz val="36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b/>
      <sz val="10"/>
      <name val="Arial Cyr"/>
      <charset val="204"/>
    </font>
    <font>
      <sz val="36"/>
      <color rgb="FFFF0000"/>
      <name val="Times New Roman"/>
      <family val="1"/>
      <charset val="204"/>
    </font>
    <font>
      <sz val="10"/>
      <name val="MS Sans Serif"/>
      <family val="2"/>
      <charset val="204"/>
    </font>
    <font>
      <b/>
      <i/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b/>
      <i/>
      <sz val="10"/>
      <name val="Arial Cyr"/>
      <charset val="204"/>
    </font>
    <font>
      <sz val="37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b/>
      <i/>
      <sz val="37"/>
      <name val="Times New Roman"/>
      <family val="1"/>
      <charset val="204"/>
    </font>
    <font>
      <i/>
      <sz val="10"/>
      <name val="Arial Cyr"/>
      <charset val="204"/>
    </font>
    <font>
      <i/>
      <sz val="37"/>
      <name val="Times New Roman"/>
      <family val="1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sz val="28"/>
      <name val="Arial Cyr"/>
      <charset val="204"/>
    </font>
    <font>
      <b/>
      <sz val="36"/>
      <color rgb="FFFF0000"/>
      <name val="Arial Cyr"/>
      <charset val="204"/>
    </font>
    <font>
      <b/>
      <sz val="37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48"/>
      <name val="Times New Roman"/>
      <family val="1"/>
      <charset val="204"/>
    </font>
    <font>
      <i/>
      <sz val="37"/>
      <color rgb="FFFF0000"/>
      <name val="Times New Roman"/>
      <family val="1"/>
      <charset val="204"/>
    </font>
    <font>
      <b/>
      <sz val="36"/>
      <color rgb="FF99FF99"/>
      <name val="Times New Roman"/>
      <family val="1"/>
      <charset val="204"/>
    </font>
    <font>
      <sz val="48"/>
      <color rgb="FFFF0000"/>
      <name val="Arial Cyr"/>
      <charset val="204"/>
    </font>
    <font>
      <b/>
      <sz val="37"/>
      <color rgb="FF99FF99"/>
      <name val="Times New Roman"/>
      <family val="1"/>
      <charset val="204"/>
    </font>
    <font>
      <sz val="72"/>
      <name val="Arial Cyr"/>
      <charset val="204"/>
    </font>
    <font>
      <i/>
      <sz val="36"/>
      <color rgb="FFFF0000"/>
      <name val="Times New Roman"/>
      <family val="1"/>
      <charset val="204"/>
    </font>
    <font>
      <vertAlign val="superscript"/>
      <sz val="20"/>
      <color rgb="FFFF0000"/>
      <name val="Times New Roman"/>
      <family val="1"/>
      <charset val="204"/>
    </font>
    <font>
      <sz val="20"/>
      <color rgb="FFFF0000"/>
      <name val="Arial Cyr"/>
      <charset val="204"/>
    </font>
    <font>
      <sz val="20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37"/>
      <color theme="1"/>
      <name val="Times New Roman"/>
      <family val="1"/>
      <charset val="204"/>
    </font>
    <font>
      <i/>
      <sz val="36"/>
      <name val="Times New Roman"/>
      <family val="1"/>
      <charset val="204"/>
    </font>
    <font>
      <sz val="28"/>
      <color rgb="FFFF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CC99FF"/>
        </stop>
      </gradientFill>
    </fill>
    <fill>
      <gradientFill degree="270">
        <stop position="0">
          <color theme="0"/>
        </stop>
        <stop position="1">
          <color theme="7" tint="0.59999389629810485"/>
        </stop>
      </gradientFill>
    </fill>
    <fill>
      <patternFill patternType="solid">
        <fgColor theme="7" tint="0.59999389629810485"/>
        <bgColor indexed="64"/>
      </patternFill>
    </fill>
    <fill>
      <patternFill patternType="solid">
        <fgColor rgb="FF99FF99"/>
        <bgColor indexed="64"/>
      </patternFill>
    </fill>
  </fills>
  <borders count="11">
    <border>
      <left/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</xf>
    <xf numFmtId="0" fontId="31" fillId="0" borderId="0"/>
    <xf numFmtId="0" fontId="31" fillId="0" borderId="0"/>
  </cellStyleXfs>
  <cellXfs count="2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4" fontId="4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0" fontId="13" fillId="0" borderId="0" xfId="0" applyFont="1"/>
    <xf numFmtId="0" fontId="15" fillId="0" borderId="0" xfId="0" applyFont="1"/>
    <xf numFmtId="4" fontId="16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horizontal="left" vertical="center"/>
    </xf>
    <xf numFmtId="0" fontId="20" fillId="0" borderId="0" xfId="0" applyFont="1"/>
    <xf numFmtId="4" fontId="9" fillId="0" borderId="0" xfId="0" applyNumberFormat="1" applyFont="1" applyAlignment="1">
      <alignment horizontal="left" vertical="center"/>
    </xf>
    <xf numFmtId="0" fontId="22" fillId="0" borderId="0" xfId="0" applyFont="1"/>
    <xf numFmtId="4" fontId="23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24" fillId="0" borderId="0" xfId="0" applyNumberFormat="1" applyFont="1"/>
    <xf numFmtId="4" fontId="25" fillId="0" borderId="0" xfId="0" applyNumberFormat="1" applyFont="1" applyAlignment="1">
      <alignment horizontal="left" vertical="center"/>
    </xf>
    <xf numFmtId="4" fontId="12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left" vertical="center" wrapText="1"/>
    </xf>
    <xf numFmtId="4" fontId="27" fillId="0" borderId="0" xfId="0" applyNumberFormat="1" applyFont="1" applyAlignment="1">
      <alignment horizontal="center" vertical="center" wrapText="1"/>
    </xf>
    <xf numFmtId="4" fontId="14" fillId="0" borderId="0" xfId="0" applyNumberFormat="1" applyFont="1" applyAlignment="1">
      <alignment horizontal="left" vertical="center" wrapText="1"/>
    </xf>
    <xf numFmtId="4" fontId="14" fillId="0" borderId="0" xfId="0" applyNumberFormat="1" applyFont="1" applyAlignment="1">
      <alignment horizontal="center" vertical="center" wrapText="1"/>
    </xf>
    <xf numFmtId="4" fontId="26" fillId="0" borderId="0" xfId="0" applyNumberFormat="1" applyFont="1" applyAlignment="1">
      <alignment horizontal="left" vertical="center" wrapText="1"/>
    </xf>
    <xf numFmtId="4" fontId="28" fillId="0" borderId="0" xfId="0" applyNumberFormat="1" applyFont="1" applyAlignment="1">
      <alignment horizontal="left" vertical="center" wrapText="1"/>
    </xf>
    <xf numFmtId="4" fontId="21" fillId="0" borderId="0" xfId="0" applyNumberFormat="1" applyFont="1" applyAlignment="1">
      <alignment horizontal="left" vertical="center" wrapText="1"/>
    </xf>
    <xf numFmtId="0" fontId="5" fillId="2" borderId="0" xfId="0" applyFont="1" applyFill="1"/>
    <xf numFmtId="4" fontId="12" fillId="2" borderId="0" xfId="0" applyNumberFormat="1" applyFont="1" applyFill="1" applyAlignment="1">
      <alignment horizontal="left" vertical="center" wrapText="1"/>
    </xf>
    <xf numFmtId="0" fontId="0" fillId="2" borderId="0" xfId="0" applyFill="1"/>
    <xf numFmtId="4" fontId="19" fillId="0" borderId="0" xfId="0" applyNumberFormat="1" applyFont="1" applyAlignment="1">
      <alignment horizontal="left" vertical="center" wrapText="1"/>
    </xf>
    <xf numFmtId="4" fontId="17" fillId="0" borderId="0" xfId="0" applyNumberFormat="1" applyFont="1" applyAlignment="1">
      <alignment horizontal="center" vertical="center" wrapText="1"/>
    </xf>
    <xf numFmtId="0" fontId="0" fillId="3" borderId="0" xfId="0" applyFill="1"/>
    <xf numFmtId="0" fontId="5" fillId="3" borderId="0" xfId="0" applyFont="1" applyFill="1"/>
    <xf numFmtId="4" fontId="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" fillId="0" borderId="0" xfId="2" applyFont="1"/>
    <xf numFmtId="0" fontId="1" fillId="0" borderId="0" xfId="0" applyFont="1"/>
    <xf numFmtId="0" fontId="3" fillId="0" borderId="0" xfId="0" applyFont="1" applyAlignment="1">
      <alignment horizontal="left" vertical="center"/>
    </xf>
    <xf numFmtId="0" fontId="23" fillId="0" borderId="0" xfId="0" applyFont="1"/>
    <xf numFmtId="0" fontId="3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33" fillId="0" borderId="1" xfId="0" applyNumberFormat="1" applyFont="1" applyBorder="1" applyAlignment="1">
      <alignment horizontal="center" vertical="center" wrapText="1"/>
    </xf>
    <xf numFmtId="4" fontId="26" fillId="3" borderId="0" xfId="0" applyNumberFormat="1" applyFont="1" applyFill="1" applyAlignment="1">
      <alignment horizontal="left" vertical="center" wrapText="1"/>
    </xf>
    <xf numFmtId="49" fontId="33" fillId="0" borderId="0" xfId="0" applyNumberFormat="1" applyFont="1" applyAlignment="1">
      <alignment horizontal="center" vertical="center" wrapText="1"/>
    </xf>
    <xf numFmtId="4" fontId="35" fillId="0" borderId="0" xfId="0" applyNumberFormat="1" applyFont="1" applyAlignment="1">
      <alignment horizontal="left" vertical="center"/>
    </xf>
    <xf numFmtId="4" fontId="36" fillId="3" borderId="0" xfId="0" applyNumberFormat="1" applyFont="1" applyFill="1"/>
    <xf numFmtId="4" fontId="37" fillId="4" borderId="1" xfId="0" applyNumberFormat="1" applyFont="1" applyFill="1" applyBorder="1" applyAlignment="1">
      <alignment horizontal="center" vertical="center"/>
    </xf>
    <xf numFmtId="0" fontId="38" fillId="3" borderId="0" xfId="0" applyFont="1" applyFill="1"/>
    <xf numFmtId="49" fontId="1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39" fillId="0" borderId="1" xfId="0" applyNumberFormat="1" applyFont="1" applyBorder="1" applyAlignment="1">
      <alignment horizontal="center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12" fillId="4" borderId="1" xfId="0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/>
    </xf>
    <xf numFmtId="49" fontId="3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center" vertical="center" wrapText="1"/>
    </xf>
    <xf numFmtId="4" fontId="16" fillId="5" borderId="1" xfId="1" applyNumberFormat="1" applyFont="1" applyFill="1" applyBorder="1" applyAlignment="1" applyProtection="1">
      <alignment horizontal="center" vertical="center" wrapText="1"/>
      <protection locked="0"/>
    </xf>
    <xf numFmtId="164" fontId="16" fillId="5" borderId="1" xfId="1" applyNumberFormat="1" applyFont="1" applyFill="1" applyBorder="1" applyAlignment="1" applyProtection="1">
      <alignment horizontal="center" vertical="center" wrapText="1"/>
      <protection locked="0"/>
    </xf>
    <xf numFmtId="49" fontId="16" fillId="5" borderId="1" xfId="0" applyNumberFormat="1" applyFont="1" applyFill="1" applyBorder="1" applyAlignment="1">
      <alignment horizontal="center" vertical="center" wrapText="1"/>
    </xf>
    <xf numFmtId="0" fontId="16" fillId="5" borderId="1" xfId="1" applyFont="1" applyFill="1" applyBorder="1" applyAlignment="1" applyProtection="1">
      <alignment horizontal="center" vertical="center" wrapText="1"/>
      <protection locked="0"/>
    </xf>
    <xf numFmtId="4" fontId="16" fillId="5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5" fillId="0" borderId="1" xfId="0" applyNumberFormat="1" applyFont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  <protection locked="0"/>
    </xf>
    <xf numFmtId="4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164" fontId="4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5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46" fillId="3" borderId="0" xfId="0" applyNumberFormat="1" applyFont="1" applyFill="1"/>
    <xf numFmtId="164" fontId="14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6" borderId="1" xfId="0" applyNumberFormat="1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43" fillId="7" borderId="1" xfId="0" applyNumberFormat="1" applyFont="1" applyFill="1" applyBorder="1" applyAlignment="1">
      <alignment horizontal="center" vertical="center" wrapText="1"/>
    </xf>
    <xf numFmtId="4" fontId="44" fillId="7" borderId="1" xfId="1" applyNumberFormat="1" applyFont="1" applyFill="1" applyBorder="1" applyAlignment="1" applyProtection="1">
      <alignment horizontal="center" vertical="center" wrapText="1"/>
      <protection locked="0"/>
    </xf>
    <xf numFmtId="164" fontId="14" fillId="7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7" borderId="1" xfId="0" applyNumberFormat="1" applyFont="1" applyFill="1" applyBorder="1" applyAlignment="1">
      <alignment horizontal="center" vertical="center" wrapText="1"/>
    </xf>
    <xf numFmtId="4" fontId="14" fillId="7" borderId="1" xfId="0" applyNumberFormat="1" applyFont="1" applyFill="1" applyBorder="1" applyAlignment="1">
      <alignment horizontal="center" vertical="center" wrapText="1"/>
    </xf>
    <xf numFmtId="4" fontId="14" fillId="7" borderId="1" xfId="0" applyNumberFormat="1" applyFont="1" applyFill="1" applyBorder="1" applyAlignment="1">
      <alignment horizontal="center" vertical="center"/>
    </xf>
    <xf numFmtId="49" fontId="45" fillId="7" borderId="1" xfId="0" applyNumberFormat="1" applyFont="1" applyFill="1" applyBorder="1" applyAlignment="1">
      <alignment horizontal="center" vertical="center" wrapText="1"/>
    </xf>
    <xf numFmtId="4" fontId="21" fillId="7" borderId="1" xfId="0" applyNumberFormat="1" applyFont="1" applyFill="1" applyBorder="1" applyAlignment="1">
      <alignment horizontal="center" vertical="center" wrapText="1"/>
    </xf>
    <xf numFmtId="164" fontId="21" fillId="7" borderId="1" xfId="1" applyNumberFormat="1" applyFont="1" applyFill="1" applyBorder="1" applyAlignment="1" applyProtection="1">
      <alignment horizontal="center" vertical="center" wrapText="1"/>
      <protection locked="0"/>
    </xf>
    <xf numFmtId="49" fontId="9" fillId="7" borderId="1" xfId="0" applyNumberFormat="1" applyFont="1" applyFill="1" applyBorder="1" applyAlignment="1">
      <alignment horizontal="center" vertical="center" wrapText="1"/>
    </xf>
    <xf numFmtId="4" fontId="27" fillId="7" borderId="1" xfId="0" applyNumberFormat="1" applyFont="1" applyFill="1" applyBorder="1" applyAlignment="1">
      <alignment horizontal="center" vertical="center" wrapText="1"/>
    </xf>
    <xf numFmtId="164" fontId="27" fillId="7" borderId="1" xfId="1" applyNumberFormat="1" applyFont="1" applyFill="1" applyBorder="1" applyAlignment="1" applyProtection="1">
      <alignment horizontal="center" vertical="center" wrapText="1"/>
      <protection locked="0"/>
    </xf>
    <xf numFmtId="4" fontId="27" fillId="7" borderId="1" xfId="0" applyNumberFormat="1" applyFont="1" applyFill="1" applyBorder="1" applyAlignment="1">
      <alignment horizontal="center" vertical="center"/>
    </xf>
    <xf numFmtId="4" fontId="19" fillId="7" borderId="1" xfId="0" applyNumberFormat="1" applyFont="1" applyFill="1" applyBorder="1" applyAlignment="1">
      <alignment horizontal="center" vertical="center" wrapText="1"/>
    </xf>
    <xf numFmtId="4" fontId="12" fillId="7" borderId="1" xfId="0" applyNumberFormat="1" applyFont="1" applyFill="1" applyBorder="1" applyAlignment="1">
      <alignment horizontal="center" vertical="center" wrapText="1"/>
    </xf>
    <xf numFmtId="4" fontId="34" fillId="7" borderId="1" xfId="0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>
      <alignment horizontal="center" vertical="center" wrapText="1"/>
    </xf>
    <xf numFmtId="4" fontId="14" fillId="7" borderId="1" xfId="1" applyNumberFormat="1" applyFont="1" applyFill="1" applyBorder="1" applyAlignment="1">
      <alignment horizontal="center" vertical="center" wrapText="1"/>
    </xf>
    <xf numFmtId="4" fontId="27" fillId="7" borderId="1" xfId="1" applyNumberFormat="1" applyFont="1" applyFill="1" applyBorder="1" applyAlignment="1" applyProtection="1">
      <alignment horizontal="center" vertical="center" wrapText="1"/>
      <protection locked="0"/>
    </xf>
    <xf numFmtId="4" fontId="27" fillId="7" borderId="1" xfId="1" applyNumberFormat="1" applyFont="1" applyFill="1" applyBorder="1" applyAlignment="1">
      <alignment horizontal="center" vertical="center" wrapText="1"/>
    </xf>
    <xf numFmtId="49" fontId="3" fillId="7" borderId="2" xfId="0" applyNumberFormat="1" applyFont="1" applyFill="1" applyBorder="1" applyAlignment="1">
      <alignment horizontal="center" wrapText="1"/>
    </xf>
    <xf numFmtId="49" fontId="3" fillId="7" borderId="0" xfId="0" applyNumberFormat="1" applyFont="1" applyFill="1" applyAlignment="1">
      <alignment horizontal="center" vertical="center" wrapText="1"/>
    </xf>
    <xf numFmtId="49" fontId="3" fillId="7" borderId="3" xfId="0" applyNumberFormat="1" applyFont="1" applyFill="1" applyBorder="1" applyAlignment="1">
      <alignment horizontal="center" vertical="top" wrapText="1"/>
    </xf>
    <xf numFmtId="49" fontId="11" fillId="7" borderId="1" xfId="0" applyNumberFormat="1" applyFont="1" applyFill="1" applyBorder="1" applyAlignment="1">
      <alignment horizontal="center" vertical="center" wrapText="1"/>
    </xf>
    <xf numFmtId="164" fontId="19" fillId="7" borderId="1" xfId="1" applyNumberFormat="1" applyFont="1" applyFill="1" applyBorder="1" applyAlignment="1" applyProtection="1">
      <alignment horizontal="center" vertical="center" wrapText="1"/>
      <protection locked="0"/>
    </xf>
    <xf numFmtId="4" fontId="26" fillId="7" borderId="1" xfId="1" applyNumberFormat="1" applyFont="1" applyFill="1" applyBorder="1" applyAlignment="1" applyProtection="1">
      <alignment horizontal="center" vertical="center" wrapText="1"/>
      <protection locked="0"/>
    </xf>
    <xf numFmtId="4" fontId="37" fillId="4" borderId="0" xfId="0" applyNumberFormat="1" applyFont="1" applyFill="1" applyAlignment="1">
      <alignment horizontal="center" vertical="center"/>
    </xf>
    <xf numFmtId="4" fontId="44" fillId="7" borderId="1" xfId="1" applyNumberFormat="1" applyFont="1" applyFill="1" applyBorder="1" applyAlignment="1">
      <alignment horizontal="center" vertical="center" wrapText="1"/>
    </xf>
    <xf numFmtId="4" fontId="17" fillId="7" borderId="1" xfId="1" applyNumberFormat="1" applyFont="1" applyFill="1" applyBorder="1" applyAlignment="1">
      <alignment horizontal="center" vertical="center" wrapText="1"/>
    </xf>
    <xf numFmtId="4" fontId="44" fillId="7" borderId="1" xfId="0" applyNumberFormat="1" applyFont="1" applyFill="1" applyBorder="1" applyAlignment="1">
      <alignment horizontal="center" vertical="center"/>
    </xf>
    <xf numFmtId="4" fontId="44" fillId="7" borderId="1" xfId="0" applyNumberFormat="1" applyFont="1" applyFill="1" applyBorder="1" applyAlignment="1">
      <alignment horizontal="center" vertical="center" wrapText="1"/>
    </xf>
    <xf numFmtId="4" fontId="21" fillId="7" borderId="1" xfId="0" applyNumberFormat="1" applyFont="1" applyFill="1" applyBorder="1" applyAlignment="1">
      <alignment horizontal="center" vertical="center"/>
    </xf>
    <xf numFmtId="4" fontId="45" fillId="7" borderId="1" xfId="1" applyNumberFormat="1" applyFont="1" applyFill="1" applyBorder="1" applyAlignment="1" applyProtection="1">
      <alignment horizontal="center" vertical="center" wrapText="1"/>
      <protection locked="0"/>
    </xf>
    <xf numFmtId="4" fontId="12" fillId="7" borderId="1" xfId="1" applyNumberFormat="1" applyFont="1" applyFill="1" applyBorder="1" applyAlignment="1" applyProtection="1">
      <alignment horizontal="center" vertical="center" wrapText="1"/>
      <protection locked="0"/>
    </xf>
    <xf numFmtId="4" fontId="44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164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49" fontId="45" fillId="0" borderId="0" xfId="0" applyNumberFormat="1" applyFont="1" applyAlignment="1">
      <alignment horizontal="center" wrapText="1"/>
    </xf>
    <xf numFmtId="49" fontId="45" fillId="0" borderId="3" xfId="0" applyNumberFormat="1" applyFont="1" applyBorder="1" applyAlignment="1">
      <alignment horizontal="center" vertical="top" wrapText="1"/>
    </xf>
    <xf numFmtId="4" fontId="27" fillId="0" borderId="1" xfId="0" applyNumberFormat="1" applyFont="1" applyBorder="1" applyAlignment="1">
      <alignment horizontal="center" vertical="center" wrapText="1"/>
    </xf>
    <xf numFmtId="164" fontId="27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34" fillId="0" borderId="1" xfId="0" applyNumberFormat="1" applyFont="1" applyBorder="1" applyAlignment="1">
      <alignment horizontal="center" vertical="center" wrapText="1"/>
    </xf>
    <xf numFmtId="164" fontId="3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4" fontId="45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164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wrapText="1"/>
      <protection locked="0"/>
    </xf>
    <xf numFmtId="0" fontId="3" fillId="0" borderId="3" xfId="1" applyFont="1" applyFill="1" applyBorder="1" applyAlignment="1" applyProtection="1">
      <alignment horizontal="center" vertical="top" wrapText="1"/>
      <protection locked="0"/>
    </xf>
    <xf numFmtId="0" fontId="11" fillId="0" borderId="3" xfId="1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4" fillId="0" borderId="1" xfId="1" applyNumberFormat="1" applyFont="1" applyFill="1" applyBorder="1" applyAlignment="1">
      <alignment horizontal="center" vertical="center" wrapText="1"/>
    </xf>
    <xf numFmtId="164" fontId="44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0" borderId="1" xfId="1" applyNumberFormat="1" applyFont="1" applyFill="1" applyBorder="1" applyAlignment="1">
      <alignment horizontal="center" vertical="center" wrapText="1"/>
    </xf>
    <xf numFmtId="4" fontId="44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27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4" fontId="12" fillId="0" borderId="1" xfId="0" applyNumberFormat="1" applyFont="1" applyBorder="1" applyAlignment="1">
      <alignment horizontal="center" vertical="center"/>
    </xf>
    <xf numFmtId="0" fontId="11" fillId="0" borderId="1" xfId="1" applyFont="1" applyFill="1" applyBorder="1" applyAlignment="1" applyProtection="1">
      <alignment horizontal="center" vertical="center" wrapText="1"/>
      <protection locked="0"/>
    </xf>
    <xf numFmtId="0" fontId="45" fillId="0" borderId="1" xfId="1" applyFont="1" applyFill="1" applyBorder="1" applyAlignment="1" applyProtection="1">
      <alignment horizontal="center" vertical="center" wrapText="1"/>
      <protection locked="0"/>
    </xf>
    <xf numFmtId="49" fontId="3" fillId="0" borderId="1" xfId="3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49" fontId="45" fillId="0" borderId="1" xfId="3" applyNumberFormat="1" applyFont="1" applyBorder="1" applyAlignment="1">
      <alignment horizontal="center" vertical="center" wrapText="1"/>
    </xf>
    <xf numFmtId="0" fontId="45" fillId="0" borderId="1" xfId="3" applyFont="1" applyBorder="1" applyAlignment="1">
      <alignment horizontal="center" vertical="center" wrapText="1"/>
    </xf>
    <xf numFmtId="49" fontId="33" fillId="0" borderId="4" xfId="0" applyNumberFormat="1" applyFont="1" applyBorder="1" applyAlignment="1">
      <alignment horizontal="center" vertical="center" wrapText="1"/>
    </xf>
    <xf numFmtId="49" fontId="33" fillId="0" borderId="0" xfId="0" applyNumberFormat="1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9" fontId="3" fillId="7" borderId="2" xfId="0" applyNumberFormat="1" applyFont="1" applyFill="1" applyBorder="1" applyAlignment="1">
      <alignment horizontal="center" vertical="center" wrapText="1"/>
    </xf>
    <xf numFmtId="49" fontId="3" fillId="7" borderId="5" xfId="0" applyNumberFormat="1" applyFont="1" applyFill="1" applyBorder="1" applyAlignment="1">
      <alignment horizontal="center" vertical="center" wrapText="1"/>
    </xf>
    <xf numFmtId="49" fontId="3" fillId="7" borderId="3" xfId="0" applyNumberFormat="1" applyFont="1" applyFill="1" applyBorder="1" applyAlignment="1">
      <alignment horizontal="center" vertical="center" wrapText="1"/>
    </xf>
    <xf numFmtId="4" fontId="14" fillId="7" borderId="2" xfId="0" applyNumberFormat="1" applyFont="1" applyFill="1" applyBorder="1" applyAlignment="1">
      <alignment horizontal="center" vertical="center" wrapText="1"/>
    </xf>
    <xf numFmtId="4" fontId="14" fillId="7" borderId="5" xfId="0" applyNumberFormat="1" applyFont="1" applyFill="1" applyBorder="1" applyAlignment="1">
      <alignment horizontal="center" vertical="center" wrapText="1"/>
    </xf>
    <xf numFmtId="4" fontId="14" fillId="7" borderId="3" xfId="0" applyNumberFormat="1" applyFont="1" applyFill="1" applyBorder="1" applyAlignment="1">
      <alignment horizontal="center" vertical="center" wrapText="1"/>
    </xf>
    <xf numFmtId="164" fontId="14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3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center" vertical="center" wrapText="1"/>
    </xf>
    <xf numFmtId="4" fontId="21" fillId="0" borderId="3" xfId="0" applyNumberFormat="1" applyFont="1" applyBorder="1" applyAlignment="1">
      <alignment horizontal="center" vertical="center" wrapText="1"/>
    </xf>
    <xf numFmtId="49" fontId="33" fillId="0" borderId="10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4" fillId="0" borderId="2" xfId="0" applyNumberFormat="1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164" fontId="21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21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9" fillId="0" borderId="6" xfId="0" applyFont="1" applyBorder="1" applyAlignment="1">
      <alignment horizontal="left" vertical="center"/>
    </xf>
    <xf numFmtId="0" fontId="9" fillId="0" borderId="0" xfId="0" applyFont="1"/>
    <xf numFmtId="49" fontId="39" fillId="0" borderId="2" xfId="0" applyNumberFormat="1" applyFont="1" applyBorder="1" applyAlignment="1">
      <alignment horizontal="center" vertical="center" wrapText="1"/>
    </xf>
    <xf numFmtId="49" fontId="39" fillId="0" borderId="3" xfId="0" applyNumberFormat="1" applyFont="1" applyBorder="1" applyAlignment="1">
      <alignment horizontal="center" vertical="center" wrapText="1"/>
    </xf>
    <xf numFmtId="49" fontId="45" fillId="0" borderId="2" xfId="0" applyNumberFormat="1" applyFont="1" applyBorder="1" applyAlignment="1">
      <alignment horizontal="center" vertical="center" wrapText="1"/>
    </xf>
    <xf numFmtId="49" fontId="45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6" fillId="0" borderId="0" xfId="0" applyFont="1" applyAlignment="1">
      <alignment horizontal="center"/>
    </xf>
  </cellXfs>
  <cellStyles count="4">
    <cellStyle name="Звичайний" xfId="0" builtinId="0"/>
    <cellStyle name="Обычный 3" xfId="3" xr:uid="{00000000-0005-0000-0000-000001000000}"/>
    <cellStyle name="Обычный_Додаток 2 до бюджету 2000 року" xfId="1" xr:uid="{00000000-0005-0000-0000-000002000000}"/>
    <cellStyle name="Обычный_Додаток №1" xfId="2" xr:uid="{00000000-0005-0000-0000-000003000000}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69"/>
  <sheetViews>
    <sheetView tabSelected="1" view="pageBreakPreview" topLeftCell="B1" zoomScale="25" zoomScaleNormal="25" zoomScaleSheetLayoutView="25" zoomScalePageLayoutView="10" workbookViewId="0">
      <pane ySplit="13" topLeftCell="A210" activePane="bottomLeft" state="frozen"/>
      <selection activeCell="B1" sqref="B1"/>
      <selection pane="bottomLeft" activeCell="H217" sqref="H217:I217"/>
    </sheetView>
  </sheetViews>
  <sheetFormatPr defaultColWidth="9.140625" defaultRowHeight="12.75" x14ac:dyDescent="0.2"/>
  <cols>
    <col min="1" max="1" width="25.140625" style="1" hidden="1" customWidth="1"/>
    <col min="2" max="2" width="52.5703125" style="1" customWidth="1"/>
    <col min="3" max="3" width="59.28515625" style="1" customWidth="1"/>
    <col min="4" max="4" width="167.42578125" style="1" customWidth="1"/>
    <col min="5" max="5" width="82.42578125" style="1" customWidth="1"/>
    <col min="6" max="6" width="64.85546875" style="1" customWidth="1"/>
    <col min="7" max="7" width="63.28515625" style="1" customWidth="1"/>
    <col min="8" max="8" width="41.85546875" style="1" customWidth="1"/>
    <col min="9" max="9" width="52.5703125" style="47" customWidth="1"/>
    <col min="10" max="10" width="56.140625" style="1" customWidth="1"/>
    <col min="11" max="11" width="44.140625" style="1" customWidth="1"/>
    <col min="12" max="12" width="45.28515625" style="1" hidden="1" customWidth="1"/>
    <col min="13" max="13" width="56.140625" style="1" hidden="1" customWidth="1"/>
    <col min="14" max="14" width="86.28515625" style="47" customWidth="1"/>
    <col min="15" max="15" width="57.140625" style="5" hidden="1" customWidth="1"/>
    <col min="16" max="16" width="44.5703125" style="5" hidden="1" customWidth="1"/>
    <col min="17" max="17" width="50.28515625" hidden="1" customWidth="1"/>
    <col min="18" max="18" width="75.42578125" hidden="1" customWidth="1"/>
    <col min="19" max="19" width="74.85546875" customWidth="1"/>
    <col min="20" max="20" width="53.7109375" customWidth="1"/>
    <col min="21" max="21" width="45.7109375" customWidth="1"/>
    <col min="22" max="22" width="48.5703125" customWidth="1"/>
    <col min="23" max="23" width="49.140625" customWidth="1"/>
    <col min="27" max="27" width="145.5703125" customWidth="1"/>
  </cols>
  <sheetData>
    <row r="2" spans="1:16" ht="45.75" x14ac:dyDescent="0.2">
      <c r="D2" s="2"/>
      <c r="E2" s="4"/>
      <c r="F2" s="3"/>
      <c r="G2" s="3"/>
      <c r="H2" s="3"/>
      <c r="I2" s="3"/>
      <c r="J2" s="4"/>
      <c r="K2" s="213" t="s">
        <v>429</v>
      </c>
      <c r="L2" s="213"/>
      <c r="M2" s="213"/>
      <c r="N2" s="213"/>
      <c r="O2" s="48"/>
    </row>
    <row r="3" spans="1:16" ht="45.75" x14ac:dyDescent="0.2">
      <c r="A3" s="2"/>
      <c r="B3" s="2"/>
      <c r="C3" s="2"/>
      <c r="D3" s="2"/>
      <c r="E3" s="4"/>
      <c r="F3" s="3"/>
      <c r="G3" s="3"/>
      <c r="H3" s="3"/>
      <c r="I3" s="3"/>
      <c r="J3" s="214" t="s">
        <v>567</v>
      </c>
      <c r="K3" s="214"/>
      <c r="L3" s="214"/>
      <c r="M3" s="214"/>
      <c r="N3" s="214"/>
      <c r="O3" s="49"/>
    </row>
    <row r="4" spans="1:16" ht="45" x14ac:dyDescent="0.2">
      <c r="A4" s="216" t="s">
        <v>430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</row>
    <row r="5" spans="1:16" ht="45" x14ac:dyDescent="0.2">
      <c r="A5" s="216" t="s">
        <v>577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</row>
    <row r="6" spans="1:16" ht="4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ht="61.5" customHeight="1" x14ac:dyDescent="0.65">
      <c r="A7" s="221">
        <v>2256400000</v>
      </c>
      <c r="B7" s="22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6" ht="45.75" x14ac:dyDescent="0.2">
      <c r="A8" s="215" t="s">
        <v>0</v>
      </c>
      <c r="B8" s="21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53.45" customHeight="1" thickBot="1" x14ac:dyDescent="0.25">
      <c r="A9" s="3"/>
      <c r="B9" s="3"/>
      <c r="C9" s="3"/>
      <c r="D9" s="3"/>
      <c r="E9" s="4"/>
      <c r="F9" s="3"/>
      <c r="G9" s="3"/>
      <c r="H9" s="3"/>
      <c r="I9" s="3"/>
      <c r="J9" s="3"/>
      <c r="K9" s="3"/>
      <c r="L9" s="3"/>
      <c r="M9" s="3"/>
      <c r="N9" s="6" t="s">
        <v>1</v>
      </c>
    </row>
    <row r="10" spans="1:16" ht="62.45" customHeight="1" thickTop="1" thickBot="1" x14ac:dyDescent="0.25">
      <c r="A10" s="201" t="s">
        <v>2</v>
      </c>
      <c r="B10" s="201" t="s">
        <v>3</v>
      </c>
      <c r="C10" s="201" t="s">
        <v>4</v>
      </c>
      <c r="D10" s="201" t="s">
        <v>431</v>
      </c>
      <c r="E10" s="218" t="s">
        <v>5</v>
      </c>
      <c r="F10" s="219"/>
      <c r="G10" s="219"/>
      <c r="H10" s="220"/>
      <c r="I10" s="218" t="s">
        <v>6</v>
      </c>
      <c r="J10" s="219"/>
      <c r="K10" s="219"/>
      <c r="L10" s="219"/>
      <c r="M10" s="220"/>
      <c r="N10" s="201" t="s">
        <v>580</v>
      </c>
    </row>
    <row r="11" spans="1:16" ht="96" customHeight="1" thickTop="1" thickBot="1" x14ac:dyDescent="0.25">
      <c r="A11" s="217"/>
      <c r="B11" s="217"/>
      <c r="C11" s="217"/>
      <c r="D11" s="217"/>
      <c r="E11" s="201" t="s">
        <v>568</v>
      </c>
      <c r="F11" s="201" t="s">
        <v>578</v>
      </c>
      <c r="G11" s="201" t="s">
        <v>579</v>
      </c>
      <c r="H11" s="201" t="s">
        <v>432</v>
      </c>
      <c r="I11" s="201" t="s">
        <v>568</v>
      </c>
      <c r="J11" s="201" t="s">
        <v>579</v>
      </c>
      <c r="K11" s="201" t="s">
        <v>432</v>
      </c>
      <c r="L11" s="7"/>
      <c r="M11" s="201"/>
      <c r="N11" s="217"/>
    </row>
    <row r="12" spans="1:16" ht="208.5" customHeight="1" thickTop="1" thickBot="1" x14ac:dyDescent="0.25">
      <c r="A12" s="202"/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7"/>
      <c r="M12" s="202"/>
      <c r="N12" s="202"/>
    </row>
    <row r="13" spans="1:16" s="11" customFormat="1" ht="47.25" thickTop="1" thickBot="1" x14ac:dyDescent="0.25">
      <c r="A13" s="8" t="s">
        <v>7</v>
      </c>
      <c r="B13" s="8" t="s">
        <v>7</v>
      </c>
      <c r="C13" s="8" t="s">
        <v>8</v>
      </c>
      <c r="D13" s="8" t="s">
        <v>9</v>
      </c>
      <c r="E13" s="8" t="s">
        <v>10</v>
      </c>
      <c r="F13" s="8" t="s">
        <v>10</v>
      </c>
      <c r="G13" s="8" t="s">
        <v>11</v>
      </c>
      <c r="H13" s="8" t="s">
        <v>12</v>
      </c>
      <c r="I13" s="8" t="s">
        <v>503</v>
      </c>
      <c r="J13" s="8" t="s">
        <v>504</v>
      </c>
      <c r="K13" s="8" t="s">
        <v>505</v>
      </c>
      <c r="L13" s="8"/>
      <c r="M13" s="8"/>
      <c r="N13" s="8" t="s">
        <v>506</v>
      </c>
      <c r="O13" s="9"/>
      <c r="P13" s="10"/>
    </row>
    <row r="14" spans="1:16" s="14" customFormat="1" ht="88.5" customHeight="1" thickTop="1" thickBot="1" x14ac:dyDescent="0.25">
      <c r="A14" s="57" t="s">
        <v>13</v>
      </c>
      <c r="B14" s="72" t="s">
        <v>14</v>
      </c>
      <c r="C14" s="72"/>
      <c r="D14" s="73" t="s">
        <v>15</v>
      </c>
      <c r="E14" s="70">
        <f>SUM(E15:E18)</f>
        <v>301984721</v>
      </c>
      <c r="F14" s="70">
        <f>SUM(F15:F18)</f>
        <v>158884980</v>
      </c>
      <c r="G14" s="70">
        <f>SUM(G15:G18)</f>
        <v>146324450.47</v>
      </c>
      <c r="H14" s="80">
        <f>G14/F14</f>
        <v>0.92094577140016631</v>
      </c>
      <c r="I14" s="70">
        <f>SUM(I15:I18)</f>
        <v>2863373</v>
      </c>
      <c r="J14" s="70">
        <f>SUM(J15:J18)</f>
        <v>2265310</v>
      </c>
      <c r="K14" s="71">
        <f>J14/I14</f>
        <v>0.79113339407754424</v>
      </c>
      <c r="L14" s="70"/>
      <c r="M14" s="70"/>
      <c r="N14" s="74">
        <f t="shared" ref="N14:N27" si="0">G14+J14</f>
        <v>148589760.47</v>
      </c>
      <c r="O14" s="53" t="b">
        <f>N14=N15+N16+N17+N18</f>
        <v>1</v>
      </c>
      <c r="P14" s="13"/>
    </row>
    <row r="15" spans="1:16" ht="230.25" thickTop="1" thickBot="1" x14ac:dyDescent="0.25">
      <c r="A15" s="58" t="s">
        <v>16</v>
      </c>
      <c r="B15" s="69" t="s">
        <v>17</v>
      </c>
      <c r="C15" s="69" t="s">
        <v>18</v>
      </c>
      <c r="D15" s="69" t="s">
        <v>19</v>
      </c>
      <c r="E15" s="124">
        <v>130683646</v>
      </c>
      <c r="F15" s="124">
        <v>71321650</v>
      </c>
      <c r="G15" s="124">
        <v>67946160.260000005</v>
      </c>
      <c r="H15" s="125">
        <f>G15/F15</f>
        <v>0.95267229880407989</v>
      </c>
      <c r="I15" s="124">
        <v>465000</v>
      </c>
      <c r="J15" s="156">
        <v>0</v>
      </c>
      <c r="K15" s="157">
        <f>J15/I15</f>
        <v>0</v>
      </c>
      <c r="L15" s="158"/>
      <c r="M15" s="159"/>
      <c r="N15" s="126">
        <f t="shared" si="0"/>
        <v>67946160.260000005</v>
      </c>
      <c r="O15" s="15"/>
      <c r="P15" s="16"/>
    </row>
    <row r="16" spans="1:16" ht="138.75" thickTop="1" thickBot="1" x14ac:dyDescent="0.25">
      <c r="A16" s="58" t="s">
        <v>20</v>
      </c>
      <c r="B16" s="69" t="s">
        <v>21</v>
      </c>
      <c r="C16" s="69" t="s">
        <v>18</v>
      </c>
      <c r="D16" s="69" t="s">
        <v>22</v>
      </c>
      <c r="E16" s="124">
        <v>129661775</v>
      </c>
      <c r="F16" s="124">
        <v>69587140</v>
      </c>
      <c r="G16" s="124">
        <v>60694942.890000001</v>
      </c>
      <c r="H16" s="125">
        <f t="shared" ref="H16:H18" si="1">G16/F16</f>
        <v>0.87221493640922731</v>
      </c>
      <c r="I16" s="124">
        <f>700000+39000</f>
        <v>739000</v>
      </c>
      <c r="J16" s="156">
        <v>614499</v>
      </c>
      <c r="K16" s="157">
        <f t="shared" ref="K16:K18" si="2">J16/I16</f>
        <v>0.8315277401894452</v>
      </c>
      <c r="L16" s="158"/>
      <c r="M16" s="159"/>
      <c r="N16" s="126">
        <f t="shared" si="0"/>
        <v>61309441.890000001</v>
      </c>
      <c r="O16" s="15"/>
      <c r="P16" s="16"/>
    </row>
    <row r="17" spans="1:18" ht="93" hidden="1" thickTop="1" thickBot="1" x14ac:dyDescent="0.25">
      <c r="A17" s="69" t="s">
        <v>23</v>
      </c>
      <c r="B17" s="89" t="s">
        <v>24</v>
      </c>
      <c r="C17" s="89" t="s">
        <v>25</v>
      </c>
      <c r="D17" s="89" t="s">
        <v>26</v>
      </c>
      <c r="E17" s="90">
        <v>0</v>
      </c>
      <c r="F17" s="90">
        <v>0</v>
      </c>
      <c r="G17" s="90">
        <v>0</v>
      </c>
      <c r="H17" s="91" t="e">
        <f t="shared" si="1"/>
        <v>#DIV/0!</v>
      </c>
      <c r="I17" s="90"/>
      <c r="J17" s="117"/>
      <c r="K17" s="118"/>
      <c r="L17" s="118"/>
      <c r="M17" s="119"/>
      <c r="N17" s="120">
        <f t="shared" si="0"/>
        <v>0</v>
      </c>
      <c r="O17" s="15"/>
      <c r="P17" s="17"/>
    </row>
    <row r="18" spans="1:18" ht="111" customHeight="1" thickTop="1" thickBot="1" x14ac:dyDescent="0.25">
      <c r="A18" s="58" t="s">
        <v>27</v>
      </c>
      <c r="B18" s="69" t="s">
        <v>28</v>
      </c>
      <c r="C18" s="69" t="s">
        <v>29</v>
      </c>
      <c r="D18" s="69" t="s">
        <v>30</v>
      </c>
      <c r="E18" s="126">
        <v>41639300</v>
      </c>
      <c r="F18" s="126">
        <v>17976190</v>
      </c>
      <c r="G18" s="126">
        <v>17683347.32</v>
      </c>
      <c r="H18" s="125">
        <f t="shared" si="1"/>
        <v>0.98370941339627582</v>
      </c>
      <c r="I18" s="124">
        <f>1633711+25662</f>
        <v>1659373</v>
      </c>
      <c r="J18" s="156">
        <v>1650811</v>
      </c>
      <c r="K18" s="157">
        <f t="shared" si="2"/>
        <v>0.99484021976975645</v>
      </c>
      <c r="L18" s="120"/>
      <c r="M18" s="119"/>
      <c r="N18" s="126">
        <f t="shared" si="0"/>
        <v>19334158.32</v>
      </c>
      <c r="O18" s="15"/>
      <c r="P18" s="17"/>
    </row>
    <row r="19" spans="1:18" ht="83.25" customHeight="1" thickTop="1" thickBot="1" x14ac:dyDescent="0.25">
      <c r="A19" s="57" t="s">
        <v>64</v>
      </c>
      <c r="B19" s="77" t="s">
        <v>65</v>
      </c>
      <c r="C19" s="77"/>
      <c r="D19" s="78" t="s">
        <v>66</v>
      </c>
      <c r="E19" s="79">
        <f>SUM(E20:E56)-E21-E25-E33-E36-E39-E43-E48-E28-E51-E54</f>
        <v>2305221725.8899994</v>
      </c>
      <c r="F19" s="79">
        <f>SUM(F20:F56)-F21-F25-F33-F36-F39-F43-F48-F28-F51-F54</f>
        <v>1261156641.1299999</v>
      </c>
      <c r="G19" s="79">
        <f>SUM(G20:G56)-G21-G25-G33-G36-G39-G43-G48-G28-G51-G54</f>
        <v>1209336635.2600005</v>
      </c>
      <c r="H19" s="80">
        <f>G19/F19</f>
        <v>0.9589107298966697</v>
      </c>
      <c r="I19" s="79">
        <f>SUM(I20:I56)-I21-I25-I33-I36-I39-I43-I48-I28-I51-I54</f>
        <v>303872409.95999992</v>
      </c>
      <c r="J19" s="79">
        <f>SUM(J20:J56)-J21-J25-J33-J36-J39-J43-J48-J28-J51-J54</f>
        <v>105802445.07999995</v>
      </c>
      <c r="K19" s="80">
        <f>J19/I19</f>
        <v>0.34818049158831893</v>
      </c>
      <c r="L19" s="79"/>
      <c r="M19" s="79"/>
      <c r="N19" s="81">
        <f>G19+J19</f>
        <v>1315139080.3400004</v>
      </c>
      <c r="O19" s="53" t="b">
        <f>N19=N20+N22+N23+N24+N26+N27+N31+N32+N34+N35+N37+N38+N40+N41+N42+N46+N49+N53+N52+N30+N47+N50+N55+N56</f>
        <v>1</v>
      </c>
      <c r="P19" s="12"/>
    </row>
    <row r="20" spans="1:18" ht="99" customHeight="1" thickTop="1" thickBot="1" x14ac:dyDescent="0.6">
      <c r="A20" s="58" t="s">
        <v>67</v>
      </c>
      <c r="B20" s="75" t="s">
        <v>68</v>
      </c>
      <c r="C20" s="75" t="s">
        <v>69</v>
      </c>
      <c r="D20" s="75" t="s">
        <v>70</v>
      </c>
      <c r="E20" s="127">
        <v>597454653</v>
      </c>
      <c r="F20" s="127">
        <v>317286909</v>
      </c>
      <c r="G20" s="127">
        <v>306545153.74000001</v>
      </c>
      <c r="H20" s="125">
        <f>G20/F20</f>
        <v>0.96614497807723931</v>
      </c>
      <c r="I20" s="127">
        <v>97069695.170000002</v>
      </c>
      <c r="J20" s="127">
        <v>34527824.259999998</v>
      </c>
      <c r="K20" s="125">
        <f t="shared" ref="K20:K24" si="3">J20/I20</f>
        <v>0.35570137723756895</v>
      </c>
      <c r="L20" s="127"/>
      <c r="M20" s="160"/>
      <c r="N20" s="127">
        <f t="shared" si="0"/>
        <v>341072978</v>
      </c>
      <c r="O20" s="21"/>
      <c r="P20" s="12"/>
    </row>
    <row r="21" spans="1:18" ht="93" thickTop="1" thickBot="1" x14ac:dyDescent="0.6">
      <c r="A21" s="76" t="s">
        <v>71</v>
      </c>
      <c r="B21" s="76" t="s">
        <v>72</v>
      </c>
      <c r="C21" s="76"/>
      <c r="D21" s="76" t="s">
        <v>73</v>
      </c>
      <c r="E21" s="128">
        <f>E22+E23+E24</f>
        <v>604414723.75999999</v>
      </c>
      <c r="F21" s="128">
        <f>F22+F23+F24</f>
        <v>305672471</v>
      </c>
      <c r="G21" s="128">
        <f>G22+G23+G24</f>
        <v>285410716.09000003</v>
      </c>
      <c r="H21" s="129">
        <f t="shared" ref="H21:H47" si="4">G21/F21</f>
        <v>0.93371416521836548</v>
      </c>
      <c r="I21" s="128">
        <f>I22+I23+I24</f>
        <v>103845613.56</v>
      </c>
      <c r="J21" s="128">
        <f>J22+J23+J24</f>
        <v>44870731.719999999</v>
      </c>
      <c r="K21" s="129">
        <f t="shared" si="3"/>
        <v>0.43209077573675803</v>
      </c>
      <c r="L21" s="128"/>
      <c r="M21" s="161"/>
      <c r="N21" s="128">
        <f>G21+J21</f>
        <v>330281447.81000006</v>
      </c>
      <c r="O21" s="21"/>
      <c r="P21" s="22"/>
    </row>
    <row r="22" spans="1:18" ht="93" thickTop="1" thickBot="1" x14ac:dyDescent="0.6">
      <c r="A22" s="75" t="s">
        <v>74</v>
      </c>
      <c r="B22" s="75" t="s">
        <v>75</v>
      </c>
      <c r="C22" s="75" t="s">
        <v>76</v>
      </c>
      <c r="D22" s="75" t="s">
        <v>77</v>
      </c>
      <c r="E22" s="127">
        <v>551630951.75999999</v>
      </c>
      <c r="F22" s="127">
        <v>275823866</v>
      </c>
      <c r="G22" s="127">
        <v>261412358.56</v>
      </c>
      <c r="H22" s="125">
        <f t="shared" si="4"/>
        <v>0.94775104979494418</v>
      </c>
      <c r="I22" s="127">
        <v>102823463.56</v>
      </c>
      <c r="J22" s="127">
        <v>44638827.109999999</v>
      </c>
      <c r="K22" s="125">
        <f t="shared" si="3"/>
        <v>0.4341307476376941</v>
      </c>
      <c r="L22" s="127"/>
      <c r="M22" s="160"/>
      <c r="N22" s="127">
        <f t="shared" si="0"/>
        <v>306051185.67000002</v>
      </c>
      <c r="O22" s="21"/>
      <c r="P22" s="13"/>
      <c r="R22" s="23"/>
    </row>
    <row r="23" spans="1:18" ht="184.5" thickTop="1" thickBot="1" x14ac:dyDescent="0.25">
      <c r="A23" s="58" t="s">
        <v>78</v>
      </c>
      <c r="B23" s="75" t="s">
        <v>79</v>
      </c>
      <c r="C23" s="75" t="s">
        <v>80</v>
      </c>
      <c r="D23" s="75" t="s">
        <v>81</v>
      </c>
      <c r="E23" s="127">
        <v>32235281</v>
      </c>
      <c r="F23" s="127">
        <v>18884273</v>
      </c>
      <c r="G23" s="127">
        <v>15932511.74</v>
      </c>
      <c r="H23" s="125">
        <f t="shared" si="4"/>
        <v>0.84369208917918104</v>
      </c>
      <c r="I23" s="127">
        <v>272150</v>
      </c>
      <c r="J23" s="127">
        <v>31906.61</v>
      </c>
      <c r="K23" s="125">
        <f t="shared" si="3"/>
        <v>0.11723905934227448</v>
      </c>
      <c r="L23" s="127"/>
      <c r="M23" s="160"/>
      <c r="N23" s="127">
        <f t="shared" si="0"/>
        <v>15964418.35</v>
      </c>
      <c r="P23" s="13"/>
    </row>
    <row r="24" spans="1:18" ht="138.75" thickTop="1" thickBot="1" x14ac:dyDescent="0.25">
      <c r="A24" s="75"/>
      <c r="B24" s="75" t="s">
        <v>455</v>
      </c>
      <c r="C24" s="75" t="s">
        <v>80</v>
      </c>
      <c r="D24" s="75" t="s">
        <v>456</v>
      </c>
      <c r="E24" s="127">
        <v>20548491</v>
      </c>
      <c r="F24" s="127">
        <v>10964332</v>
      </c>
      <c r="G24" s="127">
        <v>8065845.79</v>
      </c>
      <c r="H24" s="125">
        <f t="shared" si="4"/>
        <v>0.73564406750908307</v>
      </c>
      <c r="I24" s="127">
        <v>750000</v>
      </c>
      <c r="J24" s="127">
        <v>199998</v>
      </c>
      <c r="K24" s="125">
        <f t="shared" si="3"/>
        <v>0.26666400000000001</v>
      </c>
      <c r="L24" s="127"/>
      <c r="M24" s="160"/>
      <c r="N24" s="127">
        <f>G24+J24</f>
        <v>8265843.79</v>
      </c>
      <c r="P24" s="13"/>
    </row>
    <row r="25" spans="1:18" ht="123" thickTop="1" thickBot="1" x14ac:dyDescent="0.25">
      <c r="A25" s="59" t="s">
        <v>82</v>
      </c>
      <c r="B25" s="76" t="s">
        <v>83</v>
      </c>
      <c r="C25" s="76"/>
      <c r="D25" s="76" t="s">
        <v>84</v>
      </c>
      <c r="E25" s="128">
        <f>E26+E27</f>
        <v>734225903</v>
      </c>
      <c r="F25" s="128">
        <f>F26+F27</f>
        <v>431821240</v>
      </c>
      <c r="G25" s="128">
        <f>G26+G27</f>
        <v>430711428.69999999</v>
      </c>
      <c r="H25" s="129">
        <f t="shared" si="4"/>
        <v>0.99742992887519843</v>
      </c>
      <c r="I25" s="128">
        <f>I26+I27</f>
        <v>0</v>
      </c>
      <c r="J25" s="128">
        <f>J26+J27</f>
        <v>0</v>
      </c>
      <c r="K25" s="129">
        <v>0</v>
      </c>
      <c r="L25" s="128"/>
      <c r="M25" s="128"/>
      <c r="N25" s="128">
        <f>G25+J25</f>
        <v>430711428.69999999</v>
      </c>
      <c r="O25" s="50" t="s">
        <v>433</v>
      </c>
      <c r="P25" s="19"/>
    </row>
    <row r="26" spans="1:18" ht="93" thickTop="1" thickBot="1" x14ac:dyDescent="0.25">
      <c r="A26" s="58" t="s">
        <v>85</v>
      </c>
      <c r="B26" s="75" t="s">
        <v>86</v>
      </c>
      <c r="C26" s="75" t="s">
        <v>76</v>
      </c>
      <c r="D26" s="75" t="s">
        <v>77</v>
      </c>
      <c r="E26" s="127">
        <v>723235253</v>
      </c>
      <c r="F26" s="127">
        <v>425332140</v>
      </c>
      <c r="G26" s="127">
        <v>425071971.31999999</v>
      </c>
      <c r="H26" s="125">
        <f t="shared" si="4"/>
        <v>0.9993883164343047</v>
      </c>
      <c r="I26" s="127"/>
      <c r="J26" s="127"/>
      <c r="K26" s="127"/>
      <c r="L26" s="127"/>
      <c r="M26" s="160"/>
      <c r="N26" s="127">
        <f t="shared" si="0"/>
        <v>425071971.31999999</v>
      </c>
      <c r="P26" s="17"/>
    </row>
    <row r="27" spans="1:18" ht="138.75" thickTop="1" thickBot="1" x14ac:dyDescent="0.25">
      <c r="A27" s="88"/>
      <c r="B27" s="130" t="s">
        <v>502</v>
      </c>
      <c r="C27" s="75" t="s">
        <v>80</v>
      </c>
      <c r="D27" s="75" t="s">
        <v>456</v>
      </c>
      <c r="E27" s="131">
        <v>10990650</v>
      </c>
      <c r="F27" s="131">
        <v>6489100</v>
      </c>
      <c r="G27" s="131">
        <v>5639457.3799999999</v>
      </c>
      <c r="H27" s="125">
        <f t="shared" si="4"/>
        <v>0.86906618483302767</v>
      </c>
      <c r="I27" s="131"/>
      <c r="J27" s="131"/>
      <c r="K27" s="131"/>
      <c r="L27" s="131"/>
      <c r="M27" s="162"/>
      <c r="N27" s="127">
        <f t="shared" si="0"/>
        <v>5639457.3799999999</v>
      </c>
      <c r="P27" s="17"/>
    </row>
    <row r="28" spans="1:18" ht="248.25" customHeight="1" thickTop="1" x14ac:dyDescent="0.65">
      <c r="A28" s="209" t="s">
        <v>87</v>
      </c>
      <c r="B28" s="211" t="s">
        <v>88</v>
      </c>
      <c r="C28" s="211"/>
      <c r="D28" s="132" t="s">
        <v>461</v>
      </c>
      <c r="E28" s="197">
        <f t="shared" ref="E28:J28" si="5">E30</f>
        <v>128512.77</v>
      </c>
      <c r="F28" s="197">
        <f t="shared" ref="F28" si="6">F30</f>
        <v>128512.77</v>
      </c>
      <c r="G28" s="197">
        <f t="shared" si="5"/>
        <v>128512.77</v>
      </c>
      <c r="H28" s="191">
        <f>G28/F28</f>
        <v>1</v>
      </c>
      <c r="I28" s="197">
        <f t="shared" si="5"/>
        <v>0</v>
      </c>
      <c r="J28" s="197">
        <f t="shared" si="5"/>
        <v>0</v>
      </c>
      <c r="K28" s="205">
        <v>0</v>
      </c>
      <c r="L28" s="197"/>
      <c r="M28" s="197"/>
      <c r="N28" s="197">
        <f>J28+G28</f>
        <v>128512.77</v>
      </c>
      <c r="O28" s="199" t="s">
        <v>433</v>
      </c>
      <c r="P28" s="17"/>
    </row>
    <row r="29" spans="1:18" ht="153" customHeight="1" thickBot="1" x14ac:dyDescent="0.25">
      <c r="A29" s="210"/>
      <c r="B29" s="212"/>
      <c r="C29" s="212"/>
      <c r="D29" s="133" t="s">
        <v>462</v>
      </c>
      <c r="E29" s="198"/>
      <c r="F29" s="198"/>
      <c r="G29" s="198"/>
      <c r="H29" s="193"/>
      <c r="I29" s="198"/>
      <c r="J29" s="198"/>
      <c r="K29" s="206"/>
      <c r="L29" s="198"/>
      <c r="M29" s="198"/>
      <c r="N29" s="198"/>
      <c r="O29" s="177"/>
      <c r="P29" s="17"/>
    </row>
    <row r="30" spans="1:18" ht="93" thickTop="1" thickBot="1" x14ac:dyDescent="0.25">
      <c r="A30" s="58" t="s">
        <v>89</v>
      </c>
      <c r="B30" s="75" t="s">
        <v>90</v>
      </c>
      <c r="C30" s="75" t="s">
        <v>76</v>
      </c>
      <c r="D30" s="75" t="s">
        <v>91</v>
      </c>
      <c r="E30" s="127">
        <v>128512.77</v>
      </c>
      <c r="F30" s="127">
        <v>128512.77</v>
      </c>
      <c r="G30" s="127">
        <v>128512.77</v>
      </c>
      <c r="H30" s="125">
        <f t="shared" si="4"/>
        <v>1</v>
      </c>
      <c r="I30" s="127"/>
      <c r="J30" s="127"/>
      <c r="K30" s="125"/>
      <c r="L30" s="127"/>
      <c r="M30" s="160"/>
      <c r="N30" s="127">
        <f t="shared" ref="N30:N36" si="7">G30+J30</f>
        <v>128512.77</v>
      </c>
      <c r="P30" s="12"/>
    </row>
    <row r="31" spans="1:18" ht="138.75" thickTop="1" thickBot="1" x14ac:dyDescent="0.25">
      <c r="A31" s="75" t="s">
        <v>92</v>
      </c>
      <c r="B31" s="75" t="s">
        <v>93</v>
      </c>
      <c r="C31" s="75" t="s">
        <v>94</v>
      </c>
      <c r="D31" s="75" t="s">
        <v>95</v>
      </c>
      <c r="E31" s="127">
        <v>38379360</v>
      </c>
      <c r="F31" s="127">
        <v>17907321</v>
      </c>
      <c r="G31" s="127">
        <v>17223379.989999998</v>
      </c>
      <c r="H31" s="125">
        <f t="shared" si="4"/>
        <v>0.96180662590456711</v>
      </c>
      <c r="I31" s="127">
        <v>2504980.09</v>
      </c>
      <c r="J31" s="127">
        <v>734407.98</v>
      </c>
      <c r="K31" s="125">
        <f t="shared" ref="K31:K37" si="8">J31/I31</f>
        <v>0.29317916854181464</v>
      </c>
      <c r="L31" s="127"/>
      <c r="M31" s="160"/>
      <c r="N31" s="127">
        <f t="shared" si="7"/>
        <v>17957787.969999999</v>
      </c>
      <c r="P31" s="12"/>
    </row>
    <row r="32" spans="1:18" ht="93" thickTop="1" thickBot="1" x14ac:dyDescent="0.25">
      <c r="A32" s="58"/>
      <c r="B32" s="75" t="s">
        <v>269</v>
      </c>
      <c r="C32" s="75" t="s">
        <v>94</v>
      </c>
      <c r="D32" s="75" t="s">
        <v>507</v>
      </c>
      <c r="E32" s="127">
        <v>96162228</v>
      </c>
      <c r="F32" s="127">
        <v>57981815</v>
      </c>
      <c r="G32" s="127">
        <v>51764060.909999996</v>
      </c>
      <c r="H32" s="125">
        <f t="shared" si="4"/>
        <v>0.89276372100459422</v>
      </c>
      <c r="I32" s="127">
        <v>9935530.2100000009</v>
      </c>
      <c r="J32" s="127">
        <v>4465063.9800000004</v>
      </c>
      <c r="K32" s="125">
        <f t="shared" si="8"/>
        <v>0.44940369417889375</v>
      </c>
      <c r="L32" s="127"/>
      <c r="M32" s="160"/>
      <c r="N32" s="127">
        <f t="shared" si="7"/>
        <v>56229124.890000001</v>
      </c>
      <c r="P32" s="12"/>
    </row>
    <row r="33" spans="1:16" ht="138.75" thickTop="1" thickBot="1" x14ac:dyDescent="0.25">
      <c r="A33" s="59" t="s">
        <v>96</v>
      </c>
      <c r="B33" s="76" t="s">
        <v>97</v>
      </c>
      <c r="C33" s="76"/>
      <c r="D33" s="76" t="s">
        <v>98</v>
      </c>
      <c r="E33" s="128">
        <f>E34+E35</f>
        <v>192049825.50999999</v>
      </c>
      <c r="F33" s="128">
        <f>F34+F35</f>
        <v>106750471.51000001</v>
      </c>
      <c r="G33" s="128">
        <f>G34+G35</f>
        <v>97306739.189999998</v>
      </c>
      <c r="H33" s="129">
        <f t="shared" si="4"/>
        <v>0.91153451421415643</v>
      </c>
      <c r="I33" s="128">
        <f t="shared" ref="I33:J33" si="9">I34+I35</f>
        <v>36363553.579999998</v>
      </c>
      <c r="J33" s="128">
        <f t="shared" si="9"/>
        <v>15787743.92</v>
      </c>
      <c r="K33" s="129">
        <f t="shared" si="8"/>
        <v>0.43416394619593174</v>
      </c>
      <c r="L33" s="128"/>
      <c r="M33" s="128"/>
      <c r="N33" s="128">
        <f t="shared" si="7"/>
        <v>113094483.11</v>
      </c>
      <c r="P33" s="19"/>
    </row>
    <row r="34" spans="1:16" ht="184.5" thickTop="1" thickBot="1" x14ac:dyDescent="0.25">
      <c r="A34" s="75" t="s">
        <v>99</v>
      </c>
      <c r="B34" s="75" t="s">
        <v>100</v>
      </c>
      <c r="C34" s="75" t="s">
        <v>101</v>
      </c>
      <c r="D34" s="75" t="s">
        <v>102</v>
      </c>
      <c r="E34" s="127">
        <v>166319425.50999999</v>
      </c>
      <c r="F34" s="127">
        <v>90302191.510000005</v>
      </c>
      <c r="G34" s="127">
        <v>81956280.209999993</v>
      </c>
      <c r="H34" s="125">
        <f t="shared" si="4"/>
        <v>0.90757797612170032</v>
      </c>
      <c r="I34" s="127">
        <v>36363553.579999998</v>
      </c>
      <c r="J34" s="127">
        <v>15787743.92</v>
      </c>
      <c r="K34" s="125">
        <f t="shared" si="8"/>
        <v>0.43416394619593174</v>
      </c>
      <c r="L34" s="127"/>
      <c r="M34" s="160"/>
      <c r="N34" s="127">
        <f t="shared" si="7"/>
        <v>97744024.129999995</v>
      </c>
      <c r="P34" s="12"/>
    </row>
    <row r="35" spans="1:16" ht="138.75" thickTop="1" thickBot="1" x14ac:dyDescent="0.25">
      <c r="A35" s="58" t="s">
        <v>103</v>
      </c>
      <c r="B35" s="75" t="s">
        <v>104</v>
      </c>
      <c r="C35" s="75" t="s">
        <v>101</v>
      </c>
      <c r="D35" s="75" t="s">
        <v>105</v>
      </c>
      <c r="E35" s="127">
        <v>25730400</v>
      </c>
      <c r="F35" s="127">
        <v>16448280</v>
      </c>
      <c r="G35" s="127">
        <v>15350458.98</v>
      </c>
      <c r="H35" s="125">
        <f t="shared" si="4"/>
        <v>0.93325618119341358</v>
      </c>
      <c r="I35" s="127"/>
      <c r="J35" s="127"/>
      <c r="K35" s="127"/>
      <c r="L35" s="93"/>
      <c r="M35" s="94"/>
      <c r="N35" s="127">
        <f t="shared" si="7"/>
        <v>15350458.98</v>
      </c>
      <c r="P35" s="17"/>
    </row>
    <row r="36" spans="1:16" ht="93" thickTop="1" thickBot="1" x14ac:dyDescent="0.25">
      <c r="A36" s="59" t="s">
        <v>106</v>
      </c>
      <c r="B36" s="76" t="s">
        <v>107</v>
      </c>
      <c r="C36" s="76"/>
      <c r="D36" s="76" t="s">
        <v>108</v>
      </c>
      <c r="E36" s="128">
        <f t="shared" ref="E36:J36" si="10">E37+E38</f>
        <v>28140254</v>
      </c>
      <c r="F36" s="128">
        <f t="shared" ref="F36" si="11">F37+F38</f>
        <v>15288049</v>
      </c>
      <c r="G36" s="128">
        <f t="shared" si="10"/>
        <v>12945577.08</v>
      </c>
      <c r="H36" s="129">
        <f t="shared" si="4"/>
        <v>0.84677757639316831</v>
      </c>
      <c r="I36" s="128">
        <f t="shared" si="10"/>
        <v>956983.2</v>
      </c>
      <c r="J36" s="128">
        <f t="shared" si="10"/>
        <v>661667.9</v>
      </c>
      <c r="K36" s="129">
        <f t="shared" si="8"/>
        <v>0.6914101522367373</v>
      </c>
      <c r="L36" s="96"/>
      <c r="M36" s="96"/>
      <c r="N36" s="128">
        <f t="shared" si="7"/>
        <v>13607244.98</v>
      </c>
      <c r="P36" s="19"/>
    </row>
    <row r="37" spans="1:16" ht="93" thickTop="1" thickBot="1" x14ac:dyDescent="0.25">
      <c r="A37" s="58" t="s">
        <v>109</v>
      </c>
      <c r="B37" s="75" t="s">
        <v>110</v>
      </c>
      <c r="C37" s="75" t="s">
        <v>111</v>
      </c>
      <c r="D37" s="75" t="s">
        <v>112</v>
      </c>
      <c r="E37" s="127">
        <v>27605954</v>
      </c>
      <c r="F37" s="127">
        <v>15017279</v>
      </c>
      <c r="G37" s="127">
        <v>12707672.08</v>
      </c>
      <c r="H37" s="125">
        <f t="shared" si="4"/>
        <v>0.84620336879936775</v>
      </c>
      <c r="I37" s="127">
        <v>956983.2</v>
      </c>
      <c r="J37" s="127">
        <v>661667.9</v>
      </c>
      <c r="K37" s="125">
        <f t="shared" si="8"/>
        <v>0.6914101522367373</v>
      </c>
      <c r="L37" s="93"/>
      <c r="M37" s="94"/>
      <c r="N37" s="127">
        <f t="shared" ref="N37:N46" si="12">G37+J37</f>
        <v>13369339.98</v>
      </c>
      <c r="P37" s="17"/>
    </row>
    <row r="38" spans="1:16" ht="93" thickTop="1" thickBot="1" x14ac:dyDescent="0.25">
      <c r="A38" s="58" t="s">
        <v>113</v>
      </c>
      <c r="B38" s="75" t="s">
        <v>114</v>
      </c>
      <c r="C38" s="75" t="s">
        <v>111</v>
      </c>
      <c r="D38" s="75" t="s">
        <v>115</v>
      </c>
      <c r="E38" s="127">
        <v>534300</v>
      </c>
      <c r="F38" s="127">
        <v>270770</v>
      </c>
      <c r="G38" s="127">
        <v>237905</v>
      </c>
      <c r="H38" s="125">
        <f t="shared" si="4"/>
        <v>0.87862392436385128</v>
      </c>
      <c r="I38" s="127"/>
      <c r="J38" s="127"/>
      <c r="K38" s="127"/>
      <c r="L38" s="127"/>
      <c r="M38" s="160"/>
      <c r="N38" s="127">
        <f t="shared" si="12"/>
        <v>237905</v>
      </c>
      <c r="P38" s="17"/>
    </row>
    <row r="39" spans="1:16" ht="123" thickTop="1" thickBot="1" x14ac:dyDescent="0.25">
      <c r="A39" s="59" t="s">
        <v>116</v>
      </c>
      <c r="B39" s="76" t="s">
        <v>117</v>
      </c>
      <c r="C39" s="76"/>
      <c r="D39" s="76" t="s">
        <v>118</v>
      </c>
      <c r="E39" s="128">
        <f>E40+E41</f>
        <v>6041423</v>
      </c>
      <c r="F39" s="128">
        <f>F40+F41</f>
        <v>3270334</v>
      </c>
      <c r="G39" s="128">
        <f t="shared" ref="G39:J39" si="13">G40+G41</f>
        <v>2595281.65</v>
      </c>
      <c r="H39" s="129">
        <f t="shared" si="4"/>
        <v>0.79358305604259383</v>
      </c>
      <c r="I39" s="128">
        <f t="shared" si="13"/>
        <v>0</v>
      </c>
      <c r="J39" s="128">
        <f t="shared" si="13"/>
        <v>0</v>
      </c>
      <c r="K39" s="129">
        <v>0</v>
      </c>
      <c r="L39" s="128"/>
      <c r="M39" s="128"/>
      <c r="N39" s="128">
        <f t="shared" si="12"/>
        <v>2595281.65</v>
      </c>
      <c r="O39" s="50" t="s">
        <v>433</v>
      </c>
      <c r="P39" s="19"/>
    </row>
    <row r="40" spans="1:16" ht="93" thickTop="1" thickBot="1" x14ac:dyDescent="0.25">
      <c r="A40" s="58" t="s">
        <v>119</v>
      </c>
      <c r="B40" s="75" t="s">
        <v>120</v>
      </c>
      <c r="C40" s="75" t="s">
        <v>111</v>
      </c>
      <c r="D40" s="75" t="s">
        <v>121</v>
      </c>
      <c r="E40" s="127">
        <v>1114123</v>
      </c>
      <c r="F40" s="127">
        <v>691534</v>
      </c>
      <c r="G40" s="127">
        <v>521187.24</v>
      </c>
      <c r="H40" s="125">
        <f t="shared" si="4"/>
        <v>0.75366827950614146</v>
      </c>
      <c r="I40" s="127"/>
      <c r="J40" s="127"/>
      <c r="K40" s="125"/>
      <c r="L40" s="127"/>
      <c r="M40" s="160"/>
      <c r="N40" s="127">
        <f>G40+J40</f>
        <v>521187.24</v>
      </c>
      <c r="P40" s="12"/>
    </row>
    <row r="41" spans="1:16" ht="93" thickTop="1" thickBot="1" x14ac:dyDescent="0.25">
      <c r="A41" s="58" t="s">
        <v>122</v>
      </c>
      <c r="B41" s="75" t="s">
        <v>123</v>
      </c>
      <c r="C41" s="75" t="s">
        <v>111</v>
      </c>
      <c r="D41" s="75" t="s">
        <v>124</v>
      </c>
      <c r="E41" s="127">
        <v>4927300</v>
      </c>
      <c r="F41" s="127">
        <v>2578800</v>
      </c>
      <c r="G41" s="127">
        <v>2074094.41</v>
      </c>
      <c r="H41" s="125">
        <f t="shared" si="4"/>
        <v>0.80428664882891265</v>
      </c>
      <c r="I41" s="127"/>
      <c r="J41" s="127"/>
      <c r="K41" s="127"/>
      <c r="L41" s="127"/>
      <c r="M41" s="160"/>
      <c r="N41" s="127">
        <f t="shared" si="12"/>
        <v>2074094.41</v>
      </c>
      <c r="P41" s="17"/>
    </row>
    <row r="42" spans="1:16" ht="93" thickTop="1" thickBot="1" x14ac:dyDescent="0.25">
      <c r="A42" s="58" t="s">
        <v>125</v>
      </c>
      <c r="B42" s="75" t="s">
        <v>126</v>
      </c>
      <c r="C42" s="75" t="s">
        <v>111</v>
      </c>
      <c r="D42" s="75" t="s">
        <v>127</v>
      </c>
      <c r="E42" s="127">
        <v>4021213</v>
      </c>
      <c r="F42" s="127">
        <v>1762927</v>
      </c>
      <c r="G42" s="127">
        <v>1667457.28</v>
      </c>
      <c r="H42" s="125">
        <f t="shared" si="4"/>
        <v>0.94584590286495129</v>
      </c>
      <c r="I42" s="127"/>
      <c r="J42" s="127"/>
      <c r="K42" s="125"/>
      <c r="L42" s="127"/>
      <c r="M42" s="160"/>
      <c r="N42" s="127">
        <f>G42+J42</f>
        <v>1667457.28</v>
      </c>
      <c r="O42" s="50"/>
      <c r="P42" s="12"/>
    </row>
    <row r="43" spans="1:16" s="18" customFormat="1" ht="230.25" hidden="1" customHeight="1" thickTop="1" thickBot="1" x14ac:dyDescent="0.25">
      <c r="A43" s="59" t="s">
        <v>128</v>
      </c>
      <c r="B43" s="95" t="s">
        <v>129</v>
      </c>
      <c r="C43" s="95"/>
      <c r="D43" s="95" t="s">
        <v>130</v>
      </c>
      <c r="E43" s="96">
        <f>E44+E45</f>
        <v>0</v>
      </c>
      <c r="F43" s="96">
        <f>F44+F45</f>
        <v>0</v>
      </c>
      <c r="G43" s="96">
        <f>G44+G45</f>
        <v>0</v>
      </c>
      <c r="H43" s="91" t="e">
        <f t="shared" si="4"/>
        <v>#DIV/0!</v>
      </c>
      <c r="I43" s="128">
        <f>I44+I45</f>
        <v>0</v>
      </c>
      <c r="J43" s="128">
        <f>J44+J45</f>
        <v>0</v>
      </c>
      <c r="K43" s="129" t="e">
        <f t="shared" ref="K43:K45" si="14">J43/I43</f>
        <v>#DIV/0!</v>
      </c>
      <c r="L43" s="128"/>
      <c r="M43" s="128"/>
      <c r="N43" s="128">
        <f t="shared" si="12"/>
        <v>0</v>
      </c>
      <c r="O43" s="50"/>
      <c r="P43" s="22"/>
    </row>
    <row r="44" spans="1:16" s="18" customFormat="1" ht="367.5" hidden="1" customHeight="1" thickTop="1" thickBot="1" x14ac:dyDescent="0.25">
      <c r="A44" s="58" t="s">
        <v>131</v>
      </c>
      <c r="B44" s="92" t="s">
        <v>132</v>
      </c>
      <c r="C44" s="92" t="s">
        <v>111</v>
      </c>
      <c r="D44" s="92" t="s">
        <v>133</v>
      </c>
      <c r="E44" s="93"/>
      <c r="F44" s="93"/>
      <c r="G44" s="93"/>
      <c r="H44" s="91" t="e">
        <f t="shared" si="4"/>
        <v>#DIV/0!</v>
      </c>
      <c r="I44" s="127"/>
      <c r="J44" s="127"/>
      <c r="K44" s="125" t="e">
        <f t="shared" si="14"/>
        <v>#DIV/0!</v>
      </c>
      <c r="L44" s="127"/>
      <c r="M44" s="160"/>
      <c r="N44" s="127">
        <f t="shared" si="12"/>
        <v>0</v>
      </c>
      <c r="O44" s="50"/>
      <c r="P44" s="12"/>
    </row>
    <row r="45" spans="1:16" s="18" customFormat="1" ht="230.25" hidden="1" thickTop="1" thickBot="1" x14ac:dyDescent="0.25">
      <c r="A45" s="58"/>
      <c r="B45" s="92" t="s">
        <v>453</v>
      </c>
      <c r="C45" s="92" t="s">
        <v>111</v>
      </c>
      <c r="D45" s="92" t="s">
        <v>454</v>
      </c>
      <c r="E45" s="93"/>
      <c r="F45" s="93"/>
      <c r="G45" s="93"/>
      <c r="H45" s="91" t="e">
        <f t="shared" si="4"/>
        <v>#DIV/0!</v>
      </c>
      <c r="I45" s="127"/>
      <c r="J45" s="127"/>
      <c r="K45" s="125" t="e">
        <f t="shared" si="14"/>
        <v>#DIV/0!</v>
      </c>
      <c r="L45" s="127"/>
      <c r="M45" s="160"/>
      <c r="N45" s="127">
        <f t="shared" si="12"/>
        <v>0</v>
      </c>
      <c r="O45" s="52"/>
      <c r="P45" s="12"/>
    </row>
    <row r="46" spans="1:16" s="18" customFormat="1" ht="184.5" thickTop="1" thickBot="1" x14ac:dyDescent="0.25">
      <c r="A46" s="58" t="s">
        <v>134</v>
      </c>
      <c r="B46" s="75" t="s">
        <v>135</v>
      </c>
      <c r="C46" s="75" t="s">
        <v>111</v>
      </c>
      <c r="D46" s="75" t="s">
        <v>136</v>
      </c>
      <c r="E46" s="127">
        <v>3668858</v>
      </c>
      <c r="F46" s="127">
        <v>2751819</v>
      </c>
      <c r="G46" s="127">
        <v>2506029.2200000002</v>
      </c>
      <c r="H46" s="125">
        <f t="shared" si="4"/>
        <v>0.91068097865448283</v>
      </c>
      <c r="I46" s="127"/>
      <c r="J46" s="127"/>
      <c r="K46" s="125"/>
      <c r="L46" s="127"/>
      <c r="M46" s="160"/>
      <c r="N46" s="127">
        <f t="shared" si="12"/>
        <v>2506029.2200000002</v>
      </c>
      <c r="O46" s="20"/>
      <c r="P46" s="12"/>
    </row>
    <row r="47" spans="1:16" s="18" customFormat="1" ht="184.5" thickTop="1" thickBot="1" x14ac:dyDescent="0.25">
      <c r="A47" s="57"/>
      <c r="B47" s="75" t="s">
        <v>137</v>
      </c>
      <c r="C47" s="75" t="s">
        <v>111</v>
      </c>
      <c r="D47" s="75" t="s">
        <v>138</v>
      </c>
      <c r="E47" s="127">
        <v>532739</v>
      </c>
      <c r="F47" s="127">
        <v>532739</v>
      </c>
      <c r="G47" s="127">
        <v>532298.64</v>
      </c>
      <c r="H47" s="125">
        <f t="shared" si="4"/>
        <v>0.99917340386192866</v>
      </c>
      <c r="I47" s="134"/>
      <c r="J47" s="134"/>
      <c r="K47" s="135"/>
      <c r="L47" s="163"/>
      <c r="M47" s="163"/>
      <c r="N47" s="127">
        <f t="shared" ref="N47:N50" si="15">G47+J47</f>
        <v>532298.64</v>
      </c>
      <c r="O47" s="20"/>
      <c r="P47" s="12"/>
    </row>
    <row r="48" spans="1:16" s="18" customFormat="1" ht="138.75" thickTop="1" thickBot="1" x14ac:dyDescent="0.25">
      <c r="A48" s="8"/>
      <c r="B48" s="76" t="s">
        <v>457</v>
      </c>
      <c r="C48" s="76"/>
      <c r="D48" s="76" t="s">
        <v>458</v>
      </c>
      <c r="E48" s="128">
        <f>E50+E49</f>
        <v>0</v>
      </c>
      <c r="F48" s="128">
        <f>F50+F49</f>
        <v>0</v>
      </c>
      <c r="G48" s="128">
        <f>G50+G49</f>
        <v>0</v>
      </c>
      <c r="H48" s="129">
        <v>0</v>
      </c>
      <c r="I48" s="128">
        <f>I50+I49</f>
        <v>14416500</v>
      </c>
      <c r="J48" s="128">
        <f>J50+J49</f>
        <v>0</v>
      </c>
      <c r="K48" s="129">
        <f>J48/I48</f>
        <v>0</v>
      </c>
      <c r="L48" s="147"/>
      <c r="M48" s="147"/>
      <c r="N48" s="128">
        <f>G48+J48</f>
        <v>0</v>
      </c>
      <c r="O48" s="50" t="s">
        <v>433</v>
      </c>
      <c r="P48" s="12"/>
    </row>
    <row r="49" spans="1:16" s="18" customFormat="1" ht="230.25" thickTop="1" thickBot="1" x14ac:dyDescent="0.25">
      <c r="A49" s="8"/>
      <c r="B49" s="75" t="s">
        <v>474</v>
      </c>
      <c r="C49" s="75" t="s">
        <v>111</v>
      </c>
      <c r="D49" s="75" t="s">
        <v>475</v>
      </c>
      <c r="E49" s="127"/>
      <c r="F49" s="127"/>
      <c r="G49" s="127"/>
      <c r="H49" s="125">
        <v>0</v>
      </c>
      <c r="I49" s="127">
        <v>5766600</v>
      </c>
      <c r="J49" s="127">
        <v>0</v>
      </c>
      <c r="K49" s="125">
        <f>J49/I49</f>
        <v>0</v>
      </c>
      <c r="L49" s="154"/>
      <c r="M49" s="154"/>
      <c r="N49" s="127">
        <f>G49+J49</f>
        <v>0</v>
      </c>
      <c r="O49" s="50" t="s">
        <v>433</v>
      </c>
      <c r="P49" s="12"/>
    </row>
    <row r="50" spans="1:16" s="18" customFormat="1" ht="230.25" thickTop="1" thickBot="1" x14ac:dyDescent="0.25">
      <c r="A50" s="8"/>
      <c r="B50" s="75" t="s">
        <v>459</v>
      </c>
      <c r="C50" s="75" t="s">
        <v>111</v>
      </c>
      <c r="D50" s="75" t="s">
        <v>460</v>
      </c>
      <c r="E50" s="127"/>
      <c r="F50" s="127"/>
      <c r="G50" s="127"/>
      <c r="H50" s="125">
        <v>0</v>
      </c>
      <c r="I50" s="127">
        <v>8649900</v>
      </c>
      <c r="J50" s="127">
        <v>0</v>
      </c>
      <c r="K50" s="125">
        <f>J50/I50</f>
        <v>0</v>
      </c>
      <c r="L50" s="154"/>
      <c r="M50" s="154"/>
      <c r="N50" s="127">
        <f t="shared" si="15"/>
        <v>0</v>
      </c>
      <c r="O50" s="50" t="s">
        <v>433</v>
      </c>
      <c r="P50" s="12"/>
    </row>
    <row r="51" spans="1:16" s="18" customFormat="1" ht="123" thickTop="1" thickBot="1" x14ac:dyDescent="0.25">
      <c r="A51" s="57"/>
      <c r="B51" s="76" t="s">
        <v>550</v>
      </c>
      <c r="C51" s="76"/>
      <c r="D51" s="76" t="s">
        <v>547</v>
      </c>
      <c r="E51" s="128">
        <f>SUM(E52:E53)</f>
        <v>0</v>
      </c>
      <c r="F51" s="128">
        <f>SUM(F52:F53)</f>
        <v>0</v>
      </c>
      <c r="G51" s="128">
        <f>SUM(G52:G53)</f>
        <v>0</v>
      </c>
      <c r="H51" s="129">
        <v>0</v>
      </c>
      <c r="I51" s="128">
        <f>SUM(I52:I53)</f>
        <v>27000000</v>
      </c>
      <c r="J51" s="128">
        <f>SUM(J52:J53)</f>
        <v>4284605.32</v>
      </c>
      <c r="K51" s="129">
        <f>J51/I51</f>
        <v>0.15868908592592593</v>
      </c>
      <c r="L51" s="147"/>
      <c r="M51" s="147"/>
      <c r="N51" s="128">
        <f t="shared" ref="N51:N56" si="16">G51+J51</f>
        <v>4284605.32</v>
      </c>
      <c r="O51" s="50" t="s">
        <v>433</v>
      </c>
      <c r="P51" s="12"/>
    </row>
    <row r="52" spans="1:16" s="18" customFormat="1" ht="230.25" thickTop="1" thickBot="1" x14ac:dyDescent="0.25">
      <c r="A52" s="57"/>
      <c r="B52" s="75" t="s">
        <v>562</v>
      </c>
      <c r="C52" s="75" t="s">
        <v>111</v>
      </c>
      <c r="D52" s="75" t="s">
        <v>561</v>
      </c>
      <c r="E52" s="127"/>
      <c r="F52" s="127"/>
      <c r="G52" s="127"/>
      <c r="H52" s="125"/>
      <c r="I52" s="127">
        <v>27000000</v>
      </c>
      <c r="J52" s="127">
        <v>4284605.32</v>
      </c>
      <c r="K52" s="125">
        <f t="shared" ref="K52" si="17">J52/I52</f>
        <v>0.15868908592592593</v>
      </c>
      <c r="L52" s="154"/>
      <c r="M52" s="154"/>
      <c r="N52" s="127">
        <f t="shared" si="16"/>
        <v>4284605.32</v>
      </c>
      <c r="O52" s="52"/>
      <c r="P52" s="12"/>
    </row>
    <row r="53" spans="1:16" s="18" customFormat="1" ht="184.5" hidden="1" thickTop="1" thickBot="1" x14ac:dyDescent="0.25">
      <c r="A53" s="57"/>
      <c r="B53" s="92" t="s">
        <v>549</v>
      </c>
      <c r="C53" s="92" t="s">
        <v>111</v>
      </c>
      <c r="D53" s="92" t="s">
        <v>548</v>
      </c>
      <c r="E53" s="93"/>
      <c r="F53" s="93"/>
      <c r="G53" s="93"/>
      <c r="H53" s="91"/>
      <c r="I53" s="93"/>
      <c r="J53" s="93"/>
      <c r="K53" s="91" t="e">
        <f t="shared" ref="K53" si="18">J53/I53</f>
        <v>#DIV/0!</v>
      </c>
      <c r="L53" s="103"/>
      <c r="M53" s="103"/>
      <c r="N53" s="93">
        <f t="shared" si="16"/>
        <v>0</v>
      </c>
      <c r="O53" s="52"/>
      <c r="P53" s="12"/>
    </row>
    <row r="54" spans="1:16" s="18" customFormat="1" ht="321.75" thickTop="1" thickBot="1" x14ac:dyDescent="0.25">
      <c r="A54" s="57"/>
      <c r="B54" s="76" t="s">
        <v>570</v>
      </c>
      <c r="C54" s="76"/>
      <c r="D54" s="76" t="s">
        <v>569</v>
      </c>
      <c r="E54" s="128">
        <f>SUM(E55:E56)</f>
        <v>2032.85</v>
      </c>
      <c r="F54" s="128">
        <f>SUM(F55:F56)</f>
        <v>2032.85</v>
      </c>
      <c r="G54" s="128">
        <f>SUM(G55:G56)</f>
        <v>0</v>
      </c>
      <c r="H54" s="129">
        <f>G54/F54</f>
        <v>0</v>
      </c>
      <c r="I54" s="128">
        <f>SUM(I55:I56)</f>
        <v>11779554.15</v>
      </c>
      <c r="J54" s="128">
        <f>SUM(J55:J56)</f>
        <v>470400</v>
      </c>
      <c r="K54" s="129">
        <f>J54/I54</f>
        <v>3.9933599694008788E-2</v>
      </c>
      <c r="L54" s="128"/>
      <c r="M54" s="128"/>
      <c r="N54" s="128">
        <f t="shared" si="16"/>
        <v>470400</v>
      </c>
      <c r="O54" s="50"/>
      <c r="P54" s="12"/>
    </row>
    <row r="55" spans="1:16" s="18" customFormat="1" ht="321.75" thickTop="1" thickBot="1" x14ac:dyDescent="0.25">
      <c r="A55" s="57"/>
      <c r="B55" s="75" t="s">
        <v>571</v>
      </c>
      <c r="C55" s="75" t="s">
        <v>111</v>
      </c>
      <c r="D55" s="75" t="s">
        <v>573</v>
      </c>
      <c r="E55" s="127">
        <v>2032.85</v>
      </c>
      <c r="F55" s="127">
        <v>2032.85</v>
      </c>
      <c r="G55" s="127">
        <v>0</v>
      </c>
      <c r="H55" s="125">
        <f>G55/F55</f>
        <v>0</v>
      </c>
      <c r="I55" s="127">
        <v>3438754</v>
      </c>
      <c r="J55" s="127">
        <v>141120</v>
      </c>
      <c r="K55" s="129">
        <f>J55/I55</f>
        <v>4.1038120202840915E-2</v>
      </c>
      <c r="L55" s="154"/>
      <c r="M55" s="154"/>
      <c r="N55" s="127">
        <f t="shared" si="16"/>
        <v>141120</v>
      </c>
      <c r="O55" s="50"/>
      <c r="P55" s="12"/>
    </row>
    <row r="56" spans="1:16" s="18" customFormat="1" ht="321.75" thickTop="1" thickBot="1" x14ac:dyDescent="0.25">
      <c r="A56" s="57"/>
      <c r="B56" s="75" t="s">
        <v>572</v>
      </c>
      <c r="C56" s="75" t="s">
        <v>111</v>
      </c>
      <c r="D56" s="75" t="s">
        <v>574</v>
      </c>
      <c r="E56" s="127"/>
      <c r="F56" s="127"/>
      <c r="G56" s="127"/>
      <c r="H56" s="129"/>
      <c r="I56" s="127">
        <v>8340800.1500000004</v>
      </c>
      <c r="J56" s="127">
        <v>329280</v>
      </c>
      <c r="K56" s="129">
        <f t="shared" ref="K56" si="19">J56/I56</f>
        <v>3.9478226798180749E-2</v>
      </c>
      <c r="L56" s="154"/>
      <c r="M56" s="154"/>
      <c r="N56" s="127">
        <f t="shared" si="16"/>
        <v>329280</v>
      </c>
      <c r="O56" s="50"/>
      <c r="P56" s="12"/>
    </row>
    <row r="57" spans="1:16" ht="91.5" thickTop="1" thickBot="1" x14ac:dyDescent="0.25">
      <c r="A57" s="57" t="s">
        <v>142</v>
      </c>
      <c r="B57" s="77" t="s">
        <v>143</v>
      </c>
      <c r="C57" s="77"/>
      <c r="D57" s="78" t="s">
        <v>144</v>
      </c>
      <c r="E57" s="79">
        <f>SUM(E58:E71)-E63-E65-E67-E70</f>
        <v>92072555</v>
      </c>
      <c r="F57" s="79">
        <f t="shared" ref="F57:G57" si="20">SUM(F58:F71)-F63-F65-F67-F70</f>
        <v>47611304</v>
      </c>
      <c r="G57" s="79">
        <f t="shared" si="20"/>
        <v>40477717.100000001</v>
      </c>
      <c r="H57" s="80">
        <f>G57/F57</f>
        <v>0.85017031039519531</v>
      </c>
      <c r="I57" s="79">
        <f t="shared" ref="I57:J57" si="21">SUM(I58:I71)-I63-I65-I67-I70</f>
        <v>29254961.059999999</v>
      </c>
      <c r="J57" s="79">
        <f t="shared" si="21"/>
        <v>13019358.029999999</v>
      </c>
      <c r="K57" s="80">
        <f>J57/I57</f>
        <v>0.44503077626041454</v>
      </c>
      <c r="L57" s="79"/>
      <c r="M57" s="79"/>
      <c r="N57" s="81">
        <f>J57+G57</f>
        <v>53497075.130000003</v>
      </c>
      <c r="O57" s="53" t="b">
        <f>N57=N58+N59+N60+N61+N64+N68+N69+N71</f>
        <v>1</v>
      </c>
      <c r="P57" s="24"/>
    </row>
    <row r="58" spans="1:16" ht="93" thickTop="1" thickBot="1" x14ac:dyDescent="0.25">
      <c r="A58" s="58" t="s">
        <v>145</v>
      </c>
      <c r="B58" s="75" t="s">
        <v>146</v>
      </c>
      <c r="C58" s="75" t="s">
        <v>147</v>
      </c>
      <c r="D58" s="75" t="s">
        <v>148</v>
      </c>
      <c r="E58" s="127">
        <v>19464100</v>
      </c>
      <c r="F58" s="127">
        <v>12717554</v>
      </c>
      <c r="G58" s="127">
        <v>11409330.84</v>
      </c>
      <c r="H58" s="125">
        <f>G58/F58</f>
        <v>0.89713248632559373</v>
      </c>
      <c r="I58" s="127">
        <v>13012000</v>
      </c>
      <c r="J58" s="127">
        <v>11622065</v>
      </c>
      <c r="K58" s="125">
        <f>J58/I58</f>
        <v>0.89318052566861361</v>
      </c>
      <c r="L58" s="127"/>
      <c r="M58" s="160"/>
      <c r="N58" s="127">
        <f>G58+J58</f>
        <v>23031395.84</v>
      </c>
      <c r="P58" s="17"/>
    </row>
    <row r="59" spans="1:16" ht="93" thickTop="1" thickBot="1" x14ac:dyDescent="0.25">
      <c r="A59" s="58" t="s">
        <v>149</v>
      </c>
      <c r="B59" s="75" t="s">
        <v>150</v>
      </c>
      <c r="C59" s="75" t="s">
        <v>151</v>
      </c>
      <c r="D59" s="75" t="s">
        <v>152</v>
      </c>
      <c r="E59" s="127">
        <v>10536600</v>
      </c>
      <c r="F59" s="127">
        <v>6349520</v>
      </c>
      <c r="G59" s="127">
        <v>3992644.96</v>
      </c>
      <c r="H59" s="125">
        <f t="shared" ref="H59:H61" si="22">G59/F59</f>
        <v>0.62881051796041276</v>
      </c>
      <c r="I59" s="127"/>
      <c r="J59" s="127"/>
      <c r="K59" s="125"/>
      <c r="L59" s="127"/>
      <c r="M59" s="160"/>
      <c r="N59" s="127">
        <f t="shared" ref="N59:N117" si="23">G59+J59</f>
        <v>3992644.96</v>
      </c>
      <c r="P59" s="24"/>
    </row>
    <row r="60" spans="1:16" ht="93" thickTop="1" thickBot="1" x14ac:dyDescent="0.25">
      <c r="A60" s="75" t="s">
        <v>153</v>
      </c>
      <c r="B60" s="75" t="s">
        <v>154</v>
      </c>
      <c r="C60" s="75" t="s">
        <v>155</v>
      </c>
      <c r="D60" s="75" t="s">
        <v>156</v>
      </c>
      <c r="E60" s="127">
        <v>8081900</v>
      </c>
      <c r="F60" s="127">
        <v>4227800</v>
      </c>
      <c r="G60" s="127">
        <v>4066458.51</v>
      </c>
      <c r="H60" s="125">
        <f t="shared" si="22"/>
        <v>0.96183795591087562</v>
      </c>
      <c r="I60" s="127">
        <v>13233781</v>
      </c>
      <c r="J60" s="127">
        <v>1393642.02</v>
      </c>
      <c r="K60" s="125">
        <f>J60/I60</f>
        <v>0.10530943650949037</v>
      </c>
      <c r="L60" s="127"/>
      <c r="M60" s="160"/>
      <c r="N60" s="127">
        <f t="shared" si="23"/>
        <v>5460100.5299999993</v>
      </c>
      <c r="P60" s="24"/>
    </row>
    <row r="61" spans="1:16" ht="93" thickTop="1" thickBot="1" x14ac:dyDescent="0.25">
      <c r="A61" s="58" t="s">
        <v>157</v>
      </c>
      <c r="B61" s="75" t="s">
        <v>158</v>
      </c>
      <c r="C61" s="75" t="s">
        <v>159</v>
      </c>
      <c r="D61" s="75" t="s">
        <v>160</v>
      </c>
      <c r="E61" s="127">
        <v>25012900</v>
      </c>
      <c r="F61" s="127">
        <v>11047230</v>
      </c>
      <c r="G61" s="127">
        <v>9102790.0099999998</v>
      </c>
      <c r="H61" s="125">
        <f t="shared" si="22"/>
        <v>0.823988457740085</v>
      </c>
      <c r="I61" s="127"/>
      <c r="J61" s="127"/>
      <c r="K61" s="125"/>
      <c r="L61" s="93"/>
      <c r="M61" s="94"/>
      <c r="N61" s="127">
        <f t="shared" si="23"/>
        <v>9102790.0099999998</v>
      </c>
      <c r="O61" s="50"/>
      <c r="P61" s="24"/>
    </row>
    <row r="62" spans="1:16" ht="93" hidden="1" thickTop="1" thickBot="1" x14ac:dyDescent="0.25">
      <c r="A62" s="58" t="s">
        <v>161</v>
      </c>
      <c r="B62" s="58" t="s">
        <v>162</v>
      </c>
      <c r="C62" s="58" t="s">
        <v>163</v>
      </c>
      <c r="D62" s="58" t="s">
        <v>164</v>
      </c>
      <c r="E62" s="134"/>
      <c r="F62" s="134"/>
      <c r="G62" s="134"/>
      <c r="H62" s="135"/>
      <c r="I62" s="134"/>
      <c r="J62" s="134"/>
      <c r="K62" s="135" t="e">
        <f>J62/I62</f>
        <v>#DIV/0!</v>
      </c>
      <c r="L62" s="99"/>
      <c r="M62" s="101"/>
      <c r="N62" s="134">
        <f t="shared" si="23"/>
        <v>0</v>
      </c>
      <c r="P62" s="24"/>
    </row>
    <row r="63" spans="1:16" ht="123" thickTop="1" thickBot="1" x14ac:dyDescent="0.25">
      <c r="A63" s="58" t="s">
        <v>165</v>
      </c>
      <c r="B63" s="76" t="s">
        <v>166</v>
      </c>
      <c r="C63" s="76"/>
      <c r="D63" s="76" t="s">
        <v>167</v>
      </c>
      <c r="E63" s="128">
        <f>E64</f>
        <v>19127800</v>
      </c>
      <c r="F63" s="128">
        <f>F64</f>
        <v>9335120</v>
      </c>
      <c r="G63" s="128">
        <f t="shared" ref="G63" si="24">G64</f>
        <v>8578187.7100000009</v>
      </c>
      <c r="H63" s="129">
        <f t="shared" ref="H63:H64" si="25">G63/F63</f>
        <v>0.91891563365012996</v>
      </c>
      <c r="I63" s="128">
        <f>I64</f>
        <v>0</v>
      </c>
      <c r="J63" s="128">
        <f t="shared" ref="J63" si="26">J64</f>
        <v>0</v>
      </c>
      <c r="K63" s="129">
        <v>0</v>
      </c>
      <c r="L63" s="96"/>
      <c r="M63" s="96"/>
      <c r="N63" s="128">
        <f t="shared" si="23"/>
        <v>8578187.7100000009</v>
      </c>
      <c r="O63" s="50" t="s">
        <v>433</v>
      </c>
      <c r="P63" s="24"/>
    </row>
    <row r="64" spans="1:16" ht="138.75" thickTop="1" thickBot="1" x14ac:dyDescent="0.25">
      <c r="A64" s="58" t="s">
        <v>168</v>
      </c>
      <c r="B64" s="75" t="s">
        <v>169</v>
      </c>
      <c r="C64" s="75" t="s">
        <v>170</v>
      </c>
      <c r="D64" s="75" t="s">
        <v>171</v>
      </c>
      <c r="E64" s="127">
        <v>19127800</v>
      </c>
      <c r="F64" s="127">
        <v>9335120</v>
      </c>
      <c r="G64" s="127">
        <v>8578187.7100000009</v>
      </c>
      <c r="H64" s="125">
        <f t="shared" si="25"/>
        <v>0.91891563365012996</v>
      </c>
      <c r="I64" s="127"/>
      <c r="J64" s="127"/>
      <c r="K64" s="125"/>
      <c r="L64" s="93"/>
      <c r="M64" s="94"/>
      <c r="N64" s="127">
        <f t="shared" si="23"/>
        <v>8578187.7100000009</v>
      </c>
      <c r="P64" s="24"/>
    </row>
    <row r="65" spans="1:18" ht="138.75" hidden="1" customHeight="1" thickTop="1" thickBot="1" x14ac:dyDescent="0.25">
      <c r="A65" s="59" t="s">
        <v>172</v>
      </c>
      <c r="B65" s="59" t="s">
        <v>173</v>
      </c>
      <c r="C65" s="59"/>
      <c r="D65" s="59" t="s">
        <v>174</v>
      </c>
      <c r="E65" s="136">
        <f t="shared" ref="E65:G65" si="27">E66</f>
        <v>0</v>
      </c>
      <c r="F65" s="136">
        <f t="shared" si="27"/>
        <v>0</v>
      </c>
      <c r="G65" s="136">
        <f t="shared" si="27"/>
        <v>0</v>
      </c>
      <c r="H65" s="137"/>
      <c r="I65" s="136"/>
      <c r="J65" s="136"/>
      <c r="K65" s="137"/>
      <c r="L65" s="104"/>
      <c r="M65" s="104"/>
      <c r="N65" s="136">
        <f t="shared" si="23"/>
        <v>0</v>
      </c>
      <c r="O65" s="50"/>
      <c r="P65" s="24"/>
    </row>
    <row r="66" spans="1:18" ht="138.75" hidden="1" customHeight="1" thickTop="1" thickBot="1" x14ac:dyDescent="0.25">
      <c r="A66" s="58" t="s">
        <v>175</v>
      </c>
      <c r="B66" s="58" t="s">
        <v>176</v>
      </c>
      <c r="C66" s="58" t="s">
        <v>177</v>
      </c>
      <c r="D66" s="58" t="s">
        <v>178</v>
      </c>
      <c r="E66" s="134"/>
      <c r="F66" s="134"/>
      <c r="G66" s="134"/>
      <c r="H66" s="135"/>
      <c r="I66" s="134"/>
      <c r="J66" s="134"/>
      <c r="K66" s="134"/>
      <c r="L66" s="99"/>
      <c r="M66" s="101"/>
      <c r="N66" s="134">
        <f t="shared" si="23"/>
        <v>0</v>
      </c>
      <c r="P66" s="24"/>
    </row>
    <row r="67" spans="1:18" ht="93" thickTop="1" thickBot="1" x14ac:dyDescent="0.25">
      <c r="A67" s="58" t="s">
        <v>179</v>
      </c>
      <c r="B67" s="76" t="s">
        <v>180</v>
      </c>
      <c r="C67" s="76"/>
      <c r="D67" s="76" t="s">
        <v>181</v>
      </c>
      <c r="E67" s="128">
        <f>SUM(E68:E69)</f>
        <v>9849255</v>
      </c>
      <c r="F67" s="128">
        <f>SUM(F68:F69)</f>
        <v>3934080</v>
      </c>
      <c r="G67" s="128">
        <f t="shared" ref="G67:J67" si="28">SUM(G68:G69)</f>
        <v>3328305.0700000003</v>
      </c>
      <c r="H67" s="129">
        <f t="shared" ref="H67:H69" si="29">G67/F67</f>
        <v>0.84601865493330086</v>
      </c>
      <c r="I67" s="128">
        <f t="shared" si="28"/>
        <v>15180.06</v>
      </c>
      <c r="J67" s="128">
        <f t="shared" si="28"/>
        <v>3651.01</v>
      </c>
      <c r="K67" s="129">
        <f>J67/I67</f>
        <v>0.24051354210721171</v>
      </c>
      <c r="L67" s="96"/>
      <c r="M67" s="96"/>
      <c r="N67" s="128">
        <f t="shared" si="23"/>
        <v>3331956.08</v>
      </c>
      <c r="O67" s="50"/>
      <c r="P67" s="24"/>
    </row>
    <row r="68" spans="1:18" s="18" customFormat="1" ht="93" thickTop="1" thickBot="1" x14ac:dyDescent="0.25">
      <c r="A68" s="58" t="s">
        <v>182</v>
      </c>
      <c r="B68" s="75" t="s">
        <v>183</v>
      </c>
      <c r="C68" s="75" t="s">
        <v>177</v>
      </c>
      <c r="D68" s="138" t="s">
        <v>184</v>
      </c>
      <c r="E68" s="127">
        <v>4423055</v>
      </c>
      <c r="F68" s="127">
        <v>1927980</v>
      </c>
      <c r="G68" s="127">
        <v>1661882.07</v>
      </c>
      <c r="H68" s="125">
        <f t="shared" si="29"/>
        <v>0.86198096971960292</v>
      </c>
      <c r="I68" s="127">
        <v>15180.06</v>
      </c>
      <c r="J68" s="127">
        <v>3651.01</v>
      </c>
      <c r="K68" s="125">
        <f>J68/I68</f>
        <v>0.24051354210721171</v>
      </c>
      <c r="L68" s="93"/>
      <c r="M68" s="94"/>
      <c r="N68" s="127">
        <f t="shared" si="23"/>
        <v>1665533.08</v>
      </c>
      <c r="O68" s="20"/>
      <c r="P68" s="24"/>
    </row>
    <row r="69" spans="1:18" s="18" customFormat="1" ht="93" thickTop="1" thickBot="1" x14ac:dyDescent="0.25">
      <c r="A69" s="58" t="s">
        <v>185</v>
      </c>
      <c r="B69" s="75" t="s">
        <v>186</v>
      </c>
      <c r="C69" s="75" t="s">
        <v>177</v>
      </c>
      <c r="D69" s="138" t="s">
        <v>187</v>
      </c>
      <c r="E69" s="127">
        <v>5426200</v>
      </c>
      <c r="F69" s="127">
        <v>2006100</v>
      </c>
      <c r="G69" s="127">
        <v>1666423</v>
      </c>
      <c r="H69" s="125">
        <f t="shared" si="29"/>
        <v>0.83067793230646525</v>
      </c>
      <c r="I69" s="127"/>
      <c r="J69" s="127"/>
      <c r="K69" s="127"/>
      <c r="L69" s="127"/>
      <c r="M69" s="160"/>
      <c r="N69" s="127">
        <f t="shared" si="23"/>
        <v>1666423</v>
      </c>
      <c r="O69" s="20"/>
      <c r="P69" s="24"/>
    </row>
    <row r="70" spans="1:18" s="18" customFormat="1" ht="123" thickTop="1" thickBot="1" x14ac:dyDescent="0.25">
      <c r="A70" s="58"/>
      <c r="B70" s="76" t="s">
        <v>582</v>
      </c>
      <c r="C70" s="76"/>
      <c r="D70" s="76" t="s">
        <v>581</v>
      </c>
      <c r="E70" s="128">
        <f>E71</f>
        <v>0</v>
      </c>
      <c r="F70" s="128">
        <f>F71</f>
        <v>0</v>
      </c>
      <c r="G70" s="128">
        <f>G71</f>
        <v>0</v>
      </c>
      <c r="H70" s="129">
        <v>0</v>
      </c>
      <c r="I70" s="128">
        <f>I71</f>
        <v>2994000</v>
      </c>
      <c r="J70" s="128">
        <f>J71</f>
        <v>0</v>
      </c>
      <c r="K70" s="129">
        <f>J70/I70</f>
        <v>0</v>
      </c>
      <c r="L70" s="128"/>
      <c r="M70" s="128"/>
      <c r="N70" s="128">
        <f t="shared" ref="N70:N71" si="30">G70+J70</f>
        <v>0</v>
      </c>
      <c r="O70" s="50" t="s">
        <v>433</v>
      </c>
      <c r="P70" s="24"/>
    </row>
    <row r="71" spans="1:18" s="18" customFormat="1" ht="184.5" thickTop="1" thickBot="1" x14ac:dyDescent="0.25">
      <c r="A71" s="58"/>
      <c r="B71" s="75" t="s">
        <v>583</v>
      </c>
      <c r="C71" s="75" t="s">
        <v>177</v>
      </c>
      <c r="D71" s="138" t="s">
        <v>584</v>
      </c>
      <c r="E71" s="127"/>
      <c r="F71" s="127"/>
      <c r="G71" s="127"/>
      <c r="H71" s="125">
        <v>0</v>
      </c>
      <c r="I71" s="127">
        <v>2994000</v>
      </c>
      <c r="J71" s="127">
        <v>0</v>
      </c>
      <c r="K71" s="125">
        <f>J71/I71</f>
        <v>0</v>
      </c>
      <c r="L71" s="127"/>
      <c r="M71" s="160"/>
      <c r="N71" s="127">
        <f t="shared" si="30"/>
        <v>0</v>
      </c>
      <c r="O71" s="50" t="s">
        <v>433</v>
      </c>
      <c r="P71" s="24"/>
    </row>
    <row r="72" spans="1:18" ht="99" customHeight="1" thickTop="1" thickBot="1" x14ac:dyDescent="0.25">
      <c r="A72" s="57" t="s">
        <v>190</v>
      </c>
      <c r="B72" s="77" t="s">
        <v>139</v>
      </c>
      <c r="C72" s="77"/>
      <c r="D72" s="78" t="s">
        <v>140</v>
      </c>
      <c r="E72" s="79">
        <f>SUM(E73:E117)-E73-E82-E96-E98-E115-E93-E85-E88-E100</f>
        <v>296486962.73000002</v>
      </c>
      <c r="F72" s="79">
        <f>SUM(F73:F117)-F73-F82-F96-F98-F115-F93-F85-F88-F100</f>
        <v>175076854.33999997</v>
      </c>
      <c r="G72" s="79">
        <f>SUM(G73:G117)-G73-G82-G96-G98-G115-G93-G85-G88-G100</f>
        <v>149947476.72</v>
      </c>
      <c r="H72" s="80">
        <f>G72/F72</f>
        <v>0.85646659168779316</v>
      </c>
      <c r="I72" s="79">
        <f>SUM(I73:I117)-I73-I82-I96-I98-I115-I93-I85-I88-I100</f>
        <v>151409465.07999998</v>
      </c>
      <c r="J72" s="79">
        <f>SUM(J73:J117)-J73-J82-J96-J98-J115-J93-J85-J88-J100</f>
        <v>98491348.600000024</v>
      </c>
      <c r="K72" s="80">
        <f>J72/I72</f>
        <v>0.65049664198972168</v>
      </c>
      <c r="L72" s="79"/>
      <c r="M72" s="79"/>
      <c r="N72" s="81">
        <f>J72+G72</f>
        <v>248438825.32000002</v>
      </c>
      <c r="O72" s="53" t="b">
        <f>N72=N74+N75+N76+N77+N78+N79+N80+N81+N83+N84+N86+N89+N90+N92+N94+N95+N97+N99+N114+N116+N117+N91+N101+N104+N108</f>
        <v>1</v>
      </c>
      <c r="P72" s="26"/>
      <c r="R72" s="25"/>
    </row>
    <row r="73" spans="1:18" ht="276" customHeight="1" thickTop="1" thickBot="1" x14ac:dyDescent="0.25">
      <c r="A73" s="59" t="s">
        <v>191</v>
      </c>
      <c r="B73" s="76" t="s">
        <v>192</v>
      </c>
      <c r="C73" s="76"/>
      <c r="D73" s="76" t="s">
        <v>193</v>
      </c>
      <c r="E73" s="128">
        <f t="shared" ref="E73:J73" si="31">SUM(E74:E78)</f>
        <v>79408000</v>
      </c>
      <c r="F73" s="128">
        <f>SUM(F74:F78)</f>
        <v>39437713</v>
      </c>
      <c r="G73" s="128">
        <f t="shared" si="31"/>
        <v>35721306.390000001</v>
      </c>
      <c r="H73" s="129">
        <f>G73/F73</f>
        <v>0.9057651591003768</v>
      </c>
      <c r="I73" s="128">
        <f t="shared" si="31"/>
        <v>50000</v>
      </c>
      <c r="J73" s="128">
        <f t="shared" si="31"/>
        <v>0</v>
      </c>
      <c r="K73" s="129">
        <f t="shared" ref="K73:K74" si="32">J73/I73</f>
        <v>0</v>
      </c>
      <c r="L73" s="128"/>
      <c r="M73" s="128"/>
      <c r="N73" s="128">
        <f t="shared" si="23"/>
        <v>35721306.390000001</v>
      </c>
      <c r="O73" s="27"/>
      <c r="P73" s="28"/>
      <c r="R73" s="29"/>
    </row>
    <row r="74" spans="1:18" s="18" customFormat="1" ht="93" thickTop="1" thickBot="1" x14ac:dyDescent="0.25">
      <c r="A74" s="58" t="s">
        <v>194</v>
      </c>
      <c r="B74" s="75" t="s">
        <v>195</v>
      </c>
      <c r="C74" s="75" t="s">
        <v>83</v>
      </c>
      <c r="D74" s="139" t="s">
        <v>196</v>
      </c>
      <c r="E74" s="127">
        <v>858000</v>
      </c>
      <c r="F74" s="127">
        <v>392000</v>
      </c>
      <c r="G74" s="127">
        <v>382031.81</v>
      </c>
      <c r="H74" s="125">
        <f>G74/F74</f>
        <v>0.97457094387755105</v>
      </c>
      <c r="I74" s="127">
        <v>50000</v>
      </c>
      <c r="J74" s="127">
        <v>0</v>
      </c>
      <c r="K74" s="125">
        <f t="shared" si="32"/>
        <v>0</v>
      </c>
      <c r="L74" s="127"/>
      <c r="M74" s="160"/>
      <c r="N74" s="127">
        <f t="shared" si="23"/>
        <v>382031.81</v>
      </c>
      <c r="O74" s="20"/>
      <c r="P74" s="26"/>
    </row>
    <row r="75" spans="1:18" s="18" customFormat="1" ht="93" thickTop="1" thickBot="1" x14ac:dyDescent="0.25">
      <c r="A75" s="58" t="s">
        <v>197</v>
      </c>
      <c r="B75" s="75" t="s">
        <v>198</v>
      </c>
      <c r="C75" s="75" t="s">
        <v>93</v>
      </c>
      <c r="D75" s="75" t="s">
        <v>199</v>
      </c>
      <c r="E75" s="127">
        <v>650000</v>
      </c>
      <c r="F75" s="127">
        <v>315000</v>
      </c>
      <c r="G75" s="127">
        <v>264827.84999999998</v>
      </c>
      <c r="H75" s="125">
        <f t="shared" ref="H75:H117" si="33">G75/F75</f>
        <v>0.84072333333333327</v>
      </c>
      <c r="I75" s="127"/>
      <c r="J75" s="127"/>
      <c r="K75" s="127"/>
      <c r="L75" s="127"/>
      <c r="M75" s="160"/>
      <c r="N75" s="127">
        <f t="shared" si="23"/>
        <v>264827.84999999998</v>
      </c>
      <c r="O75" s="20"/>
      <c r="P75" s="30"/>
    </row>
    <row r="76" spans="1:18" s="18" customFormat="1" ht="138.75" thickTop="1" thickBot="1" x14ac:dyDescent="0.25">
      <c r="A76" s="58" t="s">
        <v>200</v>
      </c>
      <c r="B76" s="75" t="s">
        <v>201</v>
      </c>
      <c r="C76" s="75" t="s">
        <v>93</v>
      </c>
      <c r="D76" s="75" t="s">
        <v>202</v>
      </c>
      <c r="E76" s="127">
        <v>22200000</v>
      </c>
      <c r="F76" s="127">
        <v>11170713</v>
      </c>
      <c r="G76" s="127">
        <v>10817750.01</v>
      </c>
      <c r="H76" s="125">
        <f t="shared" si="33"/>
        <v>0.96840282352612583</v>
      </c>
      <c r="I76" s="127"/>
      <c r="J76" s="127"/>
      <c r="K76" s="127"/>
      <c r="L76" s="127"/>
      <c r="M76" s="160"/>
      <c r="N76" s="127">
        <f t="shared" si="23"/>
        <v>10817750.01</v>
      </c>
      <c r="O76" s="20"/>
      <c r="P76" s="30"/>
    </row>
    <row r="77" spans="1:18" s="18" customFormat="1" ht="138.75" thickTop="1" thickBot="1" x14ac:dyDescent="0.25">
      <c r="A77" s="58" t="s">
        <v>203</v>
      </c>
      <c r="B77" s="75" t="s">
        <v>204</v>
      </c>
      <c r="C77" s="75" t="s">
        <v>93</v>
      </c>
      <c r="D77" s="75" t="s">
        <v>205</v>
      </c>
      <c r="E77" s="127">
        <v>700000</v>
      </c>
      <c r="F77" s="127">
        <v>360000</v>
      </c>
      <c r="G77" s="127">
        <v>300742.71999999997</v>
      </c>
      <c r="H77" s="125">
        <f t="shared" si="33"/>
        <v>0.83539644444444439</v>
      </c>
      <c r="I77" s="127"/>
      <c r="J77" s="127"/>
      <c r="K77" s="127"/>
      <c r="L77" s="127"/>
      <c r="M77" s="160"/>
      <c r="N77" s="127">
        <f t="shared" si="23"/>
        <v>300742.71999999997</v>
      </c>
      <c r="O77" s="50"/>
      <c r="P77" s="30"/>
    </row>
    <row r="78" spans="1:18" s="18" customFormat="1" ht="138.75" thickTop="1" thickBot="1" x14ac:dyDescent="0.25">
      <c r="A78" s="58" t="s">
        <v>206</v>
      </c>
      <c r="B78" s="75" t="s">
        <v>207</v>
      </c>
      <c r="C78" s="75" t="s">
        <v>93</v>
      </c>
      <c r="D78" s="75" t="s">
        <v>208</v>
      </c>
      <c r="E78" s="127">
        <v>55000000</v>
      </c>
      <c r="F78" s="127">
        <v>27200000</v>
      </c>
      <c r="G78" s="127">
        <v>23955954</v>
      </c>
      <c r="H78" s="125">
        <f t="shared" si="33"/>
        <v>0.88073360294117642</v>
      </c>
      <c r="I78" s="127"/>
      <c r="J78" s="127"/>
      <c r="K78" s="127"/>
      <c r="L78" s="127"/>
      <c r="M78" s="160"/>
      <c r="N78" s="127">
        <f t="shared" si="23"/>
        <v>23955954</v>
      </c>
      <c r="O78" s="20"/>
      <c r="P78" s="30"/>
    </row>
    <row r="79" spans="1:18" s="18" customFormat="1" ht="138.75" thickTop="1" thickBot="1" x14ac:dyDescent="0.25">
      <c r="A79" s="58" t="s">
        <v>209</v>
      </c>
      <c r="B79" s="75" t="s">
        <v>210</v>
      </c>
      <c r="C79" s="75" t="s">
        <v>93</v>
      </c>
      <c r="D79" s="75" t="s">
        <v>211</v>
      </c>
      <c r="E79" s="127">
        <v>362971</v>
      </c>
      <c r="F79" s="127">
        <v>181484</v>
      </c>
      <c r="G79" s="127">
        <v>146490</v>
      </c>
      <c r="H79" s="125">
        <f t="shared" si="33"/>
        <v>0.80717859425624294</v>
      </c>
      <c r="I79" s="127"/>
      <c r="J79" s="127"/>
      <c r="K79" s="127"/>
      <c r="L79" s="127"/>
      <c r="M79" s="160"/>
      <c r="N79" s="127">
        <f t="shared" si="23"/>
        <v>146490</v>
      </c>
      <c r="O79" s="20"/>
      <c r="P79" s="30"/>
    </row>
    <row r="80" spans="1:18" s="18" customFormat="1" ht="165" customHeight="1" thickTop="1" thickBot="1" x14ac:dyDescent="0.25">
      <c r="A80" s="58"/>
      <c r="B80" s="75" t="s">
        <v>212</v>
      </c>
      <c r="C80" s="75" t="s">
        <v>93</v>
      </c>
      <c r="D80" s="75" t="s">
        <v>213</v>
      </c>
      <c r="E80" s="127">
        <v>1893100</v>
      </c>
      <c r="F80" s="127">
        <v>968100</v>
      </c>
      <c r="G80" s="127">
        <v>213387.48</v>
      </c>
      <c r="H80" s="125">
        <f t="shared" si="33"/>
        <v>0.22041884102881934</v>
      </c>
      <c r="I80" s="127"/>
      <c r="J80" s="127"/>
      <c r="K80" s="127"/>
      <c r="L80" s="127"/>
      <c r="M80" s="160"/>
      <c r="N80" s="127">
        <f>G80+J80</f>
        <v>213387.48</v>
      </c>
      <c r="O80" s="50"/>
      <c r="P80" s="30"/>
    </row>
    <row r="81" spans="1:16" ht="93" thickTop="1" thickBot="1" x14ac:dyDescent="0.25">
      <c r="A81" s="58" t="s">
        <v>214</v>
      </c>
      <c r="B81" s="75" t="s">
        <v>215</v>
      </c>
      <c r="C81" s="75" t="s">
        <v>83</v>
      </c>
      <c r="D81" s="75" t="s">
        <v>216</v>
      </c>
      <c r="E81" s="127">
        <v>470456</v>
      </c>
      <c r="F81" s="127">
        <v>235229</v>
      </c>
      <c r="G81" s="127">
        <v>103052</v>
      </c>
      <c r="H81" s="125">
        <f t="shared" si="33"/>
        <v>0.43809224202798125</v>
      </c>
      <c r="I81" s="127"/>
      <c r="J81" s="127"/>
      <c r="K81" s="127"/>
      <c r="L81" s="127"/>
      <c r="M81" s="160"/>
      <c r="N81" s="127">
        <f t="shared" si="23"/>
        <v>103052</v>
      </c>
      <c r="P81" s="30"/>
    </row>
    <row r="82" spans="1:16" s="18" customFormat="1" ht="184.5" thickTop="1" thickBot="1" x14ac:dyDescent="0.25">
      <c r="A82" s="76" t="s">
        <v>217</v>
      </c>
      <c r="B82" s="76" t="s">
        <v>218</v>
      </c>
      <c r="C82" s="76"/>
      <c r="D82" s="76" t="s">
        <v>219</v>
      </c>
      <c r="E82" s="128">
        <f t="shared" ref="E82:J82" si="34">SUM(E83:E84)</f>
        <v>65523559.719999999</v>
      </c>
      <c r="F82" s="128">
        <f t="shared" ref="F82" si="35">SUM(F83:F84)</f>
        <v>29769062.609999999</v>
      </c>
      <c r="G82" s="128">
        <f t="shared" si="34"/>
        <v>27708189.73</v>
      </c>
      <c r="H82" s="129">
        <f t="shared" si="33"/>
        <v>0.93077132098517235</v>
      </c>
      <c r="I82" s="128">
        <f t="shared" si="34"/>
        <v>2117370.34</v>
      </c>
      <c r="J82" s="128">
        <f t="shared" si="34"/>
        <v>1629041.39</v>
      </c>
      <c r="K82" s="129">
        <f t="shared" ref="K82:K87" si="36">J82/I82</f>
        <v>0.76937008100340165</v>
      </c>
      <c r="L82" s="128"/>
      <c r="M82" s="128"/>
      <c r="N82" s="128">
        <f t="shared" si="23"/>
        <v>29337231.120000001</v>
      </c>
      <c r="O82" s="20"/>
      <c r="P82" s="31"/>
    </row>
    <row r="83" spans="1:16" ht="184.5" thickTop="1" thickBot="1" x14ac:dyDescent="0.25">
      <c r="A83" s="75" t="s">
        <v>220</v>
      </c>
      <c r="B83" s="75" t="s">
        <v>221</v>
      </c>
      <c r="C83" s="75" t="s">
        <v>72</v>
      </c>
      <c r="D83" s="75" t="s">
        <v>222</v>
      </c>
      <c r="E83" s="127">
        <v>53657717.719999999</v>
      </c>
      <c r="F83" s="127">
        <v>24283066.609999999</v>
      </c>
      <c r="G83" s="127">
        <v>23198553.300000001</v>
      </c>
      <c r="H83" s="125">
        <f t="shared" si="33"/>
        <v>0.95533870052667125</v>
      </c>
      <c r="I83" s="127">
        <v>1583836.73</v>
      </c>
      <c r="J83" s="127">
        <v>1100832.3899999999</v>
      </c>
      <c r="K83" s="125">
        <f t="shared" si="36"/>
        <v>0.69504158424208273</v>
      </c>
      <c r="L83" s="127"/>
      <c r="M83" s="160"/>
      <c r="N83" s="127">
        <f t="shared" si="23"/>
        <v>24299385.690000001</v>
      </c>
      <c r="P83" s="26"/>
    </row>
    <row r="84" spans="1:16" ht="93" thickTop="1" thickBot="1" x14ac:dyDescent="0.25">
      <c r="A84" s="58" t="s">
        <v>223</v>
      </c>
      <c r="B84" s="75" t="s">
        <v>224</v>
      </c>
      <c r="C84" s="75" t="s">
        <v>68</v>
      </c>
      <c r="D84" s="75" t="s">
        <v>225</v>
      </c>
      <c r="E84" s="127">
        <v>11865842</v>
      </c>
      <c r="F84" s="127">
        <v>5485996</v>
      </c>
      <c r="G84" s="127">
        <v>4509636.43</v>
      </c>
      <c r="H84" s="125">
        <f t="shared" si="33"/>
        <v>0.82202692637763497</v>
      </c>
      <c r="I84" s="127">
        <v>533533.61</v>
      </c>
      <c r="J84" s="127">
        <v>528209</v>
      </c>
      <c r="K84" s="125">
        <f t="shared" si="36"/>
        <v>0.99002010388811312</v>
      </c>
      <c r="L84" s="93"/>
      <c r="M84" s="94"/>
      <c r="N84" s="127">
        <f t="shared" si="23"/>
        <v>5037845.43</v>
      </c>
      <c r="P84" s="26"/>
    </row>
    <row r="85" spans="1:16" ht="93" thickTop="1" thickBot="1" x14ac:dyDescent="0.25">
      <c r="A85" s="58"/>
      <c r="B85" s="76" t="s">
        <v>298</v>
      </c>
      <c r="C85" s="76"/>
      <c r="D85" s="76" t="s">
        <v>299</v>
      </c>
      <c r="E85" s="140">
        <f>E86+E87</f>
        <v>11456020.51</v>
      </c>
      <c r="F85" s="140">
        <f>F86+F87</f>
        <v>6075252.5099999998</v>
      </c>
      <c r="G85" s="140">
        <f>G86+G87</f>
        <v>4918793.71</v>
      </c>
      <c r="H85" s="129">
        <f t="shared" si="33"/>
        <v>0.80964432373856998</v>
      </c>
      <c r="I85" s="140">
        <f>I86+I87</f>
        <v>295207.57</v>
      </c>
      <c r="J85" s="140">
        <f>J86+J87</f>
        <v>267200.71000000002</v>
      </c>
      <c r="K85" s="129">
        <f t="shared" si="36"/>
        <v>0.90512824586442686</v>
      </c>
      <c r="L85" s="122"/>
      <c r="M85" s="122"/>
      <c r="N85" s="128">
        <f>G85+J85</f>
        <v>5185994.42</v>
      </c>
      <c r="O85" s="50"/>
      <c r="P85" s="26"/>
    </row>
    <row r="86" spans="1:16" ht="93" thickTop="1" thickBot="1" x14ac:dyDescent="0.25">
      <c r="A86" s="58"/>
      <c r="B86" s="75" t="s">
        <v>300</v>
      </c>
      <c r="C86" s="75" t="s">
        <v>141</v>
      </c>
      <c r="D86" s="75" t="s">
        <v>301</v>
      </c>
      <c r="E86" s="141">
        <v>11456020.51</v>
      </c>
      <c r="F86" s="141">
        <v>6075252.5099999998</v>
      </c>
      <c r="G86" s="141">
        <v>4918793.71</v>
      </c>
      <c r="H86" s="125">
        <f t="shared" si="33"/>
        <v>0.80964432373856998</v>
      </c>
      <c r="I86" s="141">
        <v>295207.57</v>
      </c>
      <c r="J86" s="164">
        <v>267200.71000000002</v>
      </c>
      <c r="K86" s="125">
        <f t="shared" si="36"/>
        <v>0.90512824586442686</v>
      </c>
      <c r="L86" s="107"/>
      <c r="M86" s="94"/>
      <c r="N86" s="127">
        <f t="shared" si="23"/>
        <v>5185994.42</v>
      </c>
      <c r="P86" s="26"/>
    </row>
    <row r="87" spans="1:16" ht="276" hidden="1" customHeight="1" thickTop="1" thickBot="1" x14ac:dyDescent="0.25">
      <c r="A87" s="58"/>
      <c r="B87" s="98" t="s">
        <v>463</v>
      </c>
      <c r="C87" s="98" t="s">
        <v>141</v>
      </c>
      <c r="D87" s="98" t="s">
        <v>464</v>
      </c>
      <c r="E87" s="108"/>
      <c r="F87" s="108"/>
      <c r="G87" s="108"/>
      <c r="H87" s="91" t="e">
        <f t="shared" si="33"/>
        <v>#DIV/0!</v>
      </c>
      <c r="I87" s="108"/>
      <c r="J87" s="109"/>
      <c r="K87" s="100" t="e">
        <f t="shared" si="36"/>
        <v>#DIV/0!</v>
      </c>
      <c r="L87" s="109"/>
      <c r="M87" s="101"/>
      <c r="N87" s="99">
        <f t="shared" si="23"/>
        <v>0</v>
      </c>
      <c r="P87" s="26"/>
    </row>
    <row r="88" spans="1:16" ht="93" thickTop="1" thickBot="1" x14ac:dyDescent="0.25">
      <c r="A88" s="75"/>
      <c r="B88" s="76" t="s">
        <v>302</v>
      </c>
      <c r="C88" s="76"/>
      <c r="D88" s="76" t="s">
        <v>303</v>
      </c>
      <c r="E88" s="142">
        <f t="shared" ref="E88:G88" si="37">SUM(E89:E90)</f>
        <v>13273719</v>
      </c>
      <c r="F88" s="142">
        <f t="shared" ref="F88" si="38">SUM(F89:F90)</f>
        <v>7216168</v>
      </c>
      <c r="G88" s="142">
        <f t="shared" si="37"/>
        <v>5927982.9299999997</v>
      </c>
      <c r="H88" s="129">
        <f t="shared" si="33"/>
        <v>0.82148626944383774</v>
      </c>
      <c r="I88" s="142">
        <f t="shared" ref="I88:J88" si="39">SUM(I89:I90)</f>
        <v>1026487.89</v>
      </c>
      <c r="J88" s="142">
        <f t="shared" si="39"/>
        <v>577208.64</v>
      </c>
      <c r="K88" s="129">
        <f t="shared" ref="K88:K90" si="40">J88/I88</f>
        <v>0.56231412530351432</v>
      </c>
      <c r="L88" s="142"/>
      <c r="M88" s="142"/>
      <c r="N88" s="128">
        <f t="shared" si="23"/>
        <v>6505191.5699999994</v>
      </c>
      <c r="P88" s="26"/>
    </row>
    <row r="89" spans="1:16" ht="93" thickTop="1" thickBot="1" x14ac:dyDescent="0.25">
      <c r="A89" s="75"/>
      <c r="B89" s="75" t="s">
        <v>304</v>
      </c>
      <c r="C89" s="75" t="s">
        <v>141</v>
      </c>
      <c r="D89" s="75" t="s">
        <v>305</v>
      </c>
      <c r="E89" s="141">
        <v>5976842</v>
      </c>
      <c r="F89" s="141">
        <v>3148980</v>
      </c>
      <c r="G89" s="141">
        <v>2681195.77</v>
      </c>
      <c r="H89" s="125">
        <f t="shared" si="33"/>
        <v>0.85144896760220767</v>
      </c>
      <c r="I89" s="141">
        <v>1006419</v>
      </c>
      <c r="J89" s="164">
        <v>563668.64</v>
      </c>
      <c r="K89" s="125">
        <f t="shared" si="40"/>
        <v>0.56007352802361643</v>
      </c>
      <c r="L89" s="164"/>
      <c r="M89" s="160"/>
      <c r="N89" s="127">
        <f t="shared" si="23"/>
        <v>3244864.41</v>
      </c>
      <c r="P89" s="26"/>
    </row>
    <row r="90" spans="1:16" ht="48" thickTop="1" thickBot="1" x14ac:dyDescent="0.25">
      <c r="A90" s="75"/>
      <c r="B90" s="75" t="s">
        <v>306</v>
      </c>
      <c r="C90" s="75" t="s">
        <v>141</v>
      </c>
      <c r="D90" s="75" t="s">
        <v>307</v>
      </c>
      <c r="E90" s="141">
        <v>7296877</v>
      </c>
      <c r="F90" s="141">
        <v>4067188</v>
      </c>
      <c r="G90" s="141">
        <v>3246787.16</v>
      </c>
      <c r="H90" s="125">
        <f t="shared" si="33"/>
        <v>0.79828794734838915</v>
      </c>
      <c r="I90" s="141">
        <v>20068.89</v>
      </c>
      <c r="J90" s="164">
        <v>13540</v>
      </c>
      <c r="K90" s="125">
        <f t="shared" si="40"/>
        <v>0.6746760782484732</v>
      </c>
      <c r="L90" s="107"/>
      <c r="M90" s="94"/>
      <c r="N90" s="127">
        <f t="shared" si="23"/>
        <v>3260327.16</v>
      </c>
      <c r="P90" s="26"/>
    </row>
    <row r="91" spans="1:16" ht="230.25" thickTop="1" thickBot="1" x14ac:dyDescent="0.25">
      <c r="A91" s="75"/>
      <c r="B91" s="75" t="s">
        <v>540</v>
      </c>
      <c r="C91" s="75" t="s">
        <v>141</v>
      </c>
      <c r="D91" s="75" t="s">
        <v>541</v>
      </c>
      <c r="E91" s="141">
        <v>715000</v>
      </c>
      <c r="F91" s="141">
        <v>0</v>
      </c>
      <c r="G91" s="141">
        <v>0</v>
      </c>
      <c r="H91" s="125">
        <v>0</v>
      </c>
      <c r="I91" s="141"/>
      <c r="J91" s="164"/>
      <c r="K91" s="125"/>
      <c r="L91" s="164"/>
      <c r="M91" s="160"/>
      <c r="N91" s="127">
        <f t="shared" ref="N91" si="41">G91+J91</f>
        <v>0</v>
      </c>
      <c r="O91" s="50" t="s">
        <v>433</v>
      </c>
      <c r="P91" s="26"/>
    </row>
    <row r="92" spans="1:16" ht="276" thickTop="1" thickBot="1" x14ac:dyDescent="0.25">
      <c r="A92" s="58" t="s">
        <v>226</v>
      </c>
      <c r="B92" s="75" t="s">
        <v>227</v>
      </c>
      <c r="C92" s="75" t="s">
        <v>68</v>
      </c>
      <c r="D92" s="75" t="s">
        <v>228</v>
      </c>
      <c r="E92" s="127">
        <v>5126500</v>
      </c>
      <c r="F92" s="127">
        <v>2565000</v>
      </c>
      <c r="G92" s="127">
        <v>2294590.34</v>
      </c>
      <c r="H92" s="125">
        <f t="shared" si="33"/>
        <v>0.89457713060428845</v>
      </c>
      <c r="I92" s="154"/>
      <c r="J92" s="127"/>
      <c r="K92" s="127"/>
      <c r="L92" s="127"/>
      <c r="M92" s="160"/>
      <c r="N92" s="127">
        <f t="shared" si="23"/>
        <v>2294590.34</v>
      </c>
      <c r="P92" s="30"/>
    </row>
    <row r="93" spans="1:16" ht="93" thickTop="1" thickBot="1" x14ac:dyDescent="0.25">
      <c r="A93" s="76" t="s">
        <v>229</v>
      </c>
      <c r="B93" s="76" t="s">
        <v>230</v>
      </c>
      <c r="C93" s="76"/>
      <c r="D93" s="76" t="s">
        <v>231</v>
      </c>
      <c r="E93" s="128">
        <f>E94</f>
        <v>184607</v>
      </c>
      <c r="F93" s="128">
        <f>F94</f>
        <v>92304</v>
      </c>
      <c r="G93" s="128">
        <f t="shared" ref="G93" si="42">G94</f>
        <v>76808.55</v>
      </c>
      <c r="H93" s="129">
        <f t="shared" si="33"/>
        <v>0.83212591003640146</v>
      </c>
      <c r="I93" s="128"/>
      <c r="J93" s="128"/>
      <c r="K93" s="129"/>
      <c r="L93" s="128"/>
      <c r="M93" s="128"/>
      <c r="N93" s="128">
        <f t="shared" si="23"/>
        <v>76808.55</v>
      </c>
      <c r="O93" s="50"/>
      <c r="P93" s="30"/>
    </row>
    <row r="94" spans="1:16" ht="184.5" thickTop="1" thickBot="1" x14ac:dyDescent="0.25">
      <c r="A94" s="75" t="s">
        <v>232</v>
      </c>
      <c r="B94" s="75" t="s">
        <v>233</v>
      </c>
      <c r="C94" s="75" t="s">
        <v>68</v>
      </c>
      <c r="D94" s="75" t="s">
        <v>234</v>
      </c>
      <c r="E94" s="127">
        <v>184607</v>
      </c>
      <c r="F94" s="127">
        <v>92304</v>
      </c>
      <c r="G94" s="127">
        <v>76808.55</v>
      </c>
      <c r="H94" s="125">
        <f t="shared" si="33"/>
        <v>0.83212591003640146</v>
      </c>
      <c r="I94" s="154"/>
      <c r="J94" s="127"/>
      <c r="K94" s="127"/>
      <c r="L94" s="127"/>
      <c r="M94" s="160"/>
      <c r="N94" s="127">
        <f t="shared" si="23"/>
        <v>76808.55</v>
      </c>
      <c r="P94" s="30"/>
    </row>
    <row r="95" spans="1:16" ht="230.25" thickTop="1" thickBot="1" x14ac:dyDescent="0.25">
      <c r="A95" s="58" t="s">
        <v>235</v>
      </c>
      <c r="B95" s="75" t="s">
        <v>236</v>
      </c>
      <c r="C95" s="75" t="s">
        <v>88</v>
      </c>
      <c r="D95" s="75" t="s">
        <v>237</v>
      </c>
      <c r="E95" s="127">
        <v>2687933.28</v>
      </c>
      <c r="F95" s="127">
        <v>1376000</v>
      </c>
      <c r="G95" s="127">
        <v>1257354.3500000001</v>
      </c>
      <c r="H95" s="125">
        <f t="shared" si="33"/>
        <v>0.91377496366279076</v>
      </c>
      <c r="I95" s="154"/>
      <c r="J95" s="127"/>
      <c r="K95" s="127"/>
      <c r="L95" s="127"/>
      <c r="M95" s="160"/>
      <c r="N95" s="127">
        <f t="shared" si="23"/>
        <v>1257354.3500000001</v>
      </c>
      <c r="P95" s="30"/>
    </row>
    <row r="96" spans="1:16" s="18" customFormat="1" ht="93" thickTop="1" thickBot="1" x14ac:dyDescent="0.25">
      <c r="A96" s="76" t="s">
        <v>238</v>
      </c>
      <c r="B96" s="76" t="s">
        <v>239</v>
      </c>
      <c r="C96" s="76"/>
      <c r="D96" s="76" t="s">
        <v>240</v>
      </c>
      <c r="E96" s="128">
        <f t="shared" ref="E96:G96" si="43">E97</f>
        <v>1000000</v>
      </c>
      <c r="F96" s="128">
        <f t="shared" si="43"/>
        <v>1000000</v>
      </c>
      <c r="G96" s="128">
        <f t="shared" si="43"/>
        <v>271147.33</v>
      </c>
      <c r="H96" s="125">
        <f t="shared" si="33"/>
        <v>0.27114733000000002</v>
      </c>
      <c r="I96" s="128"/>
      <c r="J96" s="128"/>
      <c r="K96" s="129"/>
      <c r="L96" s="128"/>
      <c r="M96" s="128"/>
      <c r="N96" s="128">
        <f>G96+J96</f>
        <v>271147.33</v>
      </c>
      <c r="O96" s="50"/>
      <c r="P96" s="31"/>
    </row>
    <row r="97" spans="1:16" ht="138.75" thickTop="1" thickBot="1" x14ac:dyDescent="0.25">
      <c r="A97" s="75" t="s">
        <v>241</v>
      </c>
      <c r="B97" s="75" t="s">
        <v>242</v>
      </c>
      <c r="C97" s="75" t="s">
        <v>83</v>
      </c>
      <c r="D97" s="75" t="s">
        <v>243</v>
      </c>
      <c r="E97" s="127">
        <v>1000000</v>
      </c>
      <c r="F97" s="127">
        <v>1000000</v>
      </c>
      <c r="G97" s="127">
        <v>271147.33</v>
      </c>
      <c r="H97" s="125">
        <f t="shared" si="33"/>
        <v>0.27114733000000002</v>
      </c>
      <c r="I97" s="127"/>
      <c r="J97" s="127"/>
      <c r="K97" s="127"/>
      <c r="L97" s="127"/>
      <c r="M97" s="160"/>
      <c r="N97" s="127">
        <f t="shared" si="23"/>
        <v>271147.33</v>
      </c>
      <c r="P97" s="30"/>
    </row>
    <row r="98" spans="1:16" s="18" customFormat="1" ht="93" thickTop="1" thickBot="1" x14ac:dyDescent="0.25">
      <c r="A98" s="76" t="s">
        <v>244</v>
      </c>
      <c r="B98" s="76" t="s">
        <v>245</v>
      </c>
      <c r="C98" s="76"/>
      <c r="D98" s="76" t="s">
        <v>246</v>
      </c>
      <c r="E98" s="128">
        <f t="shared" ref="E98:J98" si="44">E99</f>
        <v>117000</v>
      </c>
      <c r="F98" s="128">
        <f t="shared" si="44"/>
        <v>58500</v>
      </c>
      <c r="G98" s="128">
        <f t="shared" si="44"/>
        <v>34508.15</v>
      </c>
      <c r="H98" s="129">
        <f t="shared" si="33"/>
        <v>0.58988290598290605</v>
      </c>
      <c r="I98" s="128">
        <f t="shared" si="44"/>
        <v>59257.36</v>
      </c>
      <c r="J98" s="128">
        <f t="shared" si="44"/>
        <v>59257.36</v>
      </c>
      <c r="K98" s="129">
        <f t="shared" ref="K98" si="45">J98/I98</f>
        <v>1</v>
      </c>
      <c r="L98" s="96"/>
      <c r="M98" s="96"/>
      <c r="N98" s="128">
        <f>G98+J98</f>
        <v>93765.510000000009</v>
      </c>
      <c r="O98" s="50"/>
      <c r="P98" s="31"/>
    </row>
    <row r="99" spans="1:16" ht="93" thickTop="1" thickBot="1" x14ac:dyDescent="0.25">
      <c r="A99" s="75" t="s">
        <v>247</v>
      </c>
      <c r="B99" s="75" t="s">
        <v>248</v>
      </c>
      <c r="C99" s="75" t="s">
        <v>249</v>
      </c>
      <c r="D99" s="75" t="s">
        <v>250</v>
      </c>
      <c r="E99" s="127">
        <v>117000</v>
      </c>
      <c r="F99" s="127">
        <v>58500</v>
      </c>
      <c r="G99" s="127">
        <v>34508.15</v>
      </c>
      <c r="H99" s="125">
        <f t="shared" si="33"/>
        <v>0.58988290598290605</v>
      </c>
      <c r="I99" s="127">
        <v>59257.36</v>
      </c>
      <c r="J99" s="127">
        <v>59257.36</v>
      </c>
      <c r="K99" s="125">
        <f t="shared" ref="K99" si="46">J99/I99</f>
        <v>1</v>
      </c>
      <c r="L99" s="93"/>
      <c r="M99" s="94"/>
      <c r="N99" s="127">
        <f>G99+J99</f>
        <v>93765.510000000009</v>
      </c>
      <c r="P99" s="30"/>
    </row>
    <row r="100" spans="1:16" ht="138.75" hidden="1" thickTop="1" thickBot="1" x14ac:dyDescent="0.25">
      <c r="A100" s="75"/>
      <c r="B100" s="95" t="s">
        <v>476</v>
      </c>
      <c r="C100" s="95"/>
      <c r="D100" s="95" t="s">
        <v>477</v>
      </c>
      <c r="E100" s="96">
        <f>E101+E104+E108+E111</f>
        <v>0</v>
      </c>
      <c r="F100" s="96">
        <f>F101+F104+F108+F111</f>
        <v>0</v>
      </c>
      <c r="G100" s="96">
        <f t="shared" ref="G100" si="47">G101+G104+G108+G111</f>
        <v>0</v>
      </c>
      <c r="H100" s="91">
        <v>0</v>
      </c>
      <c r="I100" s="128">
        <f>I101+I104+I108+I111</f>
        <v>0</v>
      </c>
      <c r="J100" s="128">
        <f>J101+J104+J108+J111</f>
        <v>0</v>
      </c>
      <c r="K100" s="129" t="e">
        <f>J100/I100</f>
        <v>#DIV/0!</v>
      </c>
      <c r="L100" s="93"/>
      <c r="M100" s="94"/>
      <c r="N100" s="96">
        <f>G100+J100</f>
        <v>0</v>
      </c>
      <c r="O100" s="50" t="s">
        <v>433</v>
      </c>
      <c r="P100" s="30"/>
    </row>
    <row r="101" spans="1:16" ht="276" hidden="1" thickTop="1" thickBot="1" x14ac:dyDescent="0.7">
      <c r="A101" s="75"/>
      <c r="B101" s="185" t="s">
        <v>478</v>
      </c>
      <c r="C101" s="185" t="s">
        <v>88</v>
      </c>
      <c r="D101" s="110" t="s">
        <v>479</v>
      </c>
      <c r="E101" s="188"/>
      <c r="F101" s="188"/>
      <c r="G101" s="188"/>
      <c r="H101" s="188"/>
      <c r="I101" s="194"/>
      <c r="J101" s="194"/>
      <c r="K101" s="191" t="e">
        <f>J101/I101</f>
        <v>#DIV/0!</v>
      </c>
      <c r="L101" s="93"/>
      <c r="M101" s="94"/>
      <c r="N101" s="188">
        <f>G101+J101</f>
        <v>0</v>
      </c>
      <c r="P101" s="30"/>
    </row>
    <row r="102" spans="1:16" ht="228.75" hidden="1" customHeight="1" thickTop="1" thickBot="1" x14ac:dyDescent="0.25">
      <c r="A102" s="75"/>
      <c r="B102" s="186"/>
      <c r="C102" s="186"/>
      <c r="D102" s="111" t="s">
        <v>480</v>
      </c>
      <c r="E102" s="189"/>
      <c r="F102" s="189"/>
      <c r="G102" s="189"/>
      <c r="H102" s="189"/>
      <c r="I102" s="195"/>
      <c r="J102" s="195"/>
      <c r="K102" s="192"/>
      <c r="L102" s="93"/>
      <c r="M102" s="94"/>
      <c r="N102" s="189"/>
      <c r="P102" s="30"/>
    </row>
    <row r="103" spans="1:16" ht="230.25" hidden="1" thickTop="1" thickBot="1" x14ac:dyDescent="0.25">
      <c r="A103" s="75"/>
      <c r="B103" s="187"/>
      <c r="C103" s="187"/>
      <c r="D103" s="112" t="s">
        <v>481</v>
      </c>
      <c r="E103" s="190"/>
      <c r="F103" s="190"/>
      <c r="G103" s="190"/>
      <c r="H103" s="190"/>
      <c r="I103" s="196"/>
      <c r="J103" s="196"/>
      <c r="K103" s="193"/>
      <c r="L103" s="93"/>
      <c r="M103" s="94"/>
      <c r="N103" s="190"/>
      <c r="P103" s="30"/>
    </row>
    <row r="104" spans="1:16" ht="255" hidden="1" customHeight="1" thickTop="1" thickBot="1" x14ac:dyDescent="0.7">
      <c r="A104" s="75"/>
      <c r="B104" s="185" t="s">
        <v>482</v>
      </c>
      <c r="C104" s="185" t="s">
        <v>88</v>
      </c>
      <c r="D104" s="110" t="s">
        <v>483</v>
      </c>
      <c r="E104" s="188"/>
      <c r="F104" s="188"/>
      <c r="G104" s="188"/>
      <c r="H104" s="188"/>
      <c r="I104" s="194"/>
      <c r="J104" s="194">
        <v>0</v>
      </c>
      <c r="K104" s="191" t="e">
        <f>J104/I104</f>
        <v>#DIV/0!</v>
      </c>
      <c r="L104" s="93"/>
      <c r="M104" s="94"/>
      <c r="N104" s="188">
        <f>G104+J104</f>
        <v>0</v>
      </c>
      <c r="P104" s="30"/>
    </row>
    <row r="105" spans="1:16" ht="270.75" hidden="1" customHeight="1" thickTop="1" thickBot="1" x14ac:dyDescent="0.25">
      <c r="A105" s="75"/>
      <c r="B105" s="186"/>
      <c r="C105" s="186"/>
      <c r="D105" s="111" t="s">
        <v>484</v>
      </c>
      <c r="E105" s="189"/>
      <c r="F105" s="189"/>
      <c r="G105" s="189"/>
      <c r="H105" s="189"/>
      <c r="I105" s="195"/>
      <c r="J105" s="195"/>
      <c r="K105" s="192"/>
      <c r="L105" s="93"/>
      <c r="M105" s="94"/>
      <c r="N105" s="189"/>
      <c r="P105" s="30"/>
    </row>
    <row r="106" spans="1:16" ht="276" hidden="1" thickTop="1" thickBot="1" x14ac:dyDescent="0.25">
      <c r="A106" s="75"/>
      <c r="B106" s="186"/>
      <c r="C106" s="186"/>
      <c r="D106" s="111" t="s">
        <v>485</v>
      </c>
      <c r="E106" s="189"/>
      <c r="F106" s="189"/>
      <c r="G106" s="189"/>
      <c r="H106" s="189"/>
      <c r="I106" s="195"/>
      <c r="J106" s="195"/>
      <c r="K106" s="192"/>
      <c r="L106" s="93"/>
      <c r="M106" s="94"/>
      <c r="N106" s="189"/>
      <c r="P106" s="30"/>
    </row>
    <row r="107" spans="1:16" ht="138.75" hidden="1" thickTop="1" thickBot="1" x14ac:dyDescent="0.25">
      <c r="A107" s="75"/>
      <c r="B107" s="187"/>
      <c r="C107" s="187"/>
      <c r="D107" s="112" t="s">
        <v>486</v>
      </c>
      <c r="E107" s="190"/>
      <c r="F107" s="190"/>
      <c r="G107" s="190"/>
      <c r="H107" s="190"/>
      <c r="I107" s="196"/>
      <c r="J107" s="196"/>
      <c r="K107" s="193"/>
      <c r="L107" s="93"/>
      <c r="M107" s="94"/>
      <c r="N107" s="190"/>
      <c r="P107" s="30"/>
    </row>
    <row r="108" spans="1:16" ht="276" hidden="1" thickTop="1" thickBot="1" x14ac:dyDescent="0.7">
      <c r="A108" s="75"/>
      <c r="B108" s="185" t="s">
        <v>487</v>
      </c>
      <c r="C108" s="185" t="s">
        <v>88</v>
      </c>
      <c r="D108" s="110" t="s">
        <v>488</v>
      </c>
      <c r="E108" s="188"/>
      <c r="F108" s="188"/>
      <c r="G108" s="188"/>
      <c r="H108" s="188"/>
      <c r="I108" s="194">
        <v>0</v>
      </c>
      <c r="J108" s="194">
        <v>0</v>
      </c>
      <c r="K108" s="191" t="e">
        <f>J108/I108</f>
        <v>#DIV/0!</v>
      </c>
      <c r="L108" s="93"/>
      <c r="M108" s="94"/>
      <c r="N108" s="188">
        <f>G108+J108</f>
        <v>0</v>
      </c>
      <c r="P108" s="30"/>
    </row>
    <row r="109" spans="1:16" ht="276" hidden="1" thickTop="1" thickBot="1" x14ac:dyDescent="0.25">
      <c r="A109" s="75"/>
      <c r="B109" s="186"/>
      <c r="C109" s="186"/>
      <c r="D109" s="111" t="s">
        <v>489</v>
      </c>
      <c r="E109" s="189"/>
      <c r="F109" s="189"/>
      <c r="G109" s="189"/>
      <c r="H109" s="189"/>
      <c r="I109" s="195"/>
      <c r="J109" s="195"/>
      <c r="K109" s="192"/>
      <c r="L109" s="93"/>
      <c r="M109" s="94"/>
      <c r="N109" s="189"/>
      <c r="P109" s="30"/>
    </row>
    <row r="110" spans="1:16" ht="93" hidden="1" thickTop="1" thickBot="1" x14ac:dyDescent="0.25">
      <c r="A110" s="75"/>
      <c r="B110" s="187"/>
      <c r="C110" s="187"/>
      <c r="D110" s="112" t="s">
        <v>490</v>
      </c>
      <c r="E110" s="190"/>
      <c r="F110" s="190"/>
      <c r="G110" s="190"/>
      <c r="H110" s="190"/>
      <c r="I110" s="196"/>
      <c r="J110" s="196"/>
      <c r="K110" s="193"/>
      <c r="L110" s="93"/>
      <c r="M110" s="94"/>
      <c r="N110" s="190"/>
      <c r="P110" s="30"/>
    </row>
    <row r="111" spans="1:16" ht="276" hidden="1" thickTop="1" thickBot="1" x14ac:dyDescent="0.7">
      <c r="A111" s="75"/>
      <c r="B111" s="185" t="s">
        <v>491</v>
      </c>
      <c r="C111" s="185" t="s">
        <v>88</v>
      </c>
      <c r="D111" s="110" t="s">
        <v>492</v>
      </c>
      <c r="E111" s="188"/>
      <c r="F111" s="188"/>
      <c r="G111" s="188"/>
      <c r="H111" s="188"/>
      <c r="I111" s="194"/>
      <c r="J111" s="194"/>
      <c r="K111" s="191" t="e">
        <f>J111/I111</f>
        <v>#DIV/0!</v>
      </c>
      <c r="L111" s="93"/>
      <c r="M111" s="94"/>
      <c r="N111" s="188">
        <f t="shared" si="23"/>
        <v>0</v>
      </c>
      <c r="P111" s="30"/>
    </row>
    <row r="112" spans="1:16" ht="230.25" hidden="1" thickTop="1" thickBot="1" x14ac:dyDescent="0.25">
      <c r="A112" s="75"/>
      <c r="B112" s="186"/>
      <c r="C112" s="186"/>
      <c r="D112" s="111" t="s">
        <v>493</v>
      </c>
      <c r="E112" s="189"/>
      <c r="F112" s="189"/>
      <c r="G112" s="189"/>
      <c r="H112" s="189"/>
      <c r="I112" s="195"/>
      <c r="J112" s="195"/>
      <c r="K112" s="192"/>
      <c r="L112" s="93"/>
      <c r="M112" s="94"/>
      <c r="N112" s="189"/>
      <c r="P112" s="30"/>
    </row>
    <row r="113" spans="1:16" ht="48" hidden="1" thickTop="1" thickBot="1" x14ac:dyDescent="0.25">
      <c r="A113" s="75"/>
      <c r="B113" s="187"/>
      <c r="C113" s="187"/>
      <c r="D113" s="112" t="s">
        <v>494</v>
      </c>
      <c r="E113" s="190"/>
      <c r="F113" s="190"/>
      <c r="G113" s="190"/>
      <c r="H113" s="190"/>
      <c r="I113" s="196"/>
      <c r="J113" s="196"/>
      <c r="K113" s="193"/>
      <c r="L113" s="93"/>
      <c r="M113" s="94"/>
      <c r="N113" s="190"/>
      <c r="P113" s="30"/>
    </row>
    <row r="114" spans="1:16" ht="138.75" thickTop="1" thickBot="1" x14ac:dyDescent="0.25">
      <c r="A114" s="75"/>
      <c r="B114" s="75" t="s">
        <v>531</v>
      </c>
      <c r="C114" s="143" t="s">
        <v>93</v>
      </c>
      <c r="D114" s="143" t="s">
        <v>542</v>
      </c>
      <c r="E114" s="144">
        <v>10236542.220000001</v>
      </c>
      <c r="F114" s="144">
        <v>5676508.2199999997</v>
      </c>
      <c r="G114" s="144">
        <v>3334580.56</v>
      </c>
      <c r="H114" s="125">
        <f t="shared" si="33"/>
        <v>0.58743516802306339</v>
      </c>
      <c r="I114" s="144">
        <f>47698151.49+59565020.54+8052064+122498</f>
        <v>115437734.03</v>
      </c>
      <c r="J114" s="144">
        <v>91229206.010000005</v>
      </c>
      <c r="K114" s="125">
        <f t="shared" ref="K114" si="48">J114/I114</f>
        <v>0.79028929991203156</v>
      </c>
      <c r="L114" s="93"/>
      <c r="M114" s="94"/>
      <c r="N114" s="127">
        <f t="shared" si="23"/>
        <v>94563786.570000008</v>
      </c>
      <c r="P114" s="30"/>
    </row>
    <row r="115" spans="1:16" s="18" customFormat="1" ht="93" thickTop="1" thickBot="1" x14ac:dyDescent="0.25">
      <c r="A115" s="76" t="s">
        <v>251</v>
      </c>
      <c r="B115" s="76" t="s">
        <v>252</v>
      </c>
      <c r="C115" s="76"/>
      <c r="D115" s="76" t="s">
        <v>253</v>
      </c>
      <c r="E115" s="128">
        <f t="shared" ref="E115:J115" si="49">SUM(E116:E117)</f>
        <v>104031554</v>
      </c>
      <c r="F115" s="128">
        <f t="shared" ref="F115" si="50">SUM(F116:F117)</f>
        <v>80425533</v>
      </c>
      <c r="G115" s="128">
        <f t="shared" si="49"/>
        <v>67939285.200000003</v>
      </c>
      <c r="H115" s="129">
        <f t="shared" si="33"/>
        <v>0.84474771463435627</v>
      </c>
      <c r="I115" s="128">
        <f t="shared" si="49"/>
        <v>32423407.890000001</v>
      </c>
      <c r="J115" s="128">
        <f t="shared" si="49"/>
        <v>4729434.49</v>
      </c>
      <c r="K115" s="129">
        <f t="shared" ref="K115:K117" si="51">J115/I115</f>
        <v>0.14586481797487574</v>
      </c>
      <c r="L115" s="128"/>
      <c r="M115" s="128"/>
      <c r="N115" s="128">
        <f t="shared" si="23"/>
        <v>72668719.689999998</v>
      </c>
      <c r="O115" s="20"/>
      <c r="P115" s="31"/>
    </row>
    <row r="116" spans="1:16" ht="93" thickTop="1" thickBot="1" x14ac:dyDescent="0.25">
      <c r="A116" s="75" t="s">
        <v>254</v>
      </c>
      <c r="B116" s="75" t="s">
        <v>255</v>
      </c>
      <c r="C116" s="75" t="s">
        <v>97</v>
      </c>
      <c r="D116" s="138" t="s">
        <v>256</v>
      </c>
      <c r="E116" s="127">
        <v>32733414</v>
      </c>
      <c r="F116" s="127">
        <v>18696777</v>
      </c>
      <c r="G116" s="141">
        <v>12747476.82</v>
      </c>
      <c r="H116" s="125">
        <f t="shared" si="33"/>
        <v>0.68180076277317747</v>
      </c>
      <c r="I116" s="127">
        <v>8097307.8899999997</v>
      </c>
      <c r="J116" s="127">
        <v>2880438.01</v>
      </c>
      <c r="K116" s="125">
        <f t="shared" si="51"/>
        <v>0.35572786031234882</v>
      </c>
      <c r="L116" s="127"/>
      <c r="M116" s="160"/>
      <c r="N116" s="127">
        <f t="shared" si="23"/>
        <v>15627914.83</v>
      </c>
      <c r="P116" s="26"/>
    </row>
    <row r="117" spans="1:16" ht="93" thickTop="1" thickBot="1" x14ac:dyDescent="0.25">
      <c r="A117" s="58" t="s">
        <v>257</v>
      </c>
      <c r="B117" s="75" t="s">
        <v>258</v>
      </c>
      <c r="C117" s="75" t="s">
        <v>97</v>
      </c>
      <c r="D117" s="138" t="s">
        <v>259</v>
      </c>
      <c r="E117" s="127">
        <v>71298140</v>
      </c>
      <c r="F117" s="127">
        <v>61728756</v>
      </c>
      <c r="G117" s="127">
        <v>55191808.380000003</v>
      </c>
      <c r="H117" s="125">
        <f t="shared" si="33"/>
        <v>0.89410206776238943</v>
      </c>
      <c r="I117" s="127">
        <f>24102600+223500</f>
        <v>24326100</v>
      </c>
      <c r="J117" s="127">
        <v>1848996.48</v>
      </c>
      <c r="K117" s="125">
        <f t="shared" si="51"/>
        <v>7.6008751094503432E-2</v>
      </c>
      <c r="L117" s="127"/>
      <c r="M117" s="160"/>
      <c r="N117" s="127">
        <f t="shared" si="23"/>
        <v>57040804.859999999</v>
      </c>
      <c r="P117" s="26"/>
    </row>
    <row r="118" spans="1:16" s="11" customFormat="1" ht="92.25" customHeight="1" thickTop="1" thickBot="1" x14ac:dyDescent="0.25">
      <c r="A118" s="57" t="s">
        <v>270</v>
      </c>
      <c r="B118" s="77" t="s">
        <v>271</v>
      </c>
      <c r="C118" s="77"/>
      <c r="D118" s="78" t="s">
        <v>272</v>
      </c>
      <c r="E118" s="79">
        <f>SUM(E119:E126)-E124</f>
        <v>77241557</v>
      </c>
      <c r="F118" s="79">
        <f>SUM(F119:F126)-F124</f>
        <v>40423269</v>
      </c>
      <c r="G118" s="79">
        <f t="shared" ref="G118:J118" si="52">SUM(G119:G126)-G124</f>
        <v>33889896.609999999</v>
      </c>
      <c r="H118" s="80">
        <f>G118/F118</f>
        <v>0.83837595148477473</v>
      </c>
      <c r="I118" s="79">
        <f t="shared" si="52"/>
        <v>1797332.0199999998</v>
      </c>
      <c r="J118" s="79">
        <f t="shared" si="52"/>
        <v>581836.47</v>
      </c>
      <c r="K118" s="80">
        <f>J118/I118</f>
        <v>0.32372230813536612</v>
      </c>
      <c r="L118" s="79"/>
      <c r="M118" s="79"/>
      <c r="N118" s="81">
        <f>J118+G118</f>
        <v>34471733.079999998</v>
      </c>
      <c r="O118" s="53" t="b">
        <f>N118=N119+N120+N121+N122+N125+N126+N123</f>
        <v>1</v>
      </c>
      <c r="P118" s="30"/>
    </row>
    <row r="119" spans="1:16" ht="93" hidden="1" thickTop="1" thickBot="1" x14ac:dyDescent="0.25">
      <c r="A119" s="58" t="s">
        <v>273</v>
      </c>
      <c r="B119" s="92" t="s">
        <v>274</v>
      </c>
      <c r="C119" s="92" t="s">
        <v>275</v>
      </c>
      <c r="D119" s="92" t="s">
        <v>276</v>
      </c>
      <c r="E119" s="93">
        <v>0</v>
      </c>
      <c r="F119" s="93">
        <v>0</v>
      </c>
      <c r="G119" s="93">
        <v>0</v>
      </c>
      <c r="H119" s="91" t="e">
        <f>G119/F119</f>
        <v>#DIV/0!</v>
      </c>
      <c r="I119" s="93"/>
      <c r="J119" s="93"/>
      <c r="K119" s="93"/>
      <c r="L119" s="93"/>
      <c r="M119" s="94"/>
      <c r="N119" s="93">
        <f t="shared" ref="N119:N142" si="53">G119+J119</f>
        <v>0</v>
      </c>
      <c r="P119" s="30"/>
    </row>
    <row r="120" spans="1:16" ht="93" thickTop="1" thickBot="1" x14ac:dyDescent="0.25">
      <c r="A120" s="58" t="s">
        <v>277</v>
      </c>
      <c r="B120" s="75" t="s">
        <v>278</v>
      </c>
      <c r="C120" s="75" t="s">
        <v>279</v>
      </c>
      <c r="D120" s="75" t="s">
        <v>280</v>
      </c>
      <c r="E120" s="127">
        <v>18561225</v>
      </c>
      <c r="F120" s="127">
        <v>9406370</v>
      </c>
      <c r="G120" s="127">
        <v>8140599.79</v>
      </c>
      <c r="H120" s="125">
        <f t="shared" ref="H120:H122" si="54">G120/F120</f>
        <v>0.86543478408780439</v>
      </c>
      <c r="I120" s="127">
        <v>675619.59</v>
      </c>
      <c r="J120" s="127">
        <v>162639.01999999999</v>
      </c>
      <c r="K120" s="125">
        <f t="shared" ref="K120:K125" si="55">J120/I120</f>
        <v>0.2407257314726472</v>
      </c>
      <c r="L120" s="127"/>
      <c r="M120" s="160"/>
      <c r="N120" s="127">
        <f t="shared" si="53"/>
        <v>8303238.8099999996</v>
      </c>
      <c r="P120" s="26"/>
    </row>
    <row r="121" spans="1:16" ht="93" thickTop="1" thickBot="1" x14ac:dyDescent="0.25">
      <c r="A121" s="58" t="s">
        <v>281</v>
      </c>
      <c r="B121" s="75" t="s">
        <v>282</v>
      </c>
      <c r="C121" s="75" t="s">
        <v>279</v>
      </c>
      <c r="D121" s="75" t="s">
        <v>283</v>
      </c>
      <c r="E121" s="127">
        <v>3026822</v>
      </c>
      <c r="F121" s="127">
        <v>1440306</v>
      </c>
      <c r="G121" s="127">
        <v>1048896.77</v>
      </c>
      <c r="H121" s="125">
        <f t="shared" si="54"/>
        <v>0.72824578249344241</v>
      </c>
      <c r="I121" s="127">
        <v>113790</v>
      </c>
      <c r="J121" s="127">
        <v>28329.8</v>
      </c>
      <c r="K121" s="125">
        <f t="shared" si="55"/>
        <v>0.24896563845680639</v>
      </c>
      <c r="L121" s="127"/>
      <c r="M121" s="160"/>
      <c r="N121" s="127">
        <f t="shared" si="53"/>
        <v>1077226.57</v>
      </c>
      <c r="P121" s="26"/>
    </row>
    <row r="122" spans="1:16" ht="138.75" thickTop="1" thickBot="1" x14ac:dyDescent="0.25">
      <c r="A122" s="58" t="s">
        <v>284</v>
      </c>
      <c r="B122" s="75" t="s">
        <v>285</v>
      </c>
      <c r="C122" s="75" t="s">
        <v>286</v>
      </c>
      <c r="D122" s="75" t="s">
        <v>287</v>
      </c>
      <c r="E122" s="127">
        <v>22228907</v>
      </c>
      <c r="F122" s="127">
        <v>11449107</v>
      </c>
      <c r="G122" s="127">
        <v>8872899.75</v>
      </c>
      <c r="H122" s="125">
        <f t="shared" si="54"/>
        <v>0.77498618451203227</v>
      </c>
      <c r="I122" s="127">
        <v>762000</v>
      </c>
      <c r="J122" s="127">
        <v>284927.31</v>
      </c>
      <c r="K122" s="125">
        <f t="shared" si="55"/>
        <v>0.37392035433070864</v>
      </c>
      <c r="L122" s="127"/>
      <c r="M122" s="160"/>
      <c r="N122" s="127">
        <f t="shared" si="53"/>
        <v>9157827.0600000005</v>
      </c>
      <c r="P122" s="26"/>
    </row>
    <row r="123" spans="1:16" ht="48" hidden="1" thickTop="1" thickBot="1" x14ac:dyDescent="0.25">
      <c r="A123" s="58"/>
      <c r="B123" s="75" t="s">
        <v>532</v>
      </c>
      <c r="C123" s="75" t="s">
        <v>533</v>
      </c>
      <c r="D123" s="75" t="s">
        <v>534</v>
      </c>
      <c r="E123" s="127">
        <v>0</v>
      </c>
      <c r="F123" s="127">
        <v>0</v>
      </c>
      <c r="G123" s="127">
        <v>0</v>
      </c>
      <c r="H123" s="125" t="e">
        <f>G123/F123</f>
        <v>#DIV/0!</v>
      </c>
      <c r="I123" s="127"/>
      <c r="J123" s="127"/>
      <c r="K123" s="125"/>
      <c r="L123" s="127"/>
      <c r="M123" s="160"/>
      <c r="N123" s="127">
        <f t="shared" si="53"/>
        <v>0</v>
      </c>
      <c r="P123" s="26"/>
    </row>
    <row r="124" spans="1:16" ht="93" thickTop="1" thickBot="1" x14ac:dyDescent="0.25">
      <c r="A124" s="76" t="s">
        <v>288</v>
      </c>
      <c r="B124" s="76" t="s">
        <v>289</v>
      </c>
      <c r="C124" s="76"/>
      <c r="D124" s="76" t="s">
        <v>290</v>
      </c>
      <c r="E124" s="128">
        <f t="shared" ref="E124:J124" si="56">SUM(E125:E126)</f>
        <v>33424603</v>
      </c>
      <c r="F124" s="128">
        <f t="shared" ref="F124" si="57">SUM(F125:F126)</f>
        <v>18127486</v>
      </c>
      <c r="G124" s="128">
        <f t="shared" si="56"/>
        <v>15827500.299999999</v>
      </c>
      <c r="H124" s="129">
        <f>G124/F124</f>
        <v>0.87312163970227308</v>
      </c>
      <c r="I124" s="128">
        <f t="shared" si="56"/>
        <v>245922.43</v>
      </c>
      <c r="J124" s="128">
        <f t="shared" si="56"/>
        <v>105940.34</v>
      </c>
      <c r="K124" s="129">
        <f t="shared" si="55"/>
        <v>0.43078762681386973</v>
      </c>
      <c r="L124" s="128"/>
      <c r="M124" s="128"/>
      <c r="N124" s="128">
        <f t="shared" si="53"/>
        <v>15933440.639999999</v>
      </c>
      <c r="P124" s="26"/>
    </row>
    <row r="125" spans="1:16" ht="93" thickTop="1" thickBot="1" x14ac:dyDescent="0.25">
      <c r="A125" s="75" t="s">
        <v>291</v>
      </c>
      <c r="B125" s="75" t="s">
        <v>292</v>
      </c>
      <c r="C125" s="75" t="s">
        <v>293</v>
      </c>
      <c r="D125" s="75" t="s">
        <v>294</v>
      </c>
      <c r="E125" s="127">
        <v>29071503</v>
      </c>
      <c r="F125" s="127">
        <v>16774386</v>
      </c>
      <c r="G125" s="127">
        <v>14814748.369999999</v>
      </c>
      <c r="H125" s="125">
        <f t="shared" ref="H125:H126" si="58">G125/F125</f>
        <v>0.88317678930245191</v>
      </c>
      <c r="I125" s="127">
        <v>245922.43</v>
      </c>
      <c r="J125" s="127">
        <v>105940.34</v>
      </c>
      <c r="K125" s="125">
        <f t="shared" si="55"/>
        <v>0.43078762681386973</v>
      </c>
      <c r="L125" s="127"/>
      <c r="M125" s="160"/>
      <c r="N125" s="127">
        <f t="shared" si="53"/>
        <v>14920688.709999999</v>
      </c>
      <c r="P125" s="30"/>
    </row>
    <row r="126" spans="1:16" ht="93" thickTop="1" thickBot="1" x14ac:dyDescent="0.25">
      <c r="A126" s="75" t="s">
        <v>295</v>
      </c>
      <c r="B126" s="75" t="s">
        <v>296</v>
      </c>
      <c r="C126" s="75" t="s">
        <v>293</v>
      </c>
      <c r="D126" s="75" t="s">
        <v>297</v>
      </c>
      <c r="E126" s="127">
        <v>4353100</v>
      </c>
      <c r="F126" s="127">
        <v>1353100</v>
      </c>
      <c r="G126" s="127">
        <v>1012751.93</v>
      </c>
      <c r="H126" s="125">
        <f t="shared" si="58"/>
        <v>0.74846791072352381</v>
      </c>
      <c r="I126" s="127"/>
      <c r="J126" s="127"/>
      <c r="K126" s="127"/>
      <c r="L126" s="127"/>
      <c r="M126" s="160"/>
      <c r="N126" s="127">
        <f t="shared" si="53"/>
        <v>1012751.93</v>
      </c>
      <c r="P126" s="30"/>
    </row>
    <row r="127" spans="1:16" ht="77.25" customHeight="1" thickTop="1" thickBot="1" x14ac:dyDescent="0.25">
      <c r="A127" s="57" t="s">
        <v>308</v>
      </c>
      <c r="B127" s="77" t="s">
        <v>309</v>
      </c>
      <c r="C127" s="77"/>
      <c r="D127" s="78" t="s">
        <v>310</v>
      </c>
      <c r="E127" s="79">
        <f>SUM(E128:E142)-E128-E131-E133-E139-E136</f>
        <v>114624424</v>
      </c>
      <c r="F127" s="79">
        <f>SUM(F128:F142)-F128-F131-F133-F139-F136</f>
        <v>60736215.799999997</v>
      </c>
      <c r="G127" s="79">
        <f>SUM(G128:G142)-G128-G131-G133-G139-G136</f>
        <v>55363573.63000001</v>
      </c>
      <c r="H127" s="80">
        <f>G127/F127</f>
        <v>0.91154137446277994</v>
      </c>
      <c r="I127" s="79">
        <f>SUM(I128:I142)-I128-I131-I133-I139-I136</f>
        <v>4571748.620000002</v>
      </c>
      <c r="J127" s="79">
        <f>SUM(J128:J142)-J128-J131-J133-J139-J136</f>
        <v>751075.07</v>
      </c>
      <c r="K127" s="80">
        <f>J127/I127</f>
        <v>0.1642861697850744</v>
      </c>
      <c r="L127" s="79"/>
      <c r="M127" s="79"/>
      <c r="N127" s="81">
        <f>J127+G127</f>
        <v>56114648.70000001</v>
      </c>
      <c r="O127" s="53" t="b">
        <f>N127=N129+N130+N132+N134+N135+N137+N140+N141+N142+N138</f>
        <v>1</v>
      </c>
      <c r="P127" s="26"/>
    </row>
    <row r="128" spans="1:16" s="18" customFormat="1" ht="93" thickTop="1" thickBot="1" x14ac:dyDescent="0.25">
      <c r="A128" s="59" t="s">
        <v>311</v>
      </c>
      <c r="B128" s="76" t="s">
        <v>312</v>
      </c>
      <c r="C128" s="76"/>
      <c r="D128" s="76" t="s">
        <v>313</v>
      </c>
      <c r="E128" s="142">
        <f t="shared" ref="E128:G128" si="59">SUM(E129:E130)</f>
        <v>35249823</v>
      </c>
      <c r="F128" s="142">
        <f t="shared" ref="F128" si="60">SUM(F129:F130)</f>
        <v>18781622</v>
      </c>
      <c r="G128" s="142">
        <f t="shared" si="59"/>
        <v>17366743.98</v>
      </c>
      <c r="H128" s="129">
        <f>G128/F128</f>
        <v>0.92466688872771485</v>
      </c>
      <c r="I128" s="142"/>
      <c r="J128" s="142"/>
      <c r="K128" s="129"/>
      <c r="L128" s="142"/>
      <c r="M128" s="142"/>
      <c r="N128" s="128">
        <f t="shared" si="53"/>
        <v>17366743.98</v>
      </c>
      <c r="O128" s="50"/>
      <c r="P128" s="32"/>
    </row>
    <row r="129" spans="1:16" s="35" customFormat="1" ht="93" thickTop="1" thickBot="1" x14ac:dyDescent="0.25">
      <c r="A129" s="58" t="s">
        <v>314</v>
      </c>
      <c r="B129" s="75" t="s">
        <v>315</v>
      </c>
      <c r="C129" s="75" t="s">
        <v>316</v>
      </c>
      <c r="D129" s="75" t="s">
        <v>317</v>
      </c>
      <c r="E129" s="141">
        <v>31400000</v>
      </c>
      <c r="F129" s="141">
        <v>16820767</v>
      </c>
      <c r="G129" s="127">
        <v>15641621.42</v>
      </c>
      <c r="H129" s="125">
        <f t="shared" ref="H129:H142" si="61">G129/F129</f>
        <v>0.92989941659616349</v>
      </c>
      <c r="I129" s="127"/>
      <c r="J129" s="127"/>
      <c r="K129" s="127"/>
      <c r="L129" s="127"/>
      <c r="M129" s="160"/>
      <c r="N129" s="127">
        <f t="shared" si="53"/>
        <v>15641621.42</v>
      </c>
      <c r="O129" s="33"/>
      <c r="P129" s="34"/>
    </row>
    <row r="130" spans="1:16" s="35" customFormat="1" ht="93" thickTop="1" thickBot="1" x14ac:dyDescent="0.25">
      <c r="A130" s="58" t="s">
        <v>318</v>
      </c>
      <c r="B130" s="75" t="s">
        <v>319</v>
      </c>
      <c r="C130" s="75" t="s">
        <v>316</v>
      </c>
      <c r="D130" s="75" t="s">
        <v>320</v>
      </c>
      <c r="E130" s="141">
        <v>3849823</v>
      </c>
      <c r="F130" s="141">
        <v>1960855</v>
      </c>
      <c r="G130" s="127">
        <v>1725122.5600000001</v>
      </c>
      <c r="H130" s="125">
        <f t="shared" si="61"/>
        <v>0.87978078950253846</v>
      </c>
      <c r="I130" s="127"/>
      <c r="J130" s="127"/>
      <c r="K130" s="127"/>
      <c r="L130" s="127"/>
      <c r="M130" s="160"/>
      <c r="N130" s="127">
        <f t="shared" si="53"/>
        <v>1725122.5600000001</v>
      </c>
      <c r="O130" s="33"/>
      <c r="P130" s="34"/>
    </row>
    <row r="131" spans="1:16" s="18" customFormat="1" ht="93" thickTop="1" thickBot="1" x14ac:dyDescent="0.25">
      <c r="A131" s="59" t="s">
        <v>321</v>
      </c>
      <c r="B131" s="76" t="s">
        <v>322</v>
      </c>
      <c r="C131" s="76"/>
      <c r="D131" s="76" t="s">
        <v>323</v>
      </c>
      <c r="E131" s="142">
        <f t="shared" ref="E131:F131" si="62">E132</f>
        <v>41300</v>
      </c>
      <c r="F131" s="142">
        <f t="shared" si="62"/>
        <v>23880</v>
      </c>
      <c r="G131" s="142">
        <f>G132</f>
        <v>0</v>
      </c>
      <c r="H131" s="129">
        <f t="shared" si="61"/>
        <v>0</v>
      </c>
      <c r="I131" s="142"/>
      <c r="J131" s="142"/>
      <c r="K131" s="129"/>
      <c r="L131" s="142"/>
      <c r="M131" s="142"/>
      <c r="N131" s="128">
        <f t="shared" si="53"/>
        <v>0</v>
      </c>
      <c r="O131" s="50"/>
      <c r="P131" s="36"/>
    </row>
    <row r="132" spans="1:16" s="35" customFormat="1" ht="93" thickTop="1" thickBot="1" x14ac:dyDescent="0.25">
      <c r="A132" s="58" t="s">
        <v>324</v>
      </c>
      <c r="B132" s="75" t="s">
        <v>325</v>
      </c>
      <c r="C132" s="75" t="s">
        <v>316</v>
      </c>
      <c r="D132" s="75" t="s">
        <v>326</v>
      </c>
      <c r="E132" s="141">
        <v>41300</v>
      </c>
      <c r="F132" s="141">
        <v>23880</v>
      </c>
      <c r="G132" s="141">
        <v>0</v>
      </c>
      <c r="H132" s="125">
        <f t="shared" si="61"/>
        <v>0</v>
      </c>
      <c r="I132" s="127"/>
      <c r="J132" s="141"/>
      <c r="K132" s="141"/>
      <c r="L132" s="141"/>
      <c r="M132" s="160"/>
      <c r="N132" s="127">
        <f t="shared" si="53"/>
        <v>0</v>
      </c>
      <c r="O132" s="33"/>
      <c r="P132" s="34"/>
    </row>
    <row r="133" spans="1:16" ht="93" thickTop="1" thickBot="1" x14ac:dyDescent="0.25">
      <c r="A133" s="76" t="s">
        <v>327</v>
      </c>
      <c r="B133" s="76" t="s">
        <v>328</v>
      </c>
      <c r="C133" s="76"/>
      <c r="D133" s="76" t="s">
        <v>329</v>
      </c>
      <c r="E133" s="142">
        <f t="shared" ref="E133:J133" si="63">SUM(E134:E135)</f>
        <v>71169131</v>
      </c>
      <c r="F133" s="142">
        <f t="shared" ref="F133" si="64">SUM(F134:F135)</f>
        <v>38035005</v>
      </c>
      <c r="G133" s="142">
        <f t="shared" si="63"/>
        <v>34851619.310000002</v>
      </c>
      <c r="H133" s="129">
        <f t="shared" si="61"/>
        <v>0.91630379199371748</v>
      </c>
      <c r="I133" s="142">
        <f t="shared" si="63"/>
        <v>4473056.4000000004</v>
      </c>
      <c r="J133" s="142">
        <f t="shared" si="63"/>
        <v>745375.07</v>
      </c>
      <c r="K133" s="129">
        <f t="shared" ref="K133:K139" si="65">J133/I133</f>
        <v>0.1666366357464216</v>
      </c>
      <c r="L133" s="142"/>
      <c r="M133" s="142"/>
      <c r="N133" s="128">
        <f t="shared" si="53"/>
        <v>35596994.380000003</v>
      </c>
      <c r="P133" s="26"/>
    </row>
    <row r="134" spans="1:16" s="35" customFormat="1" ht="93" thickTop="1" thickBot="1" x14ac:dyDescent="0.25">
      <c r="A134" s="75" t="s">
        <v>330</v>
      </c>
      <c r="B134" s="75" t="s">
        <v>331</v>
      </c>
      <c r="C134" s="75" t="s">
        <v>316</v>
      </c>
      <c r="D134" s="75" t="s">
        <v>332</v>
      </c>
      <c r="E134" s="141">
        <v>64207440</v>
      </c>
      <c r="F134" s="141">
        <v>34026805</v>
      </c>
      <c r="G134" s="141">
        <v>31212349.859999999</v>
      </c>
      <c r="H134" s="125">
        <f t="shared" si="61"/>
        <v>0.91728711702435772</v>
      </c>
      <c r="I134" s="141">
        <v>4473056.4000000004</v>
      </c>
      <c r="J134" s="141">
        <v>745375.07</v>
      </c>
      <c r="K134" s="125">
        <f t="shared" si="65"/>
        <v>0.1666366357464216</v>
      </c>
      <c r="L134" s="141"/>
      <c r="M134" s="160"/>
      <c r="N134" s="127">
        <f t="shared" si="53"/>
        <v>31957724.93</v>
      </c>
      <c r="O134" s="33"/>
      <c r="P134" s="34"/>
    </row>
    <row r="135" spans="1:16" s="35" customFormat="1" ht="138.75" thickTop="1" thickBot="1" x14ac:dyDescent="0.25">
      <c r="A135" s="75" t="s">
        <v>333</v>
      </c>
      <c r="B135" s="75" t="s">
        <v>334</v>
      </c>
      <c r="C135" s="75" t="s">
        <v>316</v>
      </c>
      <c r="D135" s="75" t="s">
        <v>335</v>
      </c>
      <c r="E135" s="141">
        <v>6961691</v>
      </c>
      <c r="F135" s="141">
        <v>4008200</v>
      </c>
      <c r="G135" s="141">
        <v>3639269.45</v>
      </c>
      <c r="H135" s="125">
        <f t="shared" si="61"/>
        <v>0.90795605259218604</v>
      </c>
      <c r="I135" s="141"/>
      <c r="J135" s="141"/>
      <c r="K135" s="125"/>
      <c r="L135" s="141"/>
      <c r="M135" s="160"/>
      <c r="N135" s="127">
        <f t="shared" si="53"/>
        <v>3639269.45</v>
      </c>
      <c r="O135" s="50"/>
      <c r="P135" s="34"/>
    </row>
    <row r="136" spans="1:16" s="35" customFormat="1" ht="123" thickTop="1" thickBot="1" x14ac:dyDescent="0.25">
      <c r="A136" s="58"/>
      <c r="B136" s="76" t="s">
        <v>393</v>
      </c>
      <c r="C136" s="76"/>
      <c r="D136" s="76" t="s">
        <v>394</v>
      </c>
      <c r="E136" s="142">
        <f>SUM(E137:E138)</f>
        <v>93550</v>
      </c>
      <c r="F136" s="142">
        <f t="shared" ref="F136" si="66">SUM(F137:F138)</f>
        <v>31188</v>
      </c>
      <c r="G136" s="142">
        <f>SUM(G137:G138)</f>
        <v>31183.200000000001</v>
      </c>
      <c r="H136" s="129">
        <v>0</v>
      </c>
      <c r="I136" s="142">
        <f>SUM(I137:I138)</f>
        <v>0</v>
      </c>
      <c r="J136" s="142">
        <f>SUM(J137:J138)</f>
        <v>0</v>
      </c>
      <c r="K136" s="129">
        <v>0</v>
      </c>
      <c r="L136" s="142"/>
      <c r="M136" s="142"/>
      <c r="N136" s="128">
        <f t="shared" si="53"/>
        <v>31183.200000000001</v>
      </c>
      <c r="O136" s="50" t="s">
        <v>433</v>
      </c>
      <c r="P136" s="34"/>
    </row>
    <row r="137" spans="1:16" s="35" customFormat="1" ht="230.25" hidden="1" thickTop="1" thickBot="1" x14ac:dyDescent="0.25">
      <c r="A137" s="58"/>
      <c r="B137" s="75" t="s">
        <v>395</v>
      </c>
      <c r="C137" s="75" t="s">
        <v>316</v>
      </c>
      <c r="D137" s="75" t="s">
        <v>518</v>
      </c>
      <c r="E137" s="127"/>
      <c r="F137" s="127"/>
      <c r="G137" s="127"/>
      <c r="H137" s="125">
        <v>0</v>
      </c>
      <c r="I137" s="127">
        <v>0</v>
      </c>
      <c r="J137" s="127">
        <v>0</v>
      </c>
      <c r="K137" s="125" t="e">
        <f t="shared" si="65"/>
        <v>#DIV/0!</v>
      </c>
      <c r="L137" s="127"/>
      <c r="M137" s="160"/>
      <c r="N137" s="127">
        <f t="shared" si="53"/>
        <v>0</v>
      </c>
      <c r="O137" s="33"/>
      <c r="P137" s="34"/>
    </row>
    <row r="138" spans="1:16" s="35" customFormat="1" ht="138.75" thickTop="1" thickBot="1" x14ac:dyDescent="0.25">
      <c r="A138" s="58"/>
      <c r="B138" s="75" t="s">
        <v>543</v>
      </c>
      <c r="C138" s="75" t="s">
        <v>316</v>
      </c>
      <c r="D138" s="75" t="s">
        <v>544</v>
      </c>
      <c r="E138" s="127">
        <v>93550</v>
      </c>
      <c r="F138" s="127">
        <v>31188</v>
      </c>
      <c r="G138" s="127">
        <v>31183.200000000001</v>
      </c>
      <c r="H138" s="125">
        <f t="shared" si="61"/>
        <v>0.9998460946517892</v>
      </c>
      <c r="I138" s="127"/>
      <c r="J138" s="127"/>
      <c r="K138" s="125"/>
      <c r="L138" s="127"/>
      <c r="M138" s="160"/>
      <c r="N138" s="127">
        <f t="shared" si="53"/>
        <v>31183.200000000001</v>
      </c>
      <c r="O138" s="33"/>
      <c r="P138" s="34"/>
    </row>
    <row r="139" spans="1:16" ht="93" thickTop="1" thickBot="1" x14ac:dyDescent="0.25">
      <c r="A139" s="67" t="s">
        <v>336</v>
      </c>
      <c r="B139" s="76" t="s">
        <v>337</v>
      </c>
      <c r="C139" s="76"/>
      <c r="D139" s="76" t="s">
        <v>338</v>
      </c>
      <c r="E139" s="142">
        <f t="shared" ref="E139:J139" si="67">SUM(E140:E142)</f>
        <v>8070620</v>
      </c>
      <c r="F139" s="142">
        <f t="shared" ref="F139" si="68">SUM(F140:F142)</f>
        <v>3864520.8</v>
      </c>
      <c r="G139" s="142">
        <f t="shared" si="67"/>
        <v>3114027.14</v>
      </c>
      <c r="H139" s="129">
        <f t="shared" si="61"/>
        <v>0.80579903723121382</v>
      </c>
      <c r="I139" s="142">
        <f t="shared" si="67"/>
        <v>98692.22</v>
      </c>
      <c r="J139" s="142">
        <f t="shared" si="67"/>
        <v>5700</v>
      </c>
      <c r="K139" s="129">
        <f t="shared" si="65"/>
        <v>5.7755312424829432E-2</v>
      </c>
      <c r="L139" s="142"/>
      <c r="M139" s="142"/>
      <c r="N139" s="128">
        <f t="shared" si="53"/>
        <v>3119727.14</v>
      </c>
      <c r="O139" s="50"/>
      <c r="P139" s="26"/>
    </row>
    <row r="140" spans="1:16" s="35" customFormat="1" ht="184.5" thickTop="1" thickBot="1" x14ac:dyDescent="0.25">
      <c r="A140" s="68" t="s">
        <v>339</v>
      </c>
      <c r="B140" s="145" t="s">
        <v>340</v>
      </c>
      <c r="C140" s="145" t="s">
        <v>316</v>
      </c>
      <c r="D140" s="75" t="s">
        <v>341</v>
      </c>
      <c r="E140" s="141">
        <v>775354</v>
      </c>
      <c r="F140" s="141">
        <v>495451</v>
      </c>
      <c r="G140" s="127">
        <v>115493</v>
      </c>
      <c r="H140" s="125">
        <f t="shared" si="61"/>
        <v>0.23310680571842624</v>
      </c>
      <c r="I140" s="127"/>
      <c r="J140" s="127"/>
      <c r="K140" s="127"/>
      <c r="L140" s="127"/>
      <c r="M140" s="160"/>
      <c r="N140" s="127">
        <f t="shared" si="53"/>
        <v>115493</v>
      </c>
      <c r="O140" s="33"/>
      <c r="P140" s="34"/>
    </row>
    <row r="141" spans="1:16" s="35" customFormat="1" ht="138.75" thickTop="1" thickBot="1" x14ac:dyDescent="0.25">
      <c r="A141" s="68" t="s">
        <v>342</v>
      </c>
      <c r="B141" s="145" t="s">
        <v>343</v>
      </c>
      <c r="C141" s="145" t="s">
        <v>316</v>
      </c>
      <c r="D141" s="75" t="s">
        <v>344</v>
      </c>
      <c r="E141" s="141">
        <v>5182225</v>
      </c>
      <c r="F141" s="141">
        <v>2216225</v>
      </c>
      <c r="G141" s="127">
        <v>2013725</v>
      </c>
      <c r="H141" s="125">
        <f t="shared" si="61"/>
        <v>0.90862841092398106</v>
      </c>
      <c r="I141" s="127"/>
      <c r="J141" s="127"/>
      <c r="K141" s="127"/>
      <c r="L141" s="127"/>
      <c r="M141" s="160"/>
      <c r="N141" s="127">
        <f t="shared" si="53"/>
        <v>2013725</v>
      </c>
      <c r="O141" s="33"/>
      <c r="P141" s="34"/>
    </row>
    <row r="142" spans="1:16" s="35" customFormat="1" ht="93" thickTop="1" thickBot="1" x14ac:dyDescent="0.25">
      <c r="A142" s="68" t="s">
        <v>345</v>
      </c>
      <c r="B142" s="145" t="s">
        <v>346</v>
      </c>
      <c r="C142" s="145" t="s">
        <v>316</v>
      </c>
      <c r="D142" s="75" t="s">
        <v>347</v>
      </c>
      <c r="E142" s="141">
        <v>2113041</v>
      </c>
      <c r="F142" s="141">
        <v>1152844.8</v>
      </c>
      <c r="G142" s="127">
        <v>984809.14</v>
      </c>
      <c r="H142" s="125">
        <f t="shared" si="61"/>
        <v>0.85424260056514112</v>
      </c>
      <c r="I142" s="127">
        <v>98692.22</v>
      </c>
      <c r="J142" s="127">
        <v>5700</v>
      </c>
      <c r="K142" s="125">
        <f t="shared" ref="K142" si="69">J142/I142</f>
        <v>5.7755312424829432E-2</v>
      </c>
      <c r="L142" s="127"/>
      <c r="M142" s="160"/>
      <c r="N142" s="127">
        <f t="shared" si="53"/>
        <v>990509.14</v>
      </c>
      <c r="O142" s="33"/>
      <c r="P142" s="34"/>
    </row>
    <row r="143" spans="1:16" ht="91.5" thickTop="1" thickBot="1" x14ac:dyDescent="0.25">
      <c r="A143" s="57" t="s">
        <v>350</v>
      </c>
      <c r="B143" s="77" t="s">
        <v>260</v>
      </c>
      <c r="C143" s="77"/>
      <c r="D143" s="78" t="s">
        <v>261</v>
      </c>
      <c r="E143" s="79">
        <f>SUM(E144:E157)-E144-E153</f>
        <v>408802149</v>
      </c>
      <c r="F143" s="79">
        <f>SUM(F144:F157)-F144-F153</f>
        <v>212026583</v>
      </c>
      <c r="G143" s="79">
        <f>SUM(G144:G157)-G144-G153</f>
        <v>207619327.38999999</v>
      </c>
      <c r="H143" s="80">
        <f>G143/F143</f>
        <v>0.97921366487333328</v>
      </c>
      <c r="I143" s="79">
        <f>SUM(I144:I157)-I144-I153</f>
        <v>36037806</v>
      </c>
      <c r="J143" s="79">
        <f>SUM(J144:J157)-J144-J153</f>
        <v>4292901.22</v>
      </c>
      <c r="K143" s="80">
        <f>J143/I143</f>
        <v>0.11912215799152701</v>
      </c>
      <c r="L143" s="79"/>
      <c r="M143" s="79"/>
      <c r="N143" s="81">
        <f>J143+G143</f>
        <v>211912228.60999998</v>
      </c>
      <c r="O143" s="53" t="b">
        <f>N143=N145+N146+N147+N148+N151+N152+N154+N156+N157+N150+N149</f>
        <v>1</v>
      </c>
      <c r="P143" s="37"/>
    </row>
    <row r="144" spans="1:16" s="18" customFormat="1" ht="93" thickTop="1" thickBot="1" x14ac:dyDescent="0.25">
      <c r="A144" s="76" t="s">
        <v>351</v>
      </c>
      <c r="B144" s="76" t="s">
        <v>352</v>
      </c>
      <c r="C144" s="76"/>
      <c r="D144" s="76" t="s">
        <v>353</v>
      </c>
      <c r="E144" s="128">
        <f t="shared" ref="E144:J144" si="70">SUM(E145:E150)</f>
        <v>82253600</v>
      </c>
      <c r="F144" s="128">
        <f t="shared" ref="F144" si="71">SUM(F145:F150)</f>
        <v>70665187</v>
      </c>
      <c r="G144" s="128">
        <f t="shared" si="70"/>
        <v>70437721.569999993</v>
      </c>
      <c r="H144" s="129">
        <f>G144/F144</f>
        <v>0.9967810821755837</v>
      </c>
      <c r="I144" s="128">
        <f t="shared" si="70"/>
        <v>9767806</v>
      </c>
      <c r="J144" s="128">
        <f t="shared" si="70"/>
        <v>4292901.22</v>
      </c>
      <c r="K144" s="129">
        <f t="shared" ref="K144:K145" si="72">J144/I144</f>
        <v>0.43949493059137329</v>
      </c>
      <c r="L144" s="128"/>
      <c r="M144" s="128"/>
      <c r="N144" s="128">
        <f t="shared" ref="N144:N194" si="73">G144+J144</f>
        <v>74730622.789999992</v>
      </c>
      <c r="O144" s="20"/>
      <c r="P144" s="37"/>
    </row>
    <row r="145" spans="1:16" ht="93" thickTop="1" thickBot="1" x14ac:dyDescent="0.25">
      <c r="A145" s="75" t="s">
        <v>354</v>
      </c>
      <c r="B145" s="75" t="s">
        <v>355</v>
      </c>
      <c r="C145" s="75" t="s">
        <v>264</v>
      </c>
      <c r="D145" s="75" t="s">
        <v>356</v>
      </c>
      <c r="E145" s="141">
        <v>6703600</v>
      </c>
      <c r="F145" s="141">
        <v>2270187</v>
      </c>
      <c r="G145" s="141">
        <v>2092360.29</v>
      </c>
      <c r="H145" s="125">
        <f>G145/F145</f>
        <v>0.92166869513392513</v>
      </c>
      <c r="I145" s="141">
        <v>3813813</v>
      </c>
      <c r="J145" s="164">
        <v>6901.31</v>
      </c>
      <c r="K145" s="125">
        <f t="shared" si="72"/>
        <v>1.8095564727478774E-3</v>
      </c>
      <c r="L145" s="164"/>
      <c r="M145" s="160"/>
      <c r="N145" s="127">
        <f t="shared" si="73"/>
        <v>2099261.6</v>
      </c>
      <c r="P145" s="37"/>
    </row>
    <row r="146" spans="1:16" ht="138.75" customHeight="1" thickTop="1" thickBot="1" x14ac:dyDescent="0.25">
      <c r="A146" s="58"/>
      <c r="B146" s="75" t="s">
        <v>376</v>
      </c>
      <c r="C146" s="75" t="s">
        <v>359</v>
      </c>
      <c r="D146" s="75" t="s">
        <v>377</v>
      </c>
      <c r="E146" s="141">
        <v>50000000</v>
      </c>
      <c r="F146" s="141">
        <v>50000000</v>
      </c>
      <c r="G146" s="141">
        <v>50000000</v>
      </c>
      <c r="H146" s="125">
        <f t="shared" ref="H146:H157" si="74">G146/F146</f>
        <v>1</v>
      </c>
      <c r="I146" s="141"/>
      <c r="J146" s="164"/>
      <c r="K146" s="164"/>
      <c r="L146" s="164"/>
      <c r="M146" s="160"/>
      <c r="N146" s="127">
        <f t="shared" si="73"/>
        <v>50000000</v>
      </c>
      <c r="P146" s="37"/>
    </row>
    <row r="147" spans="1:16" ht="93" thickTop="1" thickBot="1" x14ac:dyDescent="0.25">
      <c r="A147" s="58"/>
      <c r="B147" s="75" t="s">
        <v>378</v>
      </c>
      <c r="C147" s="75" t="s">
        <v>359</v>
      </c>
      <c r="D147" s="75" t="s">
        <v>379</v>
      </c>
      <c r="E147" s="141">
        <v>25550000</v>
      </c>
      <c r="F147" s="141">
        <v>18395000</v>
      </c>
      <c r="G147" s="141">
        <v>18345361.280000001</v>
      </c>
      <c r="H147" s="125">
        <f t="shared" si="74"/>
        <v>0.99730151019298729</v>
      </c>
      <c r="I147" s="141">
        <v>953993</v>
      </c>
      <c r="J147" s="164">
        <v>182418.04</v>
      </c>
      <c r="K147" s="125">
        <f t="shared" ref="K147:K155" si="75">J147/I147</f>
        <v>0.19121528145384714</v>
      </c>
      <c r="L147" s="164"/>
      <c r="M147" s="160"/>
      <c r="N147" s="127">
        <f t="shared" si="73"/>
        <v>18527779.32</v>
      </c>
      <c r="P147" s="37"/>
    </row>
    <row r="148" spans="1:16" ht="123" thickTop="1" thickBot="1" x14ac:dyDescent="0.25">
      <c r="A148" s="58" t="s">
        <v>357</v>
      </c>
      <c r="B148" s="75" t="s">
        <v>358</v>
      </c>
      <c r="C148" s="75" t="s">
        <v>359</v>
      </c>
      <c r="D148" s="75" t="s">
        <v>360</v>
      </c>
      <c r="E148" s="141"/>
      <c r="F148" s="141"/>
      <c r="G148" s="141"/>
      <c r="H148" s="125">
        <v>0</v>
      </c>
      <c r="I148" s="141">
        <v>5000000</v>
      </c>
      <c r="J148" s="164">
        <v>4103581.87</v>
      </c>
      <c r="K148" s="125">
        <f t="shared" si="75"/>
        <v>0.82071637399999997</v>
      </c>
      <c r="L148" s="164"/>
      <c r="M148" s="160"/>
      <c r="N148" s="127">
        <f t="shared" si="73"/>
        <v>4103581.87</v>
      </c>
      <c r="O148" s="50" t="s">
        <v>433</v>
      </c>
      <c r="P148" s="37"/>
    </row>
    <row r="149" spans="1:16" ht="93" hidden="1" thickTop="1" thickBot="1" x14ac:dyDescent="0.25">
      <c r="A149" s="58"/>
      <c r="B149" s="75" t="s">
        <v>559</v>
      </c>
      <c r="C149" s="75" t="s">
        <v>359</v>
      </c>
      <c r="D149" s="75" t="s">
        <v>560</v>
      </c>
      <c r="E149" s="141">
        <v>0</v>
      </c>
      <c r="F149" s="141">
        <v>0</v>
      </c>
      <c r="G149" s="141">
        <v>0</v>
      </c>
      <c r="H149" s="125" t="e">
        <f t="shared" si="74"/>
        <v>#DIV/0!</v>
      </c>
      <c r="I149" s="141"/>
      <c r="J149" s="164"/>
      <c r="K149" s="125"/>
      <c r="L149" s="164"/>
      <c r="M149" s="160"/>
      <c r="N149" s="127">
        <f t="shared" si="73"/>
        <v>0</v>
      </c>
      <c r="O149" s="50"/>
      <c r="P149" s="37"/>
    </row>
    <row r="150" spans="1:16" ht="123" hidden="1" thickTop="1" thickBot="1" x14ac:dyDescent="0.25">
      <c r="A150" s="58" t="s">
        <v>361</v>
      </c>
      <c r="B150" s="75" t="s">
        <v>362</v>
      </c>
      <c r="C150" s="75" t="s">
        <v>359</v>
      </c>
      <c r="D150" s="75" t="s">
        <v>363</v>
      </c>
      <c r="E150" s="141"/>
      <c r="F150" s="141"/>
      <c r="G150" s="141"/>
      <c r="H150" s="125">
        <v>0</v>
      </c>
      <c r="I150" s="141">
        <v>0</v>
      </c>
      <c r="J150" s="164">
        <v>0</v>
      </c>
      <c r="K150" s="125" t="e">
        <f t="shared" si="75"/>
        <v>#DIV/0!</v>
      </c>
      <c r="L150" s="164"/>
      <c r="M150" s="160"/>
      <c r="N150" s="127">
        <f t="shared" si="73"/>
        <v>0</v>
      </c>
      <c r="O150" s="50" t="s">
        <v>433</v>
      </c>
      <c r="P150" s="37"/>
    </row>
    <row r="151" spans="1:16" ht="184.5" thickTop="1" thickBot="1" x14ac:dyDescent="0.25">
      <c r="A151" s="58" t="s">
        <v>364</v>
      </c>
      <c r="B151" s="75" t="s">
        <v>365</v>
      </c>
      <c r="C151" s="75" t="s">
        <v>359</v>
      </c>
      <c r="D151" s="75" t="s">
        <v>366</v>
      </c>
      <c r="E151" s="141">
        <v>9677600</v>
      </c>
      <c r="F151" s="141">
        <v>7389000</v>
      </c>
      <c r="G151" s="141">
        <v>7364315.21</v>
      </c>
      <c r="H151" s="125">
        <f t="shared" si="74"/>
        <v>0.99665925159020163</v>
      </c>
      <c r="I151" s="141"/>
      <c r="J151" s="164"/>
      <c r="K151" s="164"/>
      <c r="L151" s="164"/>
      <c r="M151" s="160"/>
      <c r="N151" s="127">
        <f t="shared" si="73"/>
        <v>7364315.21</v>
      </c>
      <c r="O151" s="50"/>
      <c r="P151" s="37"/>
    </row>
    <row r="152" spans="1:16" ht="62.25" thickTop="1" thickBot="1" x14ac:dyDescent="0.25">
      <c r="A152" s="58"/>
      <c r="B152" s="75" t="s">
        <v>368</v>
      </c>
      <c r="C152" s="75" t="s">
        <v>359</v>
      </c>
      <c r="D152" s="75" t="s">
        <v>369</v>
      </c>
      <c r="E152" s="141">
        <v>314563149</v>
      </c>
      <c r="F152" s="141">
        <v>133739861</v>
      </c>
      <c r="G152" s="141">
        <v>129702271.33</v>
      </c>
      <c r="H152" s="125">
        <f t="shared" si="74"/>
        <v>0.96981012512043807</v>
      </c>
      <c r="I152" s="127">
        <v>270000</v>
      </c>
      <c r="J152" s="141">
        <v>0</v>
      </c>
      <c r="K152" s="125">
        <f t="shared" si="75"/>
        <v>0</v>
      </c>
      <c r="L152" s="141"/>
      <c r="M152" s="160"/>
      <c r="N152" s="127">
        <f t="shared" si="73"/>
        <v>129702271.33</v>
      </c>
      <c r="O152" s="52"/>
      <c r="P152" s="37"/>
    </row>
    <row r="153" spans="1:16" ht="123" thickTop="1" thickBot="1" x14ac:dyDescent="0.25">
      <c r="A153" s="58"/>
      <c r="B153" s="76" t="s">
        <v>262</v>
      </c>
      <c r="C153" s="76"/>
      <c r="D153" s="76" t="s">
        <v>434</v>
      </c>
      <c r="E153" s="142">
        <f>SUM(E154:E156)</f>
        <v>0</v>
      </c>
      <c r="F153" s="142">
        <f>SUM(F154:F156)</f>
        <v>0</v>
      </c>
      <c r="G153" s="142">
        <f>SUM(G154:G156)</f>
        <v>0</v>
      </c>
      <c r="H153" s="129">
        <v>0</v>
      </c>
      <c r="I153" s="142">
        <f>SUM(I154:I156)</f>
        <v>26000000</v>
      </c>
      <c r="J153" s="142">
        <f>SUM(J154:J156)</f>
        <v>0</v>
      </c>
      <c r="K153" s="125">
        <f t="shared" si="75"/>
        <v>0</v>
      </c>
      <c r="L153" s="142"/>
      <c r="M153" s="161"/>
      <c r="N153" s="128">
        <f t="shared" si="73"/>
        <v>0</v>
      </c>
      <c r="O153" s="50" t="s">
        <v>433</v>
      </c>
      <c r="P153" s="37"/>
    </row>
    <row r="154" spans="1:16" ht="123" thickTop="1" thickBot="1" x14ac:dyDescent="0.25">
      <c r="A154" s="58" t="s">
        <v>367</v>
      </c>
      <c r="B154" s="75" t="s">
        <v>263</v>
      </c>
      <c r="C154" s="75" t="s">
        <v>264</v>
      </c>
      <c r="D154" s="75" t="s">
        <v>435</v>
      </c>
      <c r="E154" s="141"/>
      <c r="F154" s="141"/>
      <c r="G154" s="141"/>
      <c r="H154" s="125">
        <v>0</v>
      </c>
      <c r="I154" s="127">
        <v>26000000</v>
      </c>
      <c r="J154" s="141">
        <v>0</v>
      </c>
      <c r="K154" s="125">
        <f t="shared" si="75"/>
        <v>0</v>
      </c>
      <c r="L154" s="141"/>
      <c r="M154" s="160"/>
      <c r="N154" s="127">
        <f t="shared" si="73"/>
        <v>0</v>
      </c>
      <c r="O154" s="50" t="s">
        <v>433</v>
      </c>
      <c r="P154" s="30"/>
    </row>
    <row r="155" spans="1:16" ht="409.6" hidden="1" customHeight="1" thickTop="1" thickBot="1" x14ac:dyDescent="0.25">
      <c r="A155" s="58"/>
      <c r="B155" s="75" t="s">
        <v>495</v>
      </c>
      <c r="C155" s="75" t="s">
        <v>264</v>
      </c>
      <c r="D155" s="75" t="s">
        <v>496</v>
      </c>
      <c r="E155" s="141"/>
      <c r="F155" s="141"/>
      <c r="G155" s="141"/>
      <c r="H155" s="125" t="e">
        <f t="shared" si="74"/>
        <v>#DIV/0!</v>
      </c>
      <c r="I155" s="127">
        <v>0</v>
      </c>
      <c r="J155" s="141">
        <v>0</v>
      </c>
      <c r="K155" s="125" t="e">
        <f t="shared" si="75"/>
        <v>#DIV/0!</v>
      </c>
      <c r="L155" s="141"/>
      <c r="M155" s="160"/>
      <c r="N155" s="127">
        <f t="shared" si="73"/>
        <v>0</v>
      </c>
      <c r="P155" s="30"/>
    </row>
    <row r="156" spans="1:16" ht="184.5" hidden="1" thickTop="1" thickBot="1" x14ac:dyDescent="0.25">
      <c r="A156" s="58"/>
      <c r="B156" s="145" t="s">
        <v>348</v>
      </c>
      <c r="C156" s="145" t="s">
        <v>264</v>
      </c>
      <c r="D156" s="75" t="s">
        <v>349</v>
      </c>
      <c r="E156" s="141">
        <v>0</v>
      </c>
      <c r="F156" s="141">
        <v>0</v>
      </c>
      <c r="G156" s="127">
        <v>0</v>
      </c>
      <c r="H156" s="125">
        <v>0</v>
      </c>
      <c r="I156" s="127"/>
      <c r="J156" s="127"/>
      <c r="K156" s="127"/>
      <c r="L156" s="127"/>
      <c r="M156" s="160"/>
      <c r="N156" s="127">
        <f t="shared" si="73"/>
        <v>0</v>
      </c>
      <c r="O156" s="177" t="s">
        <v>433</v>
      </c>
      <c r="P156" s="178"/>
    </row>
    <row r="157" spans="1:16" ht="93" thickTop="1" thickBot="1" x14ac:dyDescent="0.25">
      <c r="A157" s="58"/>
      <c r="B157" s="75" t="s">
        <v>508</v>
      </c>
      <c r="C157" s="75" t="s">
        <v>509</v>
      </c>
      <c r="D157" s="75" t="s">
        <v>510</v>
      </c>
      <c r="E157" s="141">
        <v>2307800</v>
      </c>
      <c r="F157" s="141">
        <v>232535</v>
      </c>
      <c r="G157" s="127">
        <v>115019.28</v>
      </c>
      <c r="H157" s="125">
        <f t="shared" si="74"/>
        <v>0.49463211989592965</v>
      </c>
      <c r="I157" s="127"/>
      <c r="J157" s="127"/>
      <c r="K157" s="127"/>
      <c r="L157" s="127"/>
      <c r="M157" s="160"/>
      <c r="N157" s="127">
        <f t="shared" si="73"/>
        <v>115019.28</v>
      </c>
      <c r="O157" s="177" t="s">
        <v>433</v>
      </c>
      <c r="P157" s="178"/>
    </row>
    <row r="158" spans="1:16" s="38" customFormat="1" ht="101.25" customHeight="1" thickTop="1" thickBot="1" x14ac:dyDescent="0.25">
      <c r="A158" s="60" t="s">
        <v>370</v>
      </c>
      <c r="B158" s="77" t="s">
        <v>31</v>
      </c>
      <c r="C158" s="77"/>
      <c r="D158" s="78" t="s">
        <v>371</v>
      </c>
      <c r="E158" s="79">
        <f>E159+E161+E174+E182+E185</f>
        <v>180646235</v>
      </c>
      <c r="F158" s="79">
        <f>F159+F161+F174+F182+F185</f>
        <v>92435676</v>
      </c>
      <c r="G158" s="79">
        <f>G159+G161+G174+G182+G185</f>
        <v>82854945.670000017</v>
      </c>
      <c r="H158" s="80">
        <f>G158/F158</f>
        <v>0.89635246103463362</v>
      </c>
      <c r="I158" s="79">
        <f>I159+I161+I174+I182+I185</f>
        <v>178288727.67000002</v>
      </c>
      <c r="J158" s="79">
        <f>J159+J161+J174+J182+J185</f>
        <v>59517427.169999994</v>
      </c>
      <c r="K158" s="80">
        <f>J158/I158</f>
        <v>0.33382608058184471</v>
      </c>
      <c r="L158" s="79"/>
      <c r="M158" s="79"/>
      <c r="N158" s="81">
        <f>J158+G158</f>
        <v>142372372.84</v>
      </c>
      <c r="O158" s="53" t="b">
        <f>N158=N160+N162+N164+N165+N167+N168+N169+N173+N178+N181+N183+N186+N188+N189+N190+N191+N192+N193+N195+N197+N176+N166+N167</f>
        <v>1</v>
      </c>
      <c r="P158" s="51"/>
    </row>
    <row r="159" spans="1:16" s="38" customFormat="1" ht="91.5" thickTop="1" thickBot="1" x14ac:dyDescent="0.25">
      <c r="A159" s="82"/>
      <c r="B159" s="146" t="s">
        <v>414</v>
      </c>
      <c r="C159" s="146"/>
      <c r="D159" s="146" t="s">
        <v>415</v>
      </c>
      <c r="E159" s="147">
        <f>SUM(E160)</f>
        <v>160000</v>
      </c>
      <c r="F159" s="147">
        <f>SUM(F160)</f>
        <v>160000</v>
      </c>
      <c r="G159" s="147">
        <f>SUM(G160)</f>
        <v>87814</v>
      </c>
      <c r="H159" s="148">
        <f>G159/F159</f>
        <v>0.54883749999999998</v>
      </c>
      <c r="I159" s="147">
        <f>SUM(I160)</f>
        <v>0</v>
      </c>
      <c r="J159" s="147">
        <f t="shared" ref="J159" si="76">SUM(J160)</f>
        <v>0</v>
      </c>
      <c r="K159" s="148">
        <v>0</v>
      </c>
      <c r="L159" s="147"/>
      <c r="M159" s="147"/>
      <c r="N159" s="147">
        <f t="shared" si="73"/>
        <v>87814</v>
      </c>
      <c r="O159" s="177" t="s">
        <v>433</v>
      </c>
      <c r="P159" s="178"/>
    </row>
    <row r="160" spans="1:16" s="38" customFormat="1" ht="62.25" thickTop="1" thickBot="1" x14ac:dyDescent="0.25">
      <c r="A160" s="82"/>
      <c r="B160" s="75" t="s">
        <v>416</v>
      </c>
      <c r="C160" s="75" t="s">
        <v>417</v>
      </c>
      <c r="D160" s="75" t="s">
        <v>418</v>
      </c>
      <c r="E160" s="127">
        <v>160000</v>
      </c>
      <c r="F160" s="127">
        <v>160000</v>
      </c>
      <c r="G160" s="127">
        <v>87814</v>
      </c>
      <c r="H160" s="125">
        <f t="shared" ref="H160" si="77">G160/F160</f>
        <v>0.54883749999999998</v>
      </c>
      <c r="I160" s="127">
        <v>0</v>
      </c>
      <c r="J160" s="127">
        <v>0</v>
      </c>
      <c r="K160" s="125">
        <v>0</v>
      </c>
      <c r="L160" s="127"/>
      <c r="M160" s="160"/>
      <c r="N160" s="127">
        <f t="shared" si="73"/>
        <v>87814</v>
      </c>
      <c r="O160" s="177" t="s">
        <v>433</v>
      </c>
      <c r="P160" s="178"/>
    </row>
    <row r="161" spans="1:16" s="38" customFormat="1" ht="62.25" thickTop="1" thickBot="1" x14ac:dyDescent="0.25">
      <c r="A161" s="82"/>
      <c r="B161" s="146" t="s">
        <v>265</v>
      </c>
      <c r="C161" s="146"/>
      <c r="D161" s="146" t="s">
        <v>266</v>
      </c>
      <c r="E161" s="149">
        <f>SUM(E162:E173)-E163-E171</f>
        <v>50000</v>
      </c>
      <c r="F161" s="149">
        <f>SUM(F162:F173)-F163-F171</f>
        <v>0</v>
      </c>
      <c r="G161" s="149">
        <f>SUM(G162:G173)-G163-G171</f>
        <v>0</v>
      </c>
      <c r="H161" s="148">
        <v>0</v>
      </c>
      <c r="I161" s="149">
        <f>SUM(I162:I173)-I163-I171</f>
        <v>96721546.189999998</v>
      </c>
      <c r="J161" s="149">
        <f>SUM(J162:J173)-J163-J171</f>
        <v>20867490.669999998</v>
      </c>
      <c r="K161" s="148">
        <f t="shared" ref="K161" si="78">J161/I161</f>
        <v>0.21574810879271777</v>
      </c>
      <c r="L161" s="149"/>
      <c r="M161" s="149"/>
      <c r="N161" s="147">
        <f>G161+J161</f>
        <v>20867490.669999998</v>
      </c>
      <c r="O161" s="177" t="s">
        <v>433</v>
      </c>
      <c r="P161" s="178"/>
    </row>
    <row r="162" spans="1:16" s="38" customFormat="1" ht="93" customHeight="1" thickTop="1" thickBot="1" x14ac:dyDescent="0.25">
      <c r="A162" s="82"/>
      <c r="B162" s="75" t="s">
        <v>380</v>
      </c>
      <c r="C162" s="75" t="s">
        <v>268</v>
      </c>
      <c r="D162" s="75" t="s">
        <v>525</v>
      </c>
      <c r="E162" s="141"/>
      <c r="F162" s="141"/>
      <c r="G162" s="141"/>
      <c r="H162" s="141"/>
      <c r="I162" s="127">
        <f>1000000+1200000</f>
        <v>2200000</v>
      </c>
      <c r="J162" s="141">
        <v>0</v>
      </c>
      <c r="K162" s="125">
        <f>J162/I162</f>
        <v>0</v>
      </c>
      <c r="L162" s="141"/>
      <c r="M162" s="160"/>
      <c r="N162" s="127">
        <f t="shared" si="73"/>
        <v>0</v>
      </c>
      <c r="O162" s="39"/>
      <c r="P162" s="51"/>
    </row>
    <row r="163" spans="1:16" s="38" customFormat="1" ht="93" thickTop="1" thickBot="1" x14ac:dyDescent="0.25">
      <c r="A163" s="60"/>
      <c r="B163" s="76" t="s">
        <v>267</v>
      </c>
      <c r="C163" s="76"/>
      <c r="D163" s="76" t="s">
        <v>526</v>
      </c>
      <c r="E163" s="128"/>
      <c r="F163" s="128"/>
      <c r="G163" s="128"/>
      <c r="H163" s="129"/>
      <c r="I163" s="128">
        <f>SUM(I164:I168)</f>
        <v>84794968.189999998</v>
      </c>
      <c r="J163" s="128">
        <f>SUM(J164:J168)</f>
        <v>19251324.190000001</v>
      </c>
      <c r="K163" s="129">
        <f t="shared" ref="K163:K164" si="79">J163/I163</f>
        <v>0.22703380402081855</v>
      </c>
      <c r="L163" s="128"/>
      <c r="M163" s="128"/>
      <c r="N163" s="128">
        <f t="shared" si="73"/>
        <v>19251324.190000001</v>
      </c>
      <c r="O163" s="39"/>
      <c r="P163" s="51"/>
    </row>
    <row r="164" spans="1:16" s="38" customFormat="1" ht="48" thickTop="1" thickBot="1" x14ac:dyDescent="0.25">
      <c r="A164" s="60"/>
      <c r="B164" s="75" t="s">
        <v>396</v>
      </c>
      <c r="C164" s="75" t="s">
        <v>268</v>
      </c>
      <c r="D164" s="75" t="s">
        <v>527</v>
      </c>
      <c r="E164" s="127"/>
      <c r="F164" s="127"/>
      <c r="G164" s="127"/>
      <c r="H164" s="127"/>
      <c r="I164" s="127">
        <v>80286043.200000003</v>
      </c>
      <c r="J164" s="127">
        <v>19251324.190000001</v>
      </c>
      <c r="K164" s="125">
        <f t="shared" si="79"/>
        <v>0.23978419439656731</v>
      </c>
      <c r="L164" s="127"/>
      <c r="M164" s="160"/>
      <c r="N164" s="127">
        <f t="shared" si="73"/>
        <v>19251324.190000001</v>
      </c>
      <c r="O164" s="39"/>
      <c r="P164" s="51"/>
    </row>
    <row r="165" spans="1:16" s="38" customFormat="1" ht="48" thickTop="1" thickBot="1" x14ac:dyDescent="0.25">
      <c r="A165" s="60"/>
      <c r="B165" s="75" t="s">
        <v>519</v>
      </c>
      <c r="C165" s="75" t="s">
        <v>268</v>
      </c>
      <c r="D165" s="75" t="s">
        <v>528</v>
      </c>
      <c r="E165" s="127"/>
      <c r="F165" s="127"/>
      <c r="G165" s="127"/>
      <c r="H165" s="127"/>
      <c r="I165" s="127">
        <v>3058924.99</v>
      </c>
      <c r="J165" s="127">
        <v>0</v>
      </c>
      <c r="K165" s="125">
        <f t="shared" ref="K165" si="80">J165/I165</f>
        <v>0</v>
      </c>
      <c r="L165" s="127"/>
      <c r="M165" s="160"/>
      <c r="N165" s="127">
        <f t="shared" ref="N165" si="81">G165+J165</f>
        <v>0</v>
      </c>
      <c r="O165" s="39"/>
      <c r="P165" s="51"/>
    </row>
    <row r="166" spans="1:16" s="38" customFormat="1" ht="93" thickTop="1" thickBot="1" x14ac:dyDescent="0.25">
      <c r="A166" s="60"/>
      <c r="B166" s="75" t="s">
        <v>448</v>
      </c>
      <c r="C166" s="75" t="s">
        <v>268</v>
      </c>
      <c r="D166" s="75" t="s">
        <v>523</v>
      </c>
      <c r="E166" s="127"/>
      <c r="F166" s="127"/>
      <c r="G166" s="127"/>
      <c r="H166" s="127"/>
      <c r="I166" s="127">
        <v>450000</v>
      </c>
      <c r="J166" s="127">
        <v>0</v>
      </c>
      <c r="K166" s="125">
        <f>J166/I166</f>
        <v>0</v>
      </c>
      <c r="L166" s="127"/>
      <c r="M166" s="160"/>
      <c r="N166" s="127">
        <f t="shared" si="73"/>
        <v>0</v>
      </c>
      <c r="O166" s="50"/>
      <c r="P166" s="51"/>
    </row>
    <row r="167" spans="1:16" s="38" customFormat="1" ht="48" thickTop="1" thickBot="1" x14ac:dyDescent="0.25">
      <c r="A167" s="60"/>
      <c r="B167" s="75" t="s">
        <v>397</v>
      </c>
      <c r="C167" s="75" t="s">
        <v>268</v>
      </c>
      <c r="D167" s="75" t="s">
        <v>529</v>
      </c>
      <c r="E167" s="127"/>
      <c r="F167" s="127"/>
      <c r="G167" s="127"/>
      <c r="H167" s="127"/>
      <c r="I167" s="127">
        <v>1000000</v>
      </c>
      <c r="J167" s="127">
        <v>0</v>
      </c>
      <c r="K167" s="125">
        <f>J167/I167</f>
        <v>0</v>
      </c>
      <c r="L167" s="127"/>
      <c r="M167" s="160"/>
      <c r="N167" s="127">
        <f t="shared" ref="N167" si="82">G167+J167</f>
        <v>0</v>
      </c>
      <c r="O167" s="39"/>
      <c r="P167" s="51"/>
    </row>
    <row r="168" spans="1:16" s="38" customFormat="1" ht="93" hidden="1" thickTop="1" thickBot="1" x14ac:dyDescent="0.25">
      <c r="A168" s="82"/>
      <c r="B168" s="75" t="s">
        <v>520</v>
      </c>
      <c r="C168" s="75" t="s">
        <v>268</v>
      </c>
      <c r="D168" s="75" t="s">
        <v>524</v>
      </c>
      <c r="E168" s="127"/>
      <c r="F168" s="127"/>
      <c r="G168" s="127"/>
      <c r="H168" s="127"/>
      <c r="I168" s="127">
        <v>0</v>
      </c>
      <c r="J168" s="127">
        <v>0</v>
      </c>
      <c r="K168" s="125" t="e">
        <f t="shared" ref="K168:K174" si="83">J168/I168</f>
        <v>#DIV/0!</v>
      </c>
      <c r="L168" s="127"/>
      <c r="M168" s="160"/>
      <c r="N168" s="127">
        <f t="shared" si="73"/>
        <v>0</v>
      </c>
      <c r="O168" s="39"/>
      <c r="P168" s="51"/>
    </row>
    <row r="169" spans="1:16" s="38" customFormat="1" ht="93" thickTop="1" thickBot="1" x14ac:dyDescent="0.25">
      <c r="A169" s="8"/>
      <c r="B169" s="75" t="s">
        <v>398</v>
      </c>
      <c r="C169" s="75" t="s">
        <v>268</v>
      </c>
      <c r="D169" s="75" t="s">
        <v>530</v>
      </c>
      <c r="E169" s="127"/>
      <c r="F169" s="127"/>
      <c r="G169" s="127"/>
      <c r="H169" s="127"/>
      <c r="I169" s="127">
        <v>5726578</v>
      </c>
      <c r="J169" s="127">
        <v>1616166.48</v>
      </c>
      <c r="K169" s="125">
        <f>J169/I169</f>
        <v>0.28222203207570035</v>
      </c>
      <c r="L169" s="127"/>
      <c r="M169" s="160"/>
      <c r="N169" s="127">
        <f t="shared" si="73"/>
        <v>1616166.48</v>
      </c>
      <c r="O169" s="39"/>
      <c r="P169" s="51"/>
    </row>
    <row r="170" spans="1:16" s="38" customFormat="1" ht="93" hidden="1" thickTop="1" thickBot="1" x14ac:dyDescent="0.25">
      <c r="A170" s="82"/>
      <c r="B170" s="92" t="s">
        <v>449</v>
      </c>
      <c r="C170" s="92" t="s">
        <v>268</v>
      </c>
      <c r="D170" s="92" t="s">
        <v>450</v>
      </c>
      <c r="E170" s="93"/>
      <c r="F170" s="93"/>
      <c r="G170" s="93"/>
      <c r="H170" s="93"/>
      <c r="I170" s="93">
        <v>0</v>
      </c>
      <c r="J170" s="93">
        <v>0</v>
      </c>
      <c r="K170" s="91" t="e">
        <f t="shared" si="83"/>
        <v>#DIV/0!</v>
      </c>
      <c r="L170" s="93"/>
      <c r="M170" s="94"/>
      <c r="N170" s="93">
        <f t="shared" si="73"/>
        <v>0</v>
      </c>
      <c r="O170" s="39"/>
      <c r="P170" s="51"/>
    </row>
    <row r="171" spans="1:16" s="38" customFormat="1" ht="123" hidden="1" thickTop="1" thickBot="1" x14ac:dyDescent="0.25">
      <c r="A171" s="82"/>
      <c r="B171" s="95" t="s">
        <v>497</v>
      </c>
      <c r="C171" s="95"/>
      <c r="D171" s="95" t="s">
        <v>499</v>
      </c>
      <c r="E171" s="96">
        <f>E172</f>
        <v>0</v>
      </c>
      <c r="F171" s="96">
        <f>F172</f>
        <v>0</v>
      </c>
      <c r="G171" s="96">
        <f t="shared" ref="G171" si="84">G172</f>
        <v>0</v>
      </c>
      <c r="H171" s="97"/>
      <c r="I171" s="96">
        <f>I172</f>
        <v>0</v>
      </c>
      <c r="J171" s="96">
        <f>J172</f>
        <v>0</v>
      </c>
      <c r="K171" s="91" t="e">
        <f t="shared" si="83"/>
        <v>#DIV/0!</v>
      </c>
      <c r="L171" s="96"/>
      <c r="M171" s="96"/>
      <c r="N171" s="96">
        <f t="shared" si="73"/>
        <v>0</v>
      </c>
      <c r="O171" s="50" t="s">
        <v>433</v>
      </c>
      <c r="P171" s="51"/>
    </row>
    <row r="172" spans="1:16" s="38" customFormat="1" ht="138.75" hidden="1" thickTop="1" thickBot="1" x14ac:dyDescent="0.25">
      <c r="A172" s="82"/>
      <c r="B172" s="92" t="s">
        <v>498</v>
      </c>
      <c r="C172" s="92" t="s">
        <v>39</v>
      </c>
      <c r="D172" s="92" t="s">
        <v>500</v>
      </c>
      <c r="E172" s="93"/>
      <c r="F172" s="93"/>
      <c r="G172" s="93"/>
      <c r="H172" s="93"/>
      <c r="I172" s="93"/>
      <c r="J172" s="93">
        <v>0</v>
      </c>
      <c r="K172" s="91" t="e">
        <f t="shared" si="83"/>
        <v>#DIV/0!</v>
      </c>
      <c r="L172" s="93"/>
      <c r="M172" s="94"/>
      <c r="N172" s="93">
        <f t="shared" si="73"/>
        <v>0</v>
      </c>
      <c r="O172" s="39"/>
      <c r="P172" s="51"/>
    </row>
    <row r="173" spans="1:16" s="38" customFormat="1" ht="93" thickTop="1" thickBot="1" x14ac:dyDescent="0.25">
      <c r="A173" s="8"/>
      <c r="B173" s="75" t="s">
        <v>399</v>
      </c>
      <c r="C173" s="75" t="s">
        <v>39</v>
      </c>
      <c r="D173" s="75" t="s">
        <v>400</v>
      </c>
      <c r="E173" s="127">
        <v>50000</v>
      </c>
      <c r="F173" s="127">
        <v>0</v>
      </c>
      <c r="G173" s="127">
        <v>0</v>
      </c>
      <c r="H173" s="125">
        <v>0</v>
      </c>
      <c r="I173" s="127">
        <v>4000000</v>
      </c>
      <c r="J173" s="127">
        <v>0</v>
      </c>
      <c r="K173" s="125">
        <f>J173/I173</f>
        <v>0</v>
      </c>
      <c r="L173" s="127"/>
      <c r="M173" s="160"/>
      <c r="N173" s="127">
        <f>G173+J173</f>
        <v>0</v>
      </c>
      <c r="O173" s="177" t="s">
        <v>433</v>
      </c>
      <c r="P173" s="178"/>
    </row>
    <row r="174" spans="1:16" s="38" customFormat="1" ht="91.5" thickTop="1" thickBot="1" x14ac:dyDescent="0.25">
      <c r="A174" s="57"/>
      <c r="B174" s="146" t="s">
        <v>381</v>
      </c>
      <c r="C174" s="146"/>
      <c r="D174" s="146" t="s">
        <v>382</v>
      </c>
      <c r="E174" s="147">
        <f>SUM(E175:E181)-E177-E180-E175</f>
        <v>158910533</v>
      </c>
      <c r="F174" s="147">
        <f>SUM(F175:F181)-F177-F180-F175</f>
        <v>80658475</v>
      </c>
      <c r="G174" s="147">
        <f>SUM(G175:G181)-G177-G180-G175</f>
        <v>74144579.590000018</v>
      </c>
      <c r="H174" s="148">
        <f t="shared" ref="H174" si="85">G174/F174</f>
        <v>0.91924102941445418</v>
      </c>
      <c r="I174" s="147">
        <f>SUM(I175:I181)-I177-I180-I175</f>
        <v>2935752</v>
      </c>
      <c r="J174" s="147">
        <f>SUM(J175:J181)-J177-J180-J175</f>
        <v>925911.69</v>
      </c>
      <c r="K174" s="148">
        <f t="shared" si="83"/>
        <v>0.31539165774220707</v>
      </c>
      <c r="L174" s="147"/>
      <c r="M174" s="147"/>
      <c r="N174" s="147">
        <f>G174+J174</f>
        <v>75070491.280000016</v>
      </c>
      <c r="O174" s="39"/>
      <c r="P174" s="51"/>
    </row>
    <row r="175" spans="1:16" s="38" customFormat="1" ht="93" thickTop="1" thickBot="1" x14ac:dyDescent="0.25">
      <c r="A175" s="57"/>
      <c r="B175" s="76" t="s">
        <v>465</v>
      </c>
      <c r="C175" s="76"/>
      <c r="D175" s="76" t="s">
        <v>466</v>
      </c>
      <c r="E175" s="128">
        <f>E176</f>
        <v>550000</v>
      </c>
      <c r="F175" s="128">
        <f>F176</f>
        <v>275000</v>
      </c>
      <c r="G175" s="128">
        <f>G176</f>
        <v>242069.35</v>
      </c>
      <c r="H175" s="129">
        <f t="shared" ref="H175:H190" si="86">G175/F175</f>
        <v>0.88025218181818188</v>
      </c>
      <c r="I175" s="128">
        <f>I176</f>
        <v>0</v>
      </c>
      <c r="J175" s="128">
        <f>J176</f>
        <v>0</v>
      </c>
      <c r="K175" s="125">
        <v>0</v>
      </c>
      <c r="L175" s="128"/>
      <c r="M175" s="128"/>
      <c r="N175" s="128">
        <f t="shared" si="73"/>
        <v>242069.35</v>
      </c>
      <c r="O175" s="50"/>
      <c r="P175" s="51"/>
    </row>
    <row r="176" spans="1:16" s="38" customFormat="1" ht="48" thickTop="1" thickBot="1" x14ac:dyDescent="0.25">
      <c r="A176" s="57"/>
      <c r="B176" s="75" t="s">
        <v>467</v>
      </c>
      <c r="C176" s="75" t="s">
        <v>468</v>
      </c>
      <c r="D176" s="75" t="s">
        <v>469</v>
      </c>
      <c r="E176" s="127">
        <v>550000</v>
      </c>
      <c r="F176" s="127">
        <v>275000</v>
      </c>
      <c r="G176" s="127">
        <v>242069.35</v>
      </c>
      <c r="H176" s="125">
        <f>G176/F176</f>
        <v>0.88025218181818188</v>
      </c>
      <c r="I176" s="127"/>
      <c r="J176" s="127"/>
      <c r="K176" s="127"/>
      <c r="L176" s="127"/>
      <c r="M176" s="160"/>
      <c r="N176" s="127">
        <f t="shared" si="73"/>
        <v>242069.35</v>
      </c>
      <c r="O176" s="39"/>
      <c r="P176" s="51"/>
    </row>
    <row r="177" spans="1:16" s="38" customFormat="1" ht="93" thickTop="1" thickBot="1" x14ac:dyDescent="0.25">
      <c r="A177" s="57"/>
      <c r="B177" s="76" t="s">
        <v>401</v>
      </c>
      <c r="C177" s="76"/>
      <c r="D177" s="76" t="s">
        <v>402</v>
      </c>
      <c r="E177" s="128">
        <f>E178</f>
        <v>158360533</v>
      </c>
      <c r="F177" s="128">
        <f t="shared" ref="F177:G177" si="87">F178</f>
        <v>80383475</v>
      </c>
      <c r="G177" s="128">
        <f t="shared" si="87"/>
        <v>73902510.239999995</v>
      </c>
      <c r="H177" s="125">
        <f t="shared" si="86"/>
        <v>0.91937441420640242</v>
      </c>
      <c r="I177" s="128"/>
      <c r="J177" s="128"/>
      <c r="K177" s="129"/>
      <c r="L177" s="128"/>
      <c r="M177" s="128"/>
      <c r="N177" s="128">
        <f t="shared" si="73"/>
        <v>73902510.239999995</v>
      </c>
      <c r="O177" s="50"/>
      <c r="P177" s="51"/>
    </row>
    <row r="178" spans="1:16" s="38" customFormat="1" ht="48" thickTop="1" thickBot="1" x14ac:dyDescent="0.25">
      <c r="A178" s="57"/>
      <c r="B178" s="75" t="s">
        <v>403</v>
      </c>
      <c r="C178" s="75" t="s">
        <v>404</v>
      </c>
      <c r="D178" s="75" t="s">
        <v>405</v>
      </c>
      <c r="E178" s="127">
        <v>158360533</v>
      </c>
      <c r="F178" s="127">
        <v>80383475</v>
      </c>
      <c r="G178" s="127">
        <v>73902510.239999995</v>
      </c>
      <c r="H178" s="125">
        <f t="shared" si="86"/>
        <v>0.91937441420640242</v>
      </c>
      <c r="I178" s="127"/>
      <c r="J178" s="127"/>
      <c r="K178" s="127"/>
      <c r="L178" s="127"/>
      <c r="M178" s="160"/>
      <c r="N178" s="127">
        <f t="shared" si="73"/>
        <v>73902510.239999995</v>
      </c>
      <c r="O178" s="39"/>
      <c r="P178" s="51"/>
    </row>
    <row r="179" spans="1:16" s="38" customFormat="1" ht="62.25" hidden="1" thickTop="1" thickBot="1" x14ac:dyDescent="0.25">
      <c r="A179" s="57"/>
      <c r="B179" s="92" t="s">
        <v>511</v>
      </c>
      <c r="C179" s="92" t="s">
        <v>384</v>
      </c>
      <c r="D179" s="92" t="s">
        <v>512</v>
      </c>
      <c r="E179" s="93">
        <v>0</v>
      </c>
      <c r="F179" s="93">
        <v>0</v>
      </c>
      <c r="G179" s="93">
        <v>0</v>
      </c>
      <c r="H179" s="91" t="e">
        <f t="shared" si="86"/>
        <v>#DIV/0!</v>
      </c>
      <c r="I179" s="127"/>
      <c r="J179" s="127"/>
      <c r="K179" s="127"/>
      <c r="L179" s="127"/>
      <c r="M179" s="160"/>
      <c r="N179" s="127">
        <f t="shared" si="73"/>
        <v>0</v>
      </c>
      <c r="O179" s="50"/>
      <c r="P179" s="51"/>
    </row>
    <row r="180" spans="1:16" s="38" customFormat="1" ht="93" thickTop="1" thickBot="1" x14ac:dyDescent="0.25">
      <c r="A180" s="57"/>
      <c r="B180" s="76" t="s">
        <v>446</v>
      </c>
      <c r="C180" s="76"/>
      <c r="D180" s="76" t="s">
        <v>447</v>
      </c>
      <c r="E180" s="128">
        <f>E181</f>
        <v>0</v>
      </c>
      <c r="F180" s="128">
        <f>F181</f>
        <v>0</v>
      </c>
      <c r="G180" s="128">
        <f>G181</f>
        <v>0</v>
      </c>
      <c r="H180" s="129">
        <v>0</v>
      </c>
      <c r="I180" s="128">
        <f>I181</f>
        <v>2935752</v>
      </c>
      <c r="J180" s="128">
        <f>J181</f>
        <v>925911.69</v>
      </c>
      <c r="K180" s="129">
        <f t="shared" ref="K180:K181" si="88">J180/I180</f>
        <v>0.31539165774220707</v>
      </c>
      <c r="L180" s="128"/>
      <c r="M180" s="161"/>
      <c r="N180" s="128">
        <f t="shared" si="73"/>
        <v>925911.69</v>
      </c>
      <c r="O180" s="177" t="s">
        <v>433</v>
      </c>
      <c r="P180" s="178"/>
    </row>
    <row r="181" spans="1:16" s="38" customFormat="1" ht="138.75" thickTop="1" thickBot="1" x14ac:dyDescent="0.25">
      <c r="A181" s="8"/>
      <c r="B181" s="75" t="s">
        <v>383</v>
      </c>
      <c r="C181" s="75" t="s">
        <v>384</v>
      </c>
      <c r="D181" s="75" t="s">
        <v>385</v>
      </c>
      <c r="E181" s="141">
        <v>0</v>
      </c>
      <c r="F181" s="141">
        <v>0</v>
      </c>
      <c r="G181" s="141">
        <v>0</v>
      </c>
      <c r="H181" s="125">
        <v>0</v>
      </c>
      <c r="I181" s="141">
        <v>2935752</v>
      </c>
      <c r="J181" s="164">
        <v>925911.69</v>
      </c>
      <c r="K181" s="125">
        <f t="shared" si="88"/>
        <v>0.31539165774220707</v>
      </c>
      <c r="L181" s="164"/>
      <c r="M181" s="160"/>
      <c r="N181" s="127">
        <f t="shared" si="73"/>
        <v>925911.69</v>
      </c>
      <c r="O181" s="177" t="s">
        <v>433</v>
      </c>
      <c r="P181" s="178"/>
    </row>
    <row r="182" spans="1:16" s="38" customFormat="1" ht="62.25" thickTop="1" thickBot="1" x14ac:dyDescent="0.25">
      <c r="A182" s="8"/>
      <c r="B182" s="146" t="s">
        <v>32</v>
      </c>
      <c r="C182" s="8"/>
      <c r="D182" s="146" t="s">
        <v>33</v>
      </c>
      <c r="E182" s="149">
        <f>E183+E184</f>
        <v>5383000</v>
      </c>
      <c r="F182" s="149">
        <f>F183+F184</f>
        <v>2512920</v>
      </c>
      <c r="G182" s="149">
        <f>G183+G184</f>
        <v>2436185.69</v>
      </c>
      <c r="H182" s="148">
        <f t="shared" si="86"/>
        <v>0.96946408560559028</v>
      </c>
      <c r="I182" s="149">
        <f>I183+I184</f>
        <v>0</v>
      </c>
      <c r="J182" s="149">
        <f>J183+J184</f>
        <v>0</v>
      </c>
      <c r="K182" s="148">
        <v>0</v>
      </c>
      <c r="L182" s="123"/>
      <c r="M182" s="123"/>
      <c r="N182" s="147">
        <f>G182+J182</f>
        <v>2436185.69</v>
      </c>
      <c r="O182" s="177" t="s">
        <v>433</v>
      </c>
      <c r="P182" s="178"/>
    </row>
    <row r="183" spans="1:16" s="38" customFormat="1" ht="48" thickTop="1" thickBot="1" x14ac:dyDescent="0.25">
      <c r="A183" s="8"/>
      <c r="B183" s="75" t="s">
        <v>34</v>
      </c>
      <c r="C183" s="75" t="s">
        <v>501</v>
      </c>
      <c r="D183" s="75" t="s">
        <v>35</v>
      </c>
      <c r="E183" s="141">
        <v>5383000</v>
      </c>
      <c r="F183" s="141">
        <v>2512920</v>
      </c>
      <c r="G183" s="141">
        <v>2436185.69</v>
      </c>
      <c r="H183" s="125">
        <f t="shared" si="86"/>
        <v>0.96946408560559028</v>
      </c>
      <c r="I183" s="141"/>
      <c r="J183" s="141"/>
      <c r="K183" s="125"/>
      <c r="L183" s="123"/>
      <c r="M183" s="123"/>
      <c r="N183" s="127">
        <f t="shared" si="73"/>
        <v>2436185.69</v>
      </c>
      <c r="O183" s="39"/>
      <c r="P183" s="51"/>
    </row>
    <row r="184" spans="1:16" s="38" customFormat="1" ht="138.75" hidden="1" thickTop="1" thickBot="1" x14ac:dyDescent="0.25">
      <c r="A184" s="57"/>
      <c r="B184" s="98" t="s">
        <v>451</v>
      </c>
      <c r="C184" s="98" t="s">
        <v>501</v>
      </c>
      <c r="D184" s="98" t="s">
        <v>452</v>
      </c>
      <c r="E184" s="108"/>
      <c r="F184" s="108"/>
      <c r="G184" s="108"/>
      <c r="H184" s="91" t="e">
        <f t="shared" si="86"/>
        <v>#DIV/0!</v>
      </c>
      <c r="I184" s="165">
        <v>0</v>
      </c>
      <c r="J184" s="165">
        <v>0</v>
      </c>
      <c r="K184" s="135">
        <v>0</v>
      </c>
      <c r="L184" s="115"/>
      <c r="M184" s="115"/>
      <c r="N184" s="134">
        <f t="shared" si="73"/>
        <v>0</v>
      </c>
      <c r="O184" s="50" t="s">
        <v>433</v>
      </c>
      <c r="P184" s="51"/>
    </row>
    <row r="185" spans="1:16" s="38" customFormat="1" ht="91.5" thickTop="1" thickBot="1" x14ac:dyDescent="0.25">
      <c r="A185" s="57"/>
      <c r="B185" s="146" t="s">
        <v>36</v>
      </c>
      <c r="C185" s="8"/>
      <c r="D185" s="146" t="s">
        <v>37</v>
      </c>
      <c r="E185" s="149">
        <f>SUM(E186:E197)-E194-E187</f>
        <v>16142702</v>
      </c>
      <c r="F185" s="149">
        <f>SUM(F186:F197)-F194-F187</f>
        <v>9104281</v>
      </c>
      <c r="G185" s="149">
        <f>SUM(G186:G197)-G194-G187</f>
        <v>6186366.3900000006</v>
      </c>
      <c r="H185" s="148">
        <f t="shared" si="86"/>
        <v>0.67950081835127896</v>
      </c>
      <c r="I185" s="149">
        <f>SUM(I186:I197)-I194-I187</f>
        <v>78631429.480000004</v>
      </c>
      <c r="J185" s="149">
        <f>SUM(J186:J197)-J194-J187</f>
        <v>37724024.809999995</v>
      </c>
      <c r="K185" s="148">
        <f>J185/I185</f>
        <v>0.47975758624094639</v>
      </c>
      <c r="L185" s="123"/>
      <c r="M185" s="123"/>
      <c r="N185" s="147">
        <f t="shared" si="73"/>
        <v>43910391.199999996</v>
      </c>
      <c r="O185" s="39"/>
      <c r="P185" s="51"/>
    </row>
    <row r="186" spans="1:16" s="38" customFormat="1" ht="93" thickTop="1" thickBot="1" x14ac:dyDescent="0.25">
      <c r="A186" s="57"/>
      <c r="B186" s="75" t="s">
        <v>406</v>
      </c>
      <c r="C186" s="75" t="s">
        <v>407</v>
      </c>
      <c r="D186" s="75" t="s">
        <v>408</v>
      </c>
      <c r="E186" s="127">
        <v>8245000</v>
      </c>
      <c r="F186" s="127">
        <v>3275694</v>
      </c>
      <c r="G186" s="127">
        <v>2783186.56</v>
      </c>
      <c r="H186" s="125">
        <f t="shared" si="86"/>
        <v>0.84964790972538951</v>
      </c>
      <c r="I186" s="127"/>
      <c r="J186" s="127"/>
      <c r="K186" s="125"/>
      <c r="L186" s="93"/>
      <c r="M186" s="94"/>
      <c r="N186" s="127">
        <f t="shared" si="73"/>
        <v>2783186.56</v>
      </c>
      <c r="O186" s="39"/>
      <c r="P186" s="51"/>
    </row>
    <row r="187" spans="1:16" s="38" customFormat="1" ht="62.25" thickTop="1" thickBot="1" x14ac:dyDescent="0.25">
      <c r="A187" s="60"/>
      <c r="B187" s="76" t="s">
        <v>470</v>
      </c>
      <c r="C187" s="76"/>
      <c r="D187" s="76" t="s">
        <v>472</v>
      </c>
      <c r="E187" s="128">
        <f>E188</f>
        <v>1026850</v>
      </c>
      <c r="F187" s="128">
        <f>F188</f>
        <v>513420</v>
      </c>
      <c r="G187" s="128">
        <f>G188</f>
        <v>462272.85</v>
      </c>
      <c r="H187" s="125">
        <f t="shared" si="86"/>
        <v>0.90037951384831127</v>
      </c>
      <c r="I187" s="128">
        <f>I188</f>
        <v>0</v>
      </c>
      <c r="J187" s="128">
        <f>J188</f>
        <v>0</v>
      </c>
      <c r="K187" s="129">
        <v>0</v>
      </c>
      <c r="L187" s="96"/>
      <c r="M187" s="121"/>
      <c r="N187" s="128">
        <f t="shared" si="73"/>
        <v>462272.85</v>
      </c>
      <c r="O187" s="177" t="s">
        <v>433</v>
      </c>
      <c r="P187" s="178"/>
    </row>
    <row r="188" spans="1:16" s="38" customFormat="1" ht="93" thickTop="1" thickBot="1" x14ac:dyDescent="0.25">
      <c r="A188" s="57"/>
      <c r="B188" s="75" t="s">
        <v>471</v>
      </c>
      <c r="C188" s="75" t="s">
        <v>373</v>
      </c>
      <c r="D188" s="75" t="s">
        <v>473</v>
      </c>
      <c r="E188" s="127">
        <v>1026850</v>
      </c>
      <c r="F188" s="127">
        <v>513420</v>
      </c>
      <c r="G188" s="127">
        <v>462272.85</v>
      </c>
      <c r="H188" s="125">
        <f t="shared" si="86"/>
        <v>0.90037951384831127</v>
      </c>
      <c r="I188" s="127"/>
      <c r="J188" s="127"/>
      <c r="K188" s="125"/>
      <c r="L188" s="93"/>
      <c r="M188" s="94"/>
      <c r="N188" s="127">
        <f t="shared" si="73"/>
        <v>462272.85</v>
      </c>
      <c r="O188" s="39"/>
      <c r="P188" s="51"/>
    </row>
    <row r="189" spans="1:16" s="38" customFormat="1" ht="93" thickTop="1" thickBot="1" x14ac:dyDescent="0.25">
      <c r="A189" s="57"/>
      <c r="B189" s="75" t="s">
        <v>409</v>
      </c>
      <c r="C189" s="75" t="s">
        <v>373</v>
      </c>
      <c r="D189" s="75" t="s">
        <v>410</v>
      </c>
      <c r="E189" s="127">
        <v>505000</v>
      </c>
      <c r="F189" s="127">
        <v>295000</v>
      </c>
      <c r="G189" s="127">
        <v>152247.16</v>
      </c>
      <c r="H189" s="125">
        <f t="shared" si="86"/>
        <v>0.51609206779661021</v>
      </c>
      <c r="I189" s="127">
        <f>71808.78</f>
        <v>71808.78</v>
      </c>
      <c r="J189" s="127">
        <v>71808.78</v>
      </c>
      <c r="K189" s="125">
        <f>J189/I189</f>
        <v>1</v>
      </c>
      <c r="L189" s="93"/>
      <c r="M189" s="94"/>
      <c r="N189" s="127">
        <f t="shared" si="73"/>
        <v>224055.94</v>
      </c>
      <c r="O189" s="39"/>
      <c r="P189" s="51"/>
    </row>
    <row r="190" spans="1:16" s="38" customFormat="1" ht="62.25" thickTop="1" thickBot="1" x14ac:dyDescent="0.25">
      <c r="A190" s="57"/>
      <c r="B190" s="75" t="s">
        <v>372</v>
      </c>
      <c r="C190" s="75" t="s">
        <v>373</v>
      </c>
      <c r="D190" s="75" t="s">
        <v>374</v>
      </c>
      <c r="E190" s="141">
        <v>3674517</v>
      </c>
      <c r="F190" s="141">
        <v>3674517</v>
      </c>
      <c r="G190" s="141">
        <v>1684745.86</v>
      </c>
      <c r="H190" s="125">
        <f t="shared" si="86"/>
        <v>0.45849450689709698</v>
      </c>
      <c r="I190" s="127">
        <f>28655255.9+2000000+2013660+13270990.8+15563884</f>
        <v>61503790.700000003</v>
      </c>
      <c r="J190" s="141">
        <v>36046182.149999999</v>
      </c>
      <c r="K190" s="125">
        <f>J190/I190</f>
        <v>0.58608065843980572</v>
      </c>
      <c r="L190" s="141"/>
      <c r="M190" s="160"/>
      <c r="N190" s="127">
        <f t="shared" si="73"/>
        <v>37730928.009999998</v>
      </c>
      <c r="O190" s="177"/>
      <c r="P190" s="178"/>
    </row>
    <row r="191" spans="1:16" s="38" customFormat="1" ht="93" thickTop="1" thickBot="1" x14ac:dyDescent="0.25">
      <c r="A191" s="57"/>
      <c r="B191" s="75" t="s">
        <v>419</v>
      </c>
      <c r="C191" s="75" t="s">
        <v>39</v>
      </c>
      <c r="D191" s="75" t="s">
        <v>420</v>
      </c>
      <c r="E191" s="127"/>
      <c r="F191" s="127"/>
      <c r="G191" s="127"/>
      <c r="H191" s="127"/>
      <c r="I191" s="127">
        <v>65000</v>
      </c>
      <c r="J191" s="127">
        <v>29000</v>
      </c>
      <c r="K191" s="125">
        <f>J191/I191</f>
        <v>0.44615384615384618</v>
      </c>
      <c r="L191" s="127"/>
      <c r="M191" s="160"/>
      <c r="N191" s="127">
        <f t="shared" si="73"/>
        <v>29000</v>
      </c>
      <c r="O191" s="39"/>
      <c r="P191" s="51"/>
    </row>
    <row r="192" spans="1:16" s="38" customFormat="1" ht="93" thickTop="1" thickBot="1" x14ac:dyDescent="0.25">
      <c r="A192" s="57"/>
      <c r="B192" s="75" t="s">
        <v>188</v>
      </c>
      <c r="C192" s="75" t="s">
        <v>39</v>
      </c>
      <c r="D192" s="75" t="s">
        <v>189</v>
      </c>
      <c r="E192" s="141"/>
      <c r="F192" s="141"/>
      <c r="G192" s="141"/>
      <c r="H192" s="141"/>
      <c r="I192" s="127">
        <v>11775030</v>
      </c>
      <c r="J192" s="141">
        <v>1153862.23</v>
      </c>
      <c r="K192" s="125">
        <f>J192/I192</f>
        <v>9.799229641028516E-2</v>
      </c>
      <c r="L192" s="141"/>
      <c r="M192" s="160"/>
      <c r="N192" s="127">
        <f t="shared" si="73"/>
        <v>1153862.23</v>
      </c>
      <c r="O192" s="39"/>
      <c r="P192" s="51"/>
    </row>
    <row r="193" spans="1:16" s="38" customFormat="1" ht="93" thickTop="1" thickBot="1" x14ac:dyDescent="0.25">
      <c r="A193" s="57"/>
      <c r="B193" s="75" t="s">
        <v>38</v>
      </c>
      <c r="C193" s="75" t="s">
        <v>39</v>
      </c>
      <c r="D193" s="75" t="s">
        <v>40</v>
      </c>
      <c r="E193" s="127">
        <v>329335</v>
      </c>
      <c r="F193" s="127">
        <v>164670</v>
      </c>
      <c r="G193" s="127">
        <v>109778.32</v>
      </c>
      <c r="H193" s="125">
        <f t="shared" ref="H193:H194" si="89">G193/F193</f>
        <v>0.66665646444403959</v>
      </c>
      <c r="I193" s="166"/>
      <c r="J193" s="166"/>
      <c r="K193" s="166"/>
      <c r="L193" s="166"/>
      <c r="M193" s="166"/>
      <c r="N193" s="127">
        <f t="shared" si="73"/>
        <v>109778.32</v>
      </c>
      <c r="O193" s="39"/>
      <c r="P193" s="51"/>
    </row>
    <row r="194" spans="1:16" s="38" customFormat="1" ht="48" thickTop="1" thickBot="1" x14ac:dyDescent="0.25">
      <c r="A194" s="57"/>
      <c r="B194" s="76" t="s">
        <v>41</v>
      </c>
      <c r="C194" s="76"/>
      <c r="D194" s="76" t="s">
        <v>375</v>
      </c>
      <c r="E194" s="142">
        <f>SUM(E195:E197)</f>
        <v>2362000</v>
      </c>
      <c r="F194" s="142">
        <f>SUM(F195:F197)</f>
        <v>1180980</v>
      </c>
      <c r="G194" s="142">
        <f>SUM(G195:G197)</f>
        <v>994135.64</v>
      </c>
      <c r="H194" s="125">
        <f t="shared" si="89"/>
        <v>0.84178871784450204</v>
      </c>
      <c r="I194" s="142">
        <f>SUM(I195:I197)</f>
        <v>5215800</v>
      </c>
      <c r="J194" s="142">
        <f>SUM(J195:J197)</f>
        <v>423171.65</v>
      </c>
      <c r="K194" s="129">
        <f>J194/I194</f>
        <v>8.1132645040070561E-2</v>
      </c>
      <c r="L194" s="142"/>
      <c r="M194" s="142"/>
      <c r="N194" s="128">
        <f t="shared" si="73"/>
        <v>1417307.29</v>
      </c>
      <c r="O194" s="39"/>
      <c r="P194" s="51"/>
    </row>
    <row r="195" spans="1:16" s="38" customFormat="1" ht="276" thickTop="1" thickBot="1" x14ac:dyDescent="0.7">
      <c r="A195" s="57"/>
      <c r="B195" s="179" t="s">
        <v>42</v>
      </c>
      <c r="C195" s="179" t="s">
        <v>39</v>
      </c>
      <c r="D195" s="150" t="s">
        <v>43</v>
      </c>
      <c r="E195" s="183"/>
      <c r="F195" s="183"/>
      <c r="G195" s="183"/>
      <c r="H195" s="183"/>
      <c r="I195" s="183">
        <v>5215800</v>
      </c>
      <c r="J195" s="183">
        <v>423171.65</v>
      </c>
      <c r="K195" s="181">
        <f>J195/I195</f>
        <v>8.1132645040070561E-2</v>
      </c>
      <c r="L195" s="183"/>
      <c r="M195" s="203"/>
      <c r="N195" s="183">
        <f>J195+G195</f>
        <v>423171.65</v>
      </c>
      <c r="O195" s="39"/>
      <c r="P195" s="51"/>
    </row>
    <row r="196" spans="1:16" s="38" customFormat="1" ht="138.75" thickTop="1" thickBot="1" x14ac:dyDescent="0.25">
      <c r="A196" s="57"/>
      <c r="B196" s="180"/>
      <c r="C196" s="180"/>
      <c r="D196" s="151" t="s">
        <v>44</v>
      </c>
      <c r="E196" s="184"/>
      <c r="F196" s="184"/>
      <c r="G196" s="184"/>
      <c r="H196" s="184"/>
      <c r="I196" s="184"/>
      <c r="J196" s="184"/>
      <c r="K196" s="182"/>
      <c r="L196" s="184"/>
      <c r="M196" s="204"/>
      <c r="N196" s="184"/>
      <c r="O196" s="39"/>
      <c r="P196" s="51"/>
    </row>
    <row r="197" spans="1:16" s="38" customFormat="1" ht="48" thickTop="1" thickBot="1" x14ac:dyDescent="0.25">
      <c r="A197" s="57"/>
      <c r="B197" s="75" t="s">
        <v>45</v>
      </c>
      <c r="C197" s="75" t="s">
        <v>39</v>
      </c>
      <c r="D197" s="75" t="s">
        <v>46</v>
      </c>
      <c r="E197" s="127">
        <v>2362000</v>
      </c>
      <c r="F197" s="127">
        <v>1180980</v>
      </c>
      <c r="G197" s="127">
        <v>994135.64</v>
      </c>
      <c r="H197" s="125">
        <f t="shared" ref="H197" si="90">G197/F197</f>
        <v>0.84178871784450204</v>
      </c>
      <c r="I197" s="127"/>
      <c r="J197" s="127"/>
      <c r="K197" s="125"/>
      <c r="L197" s="127"/>
      <c r="M197" s="160"/>
      <c r="N197" s="127">
        <f t="shared" ref="N197:N218" si="91">G197+J197</f>
        <v>994135.64</v>
      </c>
      <c r="O197" s="39"/>
      <c r="P197" s="51"/>
    </row>
    <row r="198" spans="1:16" s="38" customFormat="1" ht="107.45" customHeight="1" thickTop="1" thickBot="1" x14ac:dyDescent="0.25">
      <c r="A198" s="60"/>
      <c r="B198" s="77" t="s">
        <v>47</v>
      </c>
      <c r="C198" s="77"/>
      <c r="D198" s="78" t="s">
        <v>48</v>
      </c>
      <c r="E198" s="79">
        <f>SUM(E199:E212)-E199-E206-E208-E211-E202</f>
        <v>73072758.009999976</v>
      </c>
      <c r="F198" s="79">
        <f>SUM(F199:F212)-F199-F206-F208-F211-F202</f>
        <v>39759400</v>
      </c>
      <c r="G198" s="79">
        <f>SUM(G199:G212)-G199-G206-G208-G211-G202</f>
        <v>32077630.800000012</v>
      </c>
      <c r="H198" s="80">
        <f>G198/F198</f>
        <v>0.80679363370674639</v>
      </c>
      <c r="I198" s="79">
        <f>SUM(I199:I212)-I199-I206-I208-I211-I202</f>
        <v>130713366.34</v>
      </c>
      <c r="J198" s="79">
        <f>SUM(J199:J212)-J199-J206-J208-J211-J202</f>
        <v>83310880.980000004</v>
      </c>
      <c r="K198" s="80">
        <f t="shared" ref="K198:K204" si="92">J198/I198</f>
        <v>0.6373554848499513</v>
      </c>
      <c r="L198" s="79"/>
      <c r="M198" s="79"/>
      <c r="N198" s="81">
        <f>J198+G198</f>
        <v>115388511.78000002</v>
      </c>
      <c r="O198" s="53" t="b">
        <f>N198=N200+N201+N203+N204+N205+N207+N209+N212+N210</f>
        <v>1</v>
      </c>
      <c r="P198" s="51"/>
    </row>
    <row r="199" spans="1:16" s="38" customFormat="1" ht="107.45" customHeight="1" thickTop="1" thickBot="1" x14ac:dyDescent="0.25">
      <c r="A199" s="60"/>
      <c r="B199" s="146" t="s">
        <v>386</v>
      </c>
      <c r="C199" s="146"/>
      <c r="D199" s="152" t="s">
        <v>387</v>
      </c>
      <c r="E199" s="147">
        <f>SUM(E200:E201)</f>
        <v>7442368</v>
      </c>
      <c r="F199" s="147">
        <f>SUM(F200:F201)</f>
        <v>1825505</v>
      </c>
      <c r="G199" s="147">
        <f>SUM(G200:G201)</f>
        <v>1601563.48</v>
      </c>
      <c r="H199" s="148">
        <f>G199/F199</f>
        <v>0.87732626314362328</v>
      </c>
      <c r="I199" s="147">
        <f>SUM(I200:I201)</f>
        <v>0</v>
      </c>
      <c r="J199" s="147">
        <f>SUM(J200:J201)</f>
        <v>0</v>
      </c>
      <c r="K199" s="148">
        <v>0</v>
      </c>
      <c r="L199" s="147"/>
      <c r="M199" s="147"/>
      <c r="N199" s="147">
        <f t="shared" si="91"/>
        <v>1601563.48</v>
      </c>
      <c r="O199" s="177" t="s">
        <v>433</v>
      </c>
      <c r="P199" s="178"/>
    </row>
    <row r="200" spans="1:16" s="38" customFormat="1" ht="93" thickTop="1" thickBot="1" x14ac:dyDescent="0.25">
      <c r="A200" s="57"/>
      <c r="B200" s="75" t="s">
        <v>388</v>
      </c>
      <c r="C200" s="75" t="s">
        <v>389</v>
      </c>
      <c r="D200" s="75" t="s">
        <v>390</v>
      </c>
      <c r="E200" s="141">
        <v>4927223</v>
      </c>
      <c r="F200" s="141">
        <v>621500</v>
      </c>
      <c r="G200" s="141">
        <v>621404.98</v>
      </c>
      <c r="H200" s="125">
        <f>G200/F200</f>
        <v>0.99984711182622688</v>
      </c>
      <c r="I200" s="127"/>
      <c r="J200" s="127"/>
      <c r="K200" s="125"/>
      <c r="L200" s="141"/>
      <c r="M200" s="160"/>
      <c r="N200" s="127">
        <f t="shared" si="91"/>
        <v>621404.98</v>
      </c>
      <c r="O200" s="177"/>
      <c r="P200" s="178"/>
    </row>
    <row r="201" spans="1:16" s="38" customFormat="1" ht="48" thickTop="1" thickBot="1" x14ac:dyDescent="0.25">
      <c r="A201" s="57"/>
      <c r="B201" s="75" t="s">
        <v>391</v>
      </c>
      <c r="C201" s="75" t="s">
        <v>389</v>
      </c>
      <c r="D201" s="75" t="s">
        <v>392</v>
      </c>
      <c r="E201" s="141">
        <v>2515145</v>
      </c>
      <c r="F201" s="141">
        <v>1204005</v>
      </c>
      <c r="G201" s="141">
        <v>980158.5</v>
      </c>
      <c r="H201" s="125">
        <f t="shared" ref="H201:H209" si="93">G201/F201</f>
        <v>0.81408175215219203</v>
      </c>
      <c r="I201" s="127"/>
      <c r="J201" s="127"/>
      <c r="K201" s="125"/>
      <c r="L201" s="141"/>
      <c r="M201" s="160"/>
      <c r="N201" s="127">
        <f t="shared" si="91"/>
        <v>980158.5</v>
      </c>
      <c r="O201" s="12"/>
      <c r="P201" s="51"/>
    </row>
    <row r="202" spans="1:16" s="38" customFormat="1" ht="62.25" thickTop="1" thickBot="1" x14ac:dyDescent="0.25">
      <c r="A202" s="57"/>
      <c r="B202" s="146" t="s">
        <v>513</v>
      </c>
      <c r="C202" s="146"/>
      <c r="D202" s="146" t="s">
        <v>514</v>
      </c>
      <c r="E202" s="149">
        <f>SUM(E203:E205)</f>
        <v>45073053</v>
      </c>
      <c r="F202" s="149">
        <f>SUM(F203:F205)</f>
        <v>32571073</v>
      </c>
      <c r="G202" s="149">
        <f>SUM(G203:G205)</f>
        <v>25697139.060000002</v>
      </c>
      <c r="H202" s="148">
        <f t="shared" si="93"/>
        <v>0.78895586461029399</v>
      </c>
      <c r="I202" s="149">
        <f t="shared" ref="I202:J202" si="94">SUM(I203:I205)</f>
        <v>129513366.34</v>
      </c>
      <c r="J202" s="149">
        <f t="shared" si="94"/>
        <v>83204100.980000004</v>
      </c>
      <c r="K202" s="148">
        <f t="shared" si="92"/>
        <v>0.64243640120952172</v>
      </c>
      <c r="L202" s="149"/>
      <c r="M202" s="149"/>
      <c r="N202" s="147">
        <f t="shared" ref="N202:N205" si="95">G202+J202</f>
        <v>108901240.04000001</v>
      </c>
      <c r="O202" s="177"/>
      <c r="P202" s="178"/>
    </row>
    <row r="203" spans="1:16" s="38" customFormat="1" ht="93" thickTop="1" thickBot="1" x14ac:dyDescent="0.25">
      <c r="A203" s="57"/>
      <c r="B203" s="75" t="s">
        <v>536</v>
      </c>
      <c r="C203" s="75" t="s">
        <v>516</v>
      </c>
      <c r="D203" s="75" t="s">
        <v>537</v>
      </c>
      <c r="E203" s="141">
        <v>1939014</v>
      </c>
      <c r="F203" s="141">
        <v>702193</v>
      </c>
      <c r="G203" s="141">
        <v>650973.68999999994</v>
      </c>
      <c r="H203" s="125">
        <f t="shared" si="93"/>
        <v>0.92705807377743721</v>
      </c>
      <c r="I203" s="127"/>
      <c r="J203" s="141"/>
      <c r="K203" s="129"/>
      <c r="L203" s="141"/>
      <c r="M203" s="160"/>
      <c r="N203" s="127">
        <f t="shared" si="95"/>
        <v>650973.68999999994</v>
      </c>
      <c r="O203" s="52"/>
      <c r="P203" s="52"/>
    </row>
    <row r="204" spans="1:16" s="38" customFormat="1" ht="62.25" thickTop="1" thickBot="1" x14ac:dyDescent="0.25">
      <c r="A204" s="57"/>
      <c r="B204" s="75" t="s">
        <v>538</v>
      </c>
      <c r="C204" s="75" t="s">
        <v>516</v>
      </c>
      <c r="D204" s="75" t="s">
        <v>539</v>
      </c>
      <c r="E204" s="141">
        <v>32000000</v>
      </c>
      <c r="F204" s="141">
        <v>29000000</v>
      </c>
      <c r="G204" s="141">
        <v>22824845.27</v>
      </c>
      <c r="H204" s="125">
        <f t="shared" si="93"/>
        <v>0.78706363000000001</v>
      </c>
      <c r="I204" s="127">
        <v>125500000</v>
      </c>
      <c r="J204" s="141">
        <v>82383377</v>
      </c>
      <c r="K204" s="125">
        <f t="shared" si="92"/>
        <v>0.65644125099601591</v>
      </c>
      <c r="L204" s="141"/>
      <c r="M204" s="160"/>
      <c r="N204" s="127">
        <f>G204+J204</f>
        <v>105208222.27</v>
      </c>
      <c r="O204" s="52"/>
      <c r="P204" s="52"/>
    </row>
    <row r="205" spans="1:16" s="38" customFormat="1" ht="48" thickTop="1" thickBot="1" x14ac:dyDescent="0.25">
      <c r="A205" s="57"/>
      <c r="B205" s="75" t="s">
        <v>515</v>
      </c>
      <c r="C205" s="75" t="s">
        <v>516</v>
      </c>
      <c r="D205" s="75" t="s">
        <v>517</v>
      </c>
      <c r="E205" s="141">
        <v>11134039</v>
      </c>
      <c r="F205" s="141">
        <v>2868880</v>
      </c>
      <c r="G205" s="141">
        <v>2221320.1</v>
      </c>
      <c r="H205" s="125">
        <f t="shared" si="93"/>
        <v>0.77428128747106884</v>
      </c>
      <c r="I205" s="127">
        <v>4013366.34</v>
      </c>
      <c r="J205" s="141">
        <v>820723.98</v>
      </c>
      <c r="K205" s="125">
        <f>J205/I205</f>
        <v>0.20449764872448697</v>
      </c>
      <c r="L205" s="141"/>
      <c r="M205" s="160"/>
      <c r="N205" s="127">
        <f t="shared" si="95"/>
        <v>3042044.08</v>
      </c>
      <c r="O205" s="12"/>
      <c r="P205" s="51"/>
    </row>
    <row r="206" spans="1:16" s="38" customFormat="1" ht="91.5" thickTop="1" thickBot="1" x14ac:dyDescent="0.25">
      <c r="A206" s="57"/>
      <c r="B206" s="146" t="s">
        <v>411</v>
      </c>
      <c r="C206" s="146"/>
      <c r="D206" s="146" t="s">
        <v>412</v>
      </c>
      <c r="E206" s="149">
        <f>SUM(E207:E207)</f>
        <v>0</v>
      </c>
      <c r="F206" s="149">
        <f>SUM(F207:F207)</f>
        <v>0</v>
      </c>
      <c r="G206" s="149">
        <f>SUM(G207:G207)</f>
        <v>0</v>
      </c>
      <c r="H206" s="148">
        <v>0</v>
      </c>
      <c r="I206" s="149">
        <f>SUM(I207:I207)</f>
        <v>1200000</v>
      </c>
      <c r="J206" s="149">
        <f>SUM(J207:J207)</f>
        <v>106780</v>
      </c>
      <c r="K206" s="148">
        <f t="shared" ref="K206:K207" si="96">J206/I206</f>
        <v>8.8983333333333331E-2</v>
      </c>
      <c r="L206" s="149"/>
      <c r="M206" s="149"/>
      <c r="N206" s="147">
        <f t="shared" si="91"/>
        <v>106780</v>
      </c>
      <c r="O206" s="177" t="s">
        <v>433</v>
      </c>
      <c r="P206" s="178"/>
    </row>
    <row r="207" spans="1:16" s="38" customFormat="1" ht="93" thickTop="1" thickBot="1" x14ac:dyDescent="0.25">
      <c r="A207" s="57"/>
      <c r="B207" s="75" t="s">
        <v>521</v>
      </c>
      <c r="C207" s="75" t="s">
        <v>413</v>
      </c>
      <c r="D207" s="75" t="s">
        <v>522</v>
      </c>
      <c r="E207" s="127"/>
      <c r="F207" s="127"/>
      <c r="G207" s="127"/>
      <c r="H207" s="125"/>
      <c r="I207" s="127">
        <v>1200000</v>
      </c>
      <c r="J207" s="127">
        <v>106780</v>
      </c>
      <c r="K207" s="125">
        <f t="shared" si="96"/>
        <v>8.8983333333333331E-2</v>
      </c>
      <c r="L207" s="127"/>
      <c r="M207" s="160"/>
      <c r="N207" s="127">
        <f t="shared" si="91"/>
        <v>106780</v>
      </c>
      <c r="O207" s="39"/>
      <c r="P207" s="51"/>
    </row>
    <row r="208" spans="1:16" s="38" customFormat="1" ht="62.25" thickTop="1" thickBot="1" x14ac:dyDescent="0.25">
      <c r="A208" s="57"/>
      <c r="B208" s="146" t="s">
        <v>49</v>
      </c>
      <c r="C208" s="146"/>
      <c r="D208" s="146" t="s">
        <v>50</v>
      </c>
      <c r="E208" s="147">
        <f>SUM(E209)</f>
        <v>10200000</v>
      </c>
      <c r="F208" s="147">
        <f>SUM(F209)</f>
        <v>5100000</v>
      </c>
      <c r="G208" s="147">
        <f t="shared" ref="G208:J208" si="97">SUM(G209)</f>
        <v>4574874.91</v>
      </c>
      <c r="H208" s="148">
        <f t="shared" si="93"/>
        <v>0.89703429607843144</v>
      </c>
      <c r="I208" s="147">
        <f t="shared" si="97"/>
        <v>0</v>
      </c>
      <c r="J208" s="147">
        <f t="shared" si="97"/>
        <v>0</v>
      </c>
      <c r="K208" s="148">
        <v>0</v>
      </c>
      <c r="L208" s="147"/>
      <c r="M208" s="147"/>
      <c r="N208" s="147">
        <f t="shared" si="91"/>
        <v>4574874.91</v>
      </c>
      <c r="O208" s="177" t="s">
        <v>433</v>
      </c>
      <c r="P208" s="178"/>
    </row>
    <row r="209" spans="1:17" s="38" customFormat="1" ht="48" thickTop="1" thickBot="1" x14ac:dyDescent="0.25">
      <c r="A209" s="57"/>
      <c r="B209" s="75" t="s">
        <v>51</v>
      </c>
      <c r="C209" s="75" t="s">
        <v>52</v>
      </c>
      <c r="D209" s="75" t="s">
        <v>53</v>
      </c>
      <c r="E209" s="127">
        <v>10200000</v>
      </c>
      <c r="F209" s="127">
        <v>5100000</v>
      </c>
      <c r="G209" s="127">
        <v>4574874.91</v>
      </c>
      <c r="H209" s="125">
        <f t="shared" si="93"/>
        <v>0.89703429607843144</v>
      </c>
      <c r="I209" s="127"/>
      <c r="J209" s="127"/>
      <c r="K209" s="125"/>
      <c r="L209" s="127"/>
      <c r="M209" s="160"/>
      <c r="N209" s="127">
        <f t="shared" si="91"/>
        <v>4574874.91</v>
      </c>
      <c r="O209" s="39"/>
      <c r="P209" s="51"/>
    </row>
    <row r="210" spans="1:17" s="38" customFormat="1" ht="62.25" thickTop="1" thickBot="1" x14ac:dyDescent="0.25">
      <c r="A210" s="57"/>
      <c r="B210" s="153">
        <v>8600</v>
      </c>
      <c r="C210" s="146" t="s">
        <v>24</v>
      </c>
      <c r="D210" s="153" t="s">
        <v>421</v>
      </c>
      <c r="E210" s="147">
        <v>525644</v>
      </c>
      <c r="F210" s="147">
        <v>262822</v>
      </c>
      <c r="G210" s="147">
        <v>204053.35</v>
      </c>
      <c r="H210" s="148">
        <f>G210/F210</f>
        <v>0.77639371894285869</v>
      </c>
      <c r="I210" s="147"/>
      <c r="J210" s="147"/>
      <c r="K210" s="147"/>
      <c r="L210" s="147"/>
      <c r="M210" s="167"/>
      <c r="N210" s="147">
        <f t="shared" si="91"/>
        <v>204053.35</v>
      </c>
      <c r="O210" s="177"/>
      <c r="P210" s="178"/>
    </row>
    <row r="211" spans="1:17" s="38" customFormat="1" ht="62.25" thickTop="1" thickBot="1" x14ac:dyDescent="0.25">
      <c r="A211" s="57"/>
      <c r="B211" s="153">
        <v>8700</v>
      </c>
      <c r="C211" s="146"/>
      <c r="D211" s="153" t="s">
        <v>422</v>
      </c>
      <c r="E211" s="147">
        <f t="shared" ref="E211:J211" si="98">E212</f>
        <v>9831693.0099999998</v>
      </c>
      <c r="F211" s="147">
        <f t="shared" si="98"/>
        <v>0</v>
      </c>
      <c r="G211" s="147">
        <f t="shared" si="98"/>
        <v>0</v>
      </c>
      <c r="H211" s="148">
        <v>0</v>
      </c>
      <c r="I211" s="147">
        <f t="shared" si="98"/>
        <v>0</v>
      </c>
      <c r="J211" s="147">
        <f t="shared" si="98"/>
        <v>0</v>
      </c>
      <c r="K211" s="148">
        <v>0</v>
      </c>
      <c r="L211" s="147"/>
      <c r="M211" s="147"/>
      <c r="N211" s="147">
        <f t="shared" si="91"/>
        <v>0</v>
      </c>
      <c r="O211" s="177" t="s">
        <v>433</v>
      </c>
      <c r="P211" s="178"/>
    </row>
    <row r="212" spans="1:17" s="38" customFormat="1" ht="62.25" thickTop="1" thickBot="1" x14ac:dyDescent="0.25">
      <c r="A212" s="57"/>
      <c r="B212" s="139">
        <v>8710</v>
      </c>
      <c r="C212" s="75" t="s">
        <v>29</v>
      </c>
      <c r="D212" s="138" t="s">
        <v>423</v>
      </c>
      <c r="E212" s="127">
        <v>9831693.0099999998</v>
      </c>
      <c r="F212" s="127">
        <v>0</v>
      </c>
      <c r="G212" s="127">
        <v>0</v>
      </c>
      <c r="H212" s="125">
        <v>0</v>
      </c>
      <c r="I212" s="127"/>
      <c r="J212" s="127"/>
      <c r="K212" s="125"/>
      <c r="L212" s="127"/>
      <c r="M212" s="160"/>
      <c r="N212" s="127">
        <f t="shared" si="91"/>
        <v>0</v>
      </c>
      <c r="O212" s="177" t="s">
        <v>433</v>
      </c>
      <c r="P212" s="178"/>
    </row>
    <row r="213" spans="1:17" s="38" customFormat="1" ht="103.7" customHeight="1" thickTop="1" thickBot="1" x14ac:dyDescent="0.25">
      <c r="A213" s="60"/>
      <c r="B213" s="77" t="s">
        <v>54</v>
      </c>
      <c r="C213" s="77"/>
      <c r="D213" s="78" t="s">
        <v>55</v>
      </c>
      <c r="E213" s="79">
        <f>SUM(E214:E220)-E214-E216</f>
        <v>106808736.14</v>
      </c>
      <c r="F213" s="79">
        <f>SUM(F214:F220)-F214-F216</f>
        <v>106141886.14</v>
      </c>
      <c r="G213" s="79">
        <f>SUM(G214:G220)-G214-G216</f>
        <v>101058886.14</v>
      </c>
      <c r="H213" s="80">
        <f>G213/F213</f>
        <v>0.95211127119697514</v>
      </c>
      <c r="I213" s="79">
        <f>SUM(I214:I220)-I214-I216</f>
        <v>162629831.86000001</v>
      </c>
      <c r="J213" s="79">
        <f>SUM(J214:J220)-J214-J216</f>
        <v>151641030.63</v>
      </c>
      <c r="K213" s="80">
        <f>J213/I213</f>
        <v>0.93243059342605894</v>
      </c>
      <c r="L213" s="79"/>
      <c r="M213" s="79"/>
      <c r="N213" s="81">
        <f>J213+G213</f>
        <v>252699916.76999998</v>
      </c>
      <c r="O213" s="53" t="b">
        <f>N213=N215+N217+N218+N219+N220</f>
        <v>1</v>
      </c>
      <c r="P213" s="177"/>
      <c r="Q213" s="178"/>
    </row>
    <row r="214" spans="1:17" s="38" customFormat="1" ht="103.7" hidden="1" customHeight="1" thickTop="1" thickBot="1" x14ac:dyDescent="0.25">
      <c r="A214" s="60"/>
      <c r="B214" s="113" t="s">
        <v>424</v>
      </c>
      <c r="C214" s="113"/>
      <c r="D214" s="113" t="s">
        <v>425</v>
      </c>
      <c r="E214" s="102">
        <f t="shared" ref="E214:J214" si="99">E215</f>
        <v>0</v>
      </c>
      <c r="F214" s="102">
        <f t="shared" si="99"/>
        <v>0</v>
      </c>
      <c r="G214" s="102">
        <f t="shared" si="99"/>
        <v>0</v>
      </c>
      <c r="H214" s="114" t="e">
        <f>G214/F214</f>
        <v>#DIV/0!</v>
      </c>
      <c r="I214" s="102">
        <f t="shared" si="99"/>
        <v>0</v>
      </c>
      <c r="J214" s="102">
        <f t="shared" si="99"/>
        <v>0</v>
      </c>
      <c r="K214" s="114">
        <v>0</v>
      </c>
      <c r="L214" s="102"/>
      <c r="M214" s="102"/>
      <c r="N214" s="102">
        <f t="shared" si="91"/>
        <v>0</v>
      </c>
      <c r="O214" s="177" t="s">
        <v>433</v>
      </c>
      <c r="P214" s="178"/>
    </row>
    <row r="215" spans="1:17" s="38" customFormat="1" ht="103.7" hidden="1" customHeight="1" thickTop="1" thickBot="1" x14ac:dyDescent="0.25">
      <c r="A215" s="60"/>
      <c r="B215" s="106">
        <v>9110</v>
      </c>
      <c r="C215" s="92" t="s">
        <v>28</v>
      </c>
      <c r="D215" s="105" t="s">
        <v>426</v>
      </c>
      <c r="E215" s="93">
        <v>0</v>
      </c>
      <c r="F215" s="93">
        <v>0</v>
      </c>
      <c r="G215" s="93">
        <v>0</v>
      </c>
      <c r="H215" s="91" t="e">
        <f>G215/F215</f>
        <v>#DIV/0!</v>
      </c>
      <c r="I215" s="93"/>
      <c r="J215" s="93"/>
      <c r="K215" s="93"/>
      <c r="L215" s="93"/>
      <c r="M215" s="94"/>
      <c r="N215" s="93">
        <f t="shared" si="91"/>
        <v>0</v>
      </c>
      <c r="O215" s="12"/>
    </row>
    <row r="216" spans="1:17" s="38" customFormat="1" ht="136.5" thickTop="1" thickBot="1" x14ac:dyDescent="0.25">
      <c r="A216" s="60"/>
      <c r="B216" s="146" t="s">
        <v>56</v>
      </c>
      <c r="C216" s="146"/>
      <c r="D216" s="146" t="s">
        <v>57</v>
      </c>
      <c r="E216" s="147">
        <f>SUM(E217:E218)</f>
        <v>1333600</v>
      </c>
      <c r="F216" s="147">
        <f>SUM(F217:F218)</f>
        <v>666750</v>
      </c>
      <c r="G216" s="147">
        <f t="shared" ref="G216" si="100">SUM(G217:G218)</f>
        <v>666750</v>
      </c>
      <c r="H216" s="148">
        <f t="shared" ref="H216:H220" si="101">G216/F216</f>
        <v>1</v>
      </c>
      <c r="I216" s="147">
        <f t="shared" ref="I216:J216" si="102">SUM(I217:I218)</f>
        <v>0</v>
      </c>
      <c r="J216" s="147">
        <f t="shared" si="102"/>
        <v>0</v>
      </c>
      <c r="K216" s="148">
        <v>0</v>
      </c>
      <c r="L216" s="147"/>
      <c r="M216" s="147"/>
      <c r="N216" s="147">
        <f t="shared" si="91"/>
        <v>666750</v>
      </c>
      <c r="O216" s="177" t="s">
        <v>433</v>
      </c>
      <c r="P216" s="178"/>
    </row>
    <row r="217" spans="1:17" s="38" customFormat="1" ht="184.5" thickTop="1" thickBot="1" x14ac:dyDescent="0.25">
      <c r="A217" s="57"/>
      <c r="B217" s="75" t="s">
        <v>58</v>
      </c>
      <c r="C217" s="75" t="s">
        <v>28</v>
      </c>
      <c r="D217" s="75" t="s">
        <v>59</v>
      </c>
      <c r="E217" s="127">
        <v>1178000</v>
      </c>
      <c r="F217" s="127">
        <v>588960</v>
      </c>
      <c r="G217" s="127">
        <v>588960</v>
      </c>
      <c r="H217" s="125">
        <f>G217/F217</f>
        <v>1</v>
      </c>
      <c r="I217" s="127"/>
      <c r="J217" s="127"/>
      <c r="K217" s="127"/>
      <c r="L217" s="127"/>
      <c r="M217" s="160"/>
      <c r="N217" s="127">
        <f t="shared" si="91"/>
        <v>588960</v>
      </c>
      <c r="O217" s="39"/>
      <c r="P217" s="51"/>
    </row>
    <row r="218" spans="1:17" s="38" customFormat="1" ht="60.75" thickTop="1" thickBot="1" x14ac:dyDescent="0.8">
      <c r="A218" s="57"/>
      <c r="B218" s="75" t="s">
        <v>60</v>
      </c>
      <c r="C218" s="75" t="s">
        <v>28</v>
      </c>
      <c r="D218" s="75" t="s">
        <v>61</v>
      </c>
      <c r="E218" s="127">
        <v>155600</v>
      </c>
      <c r="F218" s="127">
        <v>77790</v>
      </c>
      <c r="G218" s="127">
        <v>77790</v>
      </c>
      <c r="H218" s="125">
        <f>G218/F218</f>
        <v>1</v>
      </c>
      <c r="I218" s="127"/>
      <c r="J218" s="127"/>
      <c r="K218" s="125"/>
      <c r="L218" s="127"/>
      <c r="M218" s="160"/>
      <c r="N218" s="127">
        <f t="shared" si="91"/>
        <v>77790</v>
      </c>
      <c r="O218" s="54"/>
      <c r="P218" s="51"/>
    </row>
    <row r="219" spans="1:17" s="38" customFormat="1" ht="136.5" thickTop="1" thickBot="1" x14ac:dyDescent="0.25">
      <c r="A219" s="57"/>
      <c r="B219" s="146" t="s">
        <v>62</v>
      </c>
      <c r="C219" s="146" t="s">
        <v>28</v>
      </c>
      <c r="D219" s="146" t="s">
        <v>63</v>
      </c>
      <c r="E219" s="154">
        <v>105475136.14</v>
      </c>
      <c r="F219" s="154">
        <v>105475136.14</v>
      </c>
      <c r="G219" s="154">
        <v>100392136.14</v>
      </c>
      <c r="H219" s="155">
        <f t="shared" si="101"/>
        <v>0.95180854762535505</v>
      </c>
      <c r="I219" s="154">
        <v>162629831.86000001</v>
      </c>
      <c r="J219" s="154">
        <v>151641030.63</v>
      </c>
      <c r="K219" s="155">
        <f t="shared" ref="K219" si="103">J219/I219</f>
        <v>0.93243059342605894</v>
      </c>
      <c r="L219" s="147"/>
      <c r="M219" s="147"/>
      <c r="N219" s="154">
        <f t="shared" ref="N219:N220" si="104">G219+J219</f>
        <v>252033166.76999998</v>
      </c>
      <c r="O219" s="39"/>
      <c r="P219" s="51"/>
    </row>
    <row r="220" spans="1:17" s="38" customFormat="1" ht="367.5" hidden="1" thickTop="1" thickBot="1" x14ac:dyDescent="0.25">
      <c r="A220" s="57"/>
      <c r="B220" s="85" t="s">
        <v>546</v>
      </c>
      <c r="C220" s="85" t="s">
        <v>28</v>
      </c>
      <c r="D220" s="85" t="s">
        <v>545</v>
      </c>
      <c r="E220" s="86">
        <v>0</v>
      </c>
      <c r="F220" s="86">
        <v>0</v>
      </c>
      <c r="G220" s="86">
        <v>0</v>
      </c>
      <c r="H220" s="84" t="e">
        <f t="shared" si="101"/>
        <v>#DIV/0!</v>
      </c>
      <c r="I220" s="86"/>
      <c r="J220" s="86"/>
      <c r="K220" s="84"/>
      <c r="L220" s="86"/>
      <c r="M220" s="87"/>
      <c r="N220" s="86">
        <f t="shared" si="104"/>
        <v>0</v>
      </c>
      <c r="O220" s="39"/>
      <c r="P220" s="51"/>
    </row>
    <row r="221" spans="1:17" s="38" customFormat="1" ht="71.45" customHeight="1" thickTop="1" thickBot="1" x14ac:dyDescent="0.25">
      <c r="A221" s="60"/>
      <c r="B221" s="63" t="s">
        <v>427</v>
      </c>
      <c r="C221" s="63" t="s">
        <v>427</v>
      </c>
      <c r="D221" s="64" t="s">
        <v>436</v>
      </c>
      <c r="E221" s="65">
        <f>E14+E19+E57+E72+E118+E127+E143+E158+E198+E213</f>
        <v>3956961823.769999</v>
      </c>
      <c r="F221" s="65">
        <f>F14+F19+F57+F72+F118+F127+F143+F158+F198+F213</f>
        <v>2194252809.4099998</v>
      </c>
      <c r="G221" s="65">
        <f>G14+G19+G57+G72+G118+G127+G143+G158+G198+G213</f>
        <v>2058950539.7900004</v>
      </c>
      <c r="H221" s="66">
        <f>G221/F221</f>
        <v>0.93833788475067281</v>
      </c>
      <c r="I221" s="65">
        <f>I14+I19+I57+I72+I118+I127+I143+I158+I198+I213</f>
        <v>1001439021.6099999</v>
      </c>
      <c r="J221" s="65">
        <f>J14+J19+J57+J72+J118+J127+J143+J158+J198+J213</f>
        <v>519673613.25</v>
      </c>
      <c r="K221" s="66">
        <f>J221/I221</f>
        <v>0.51892686627542017</v>
      </c>
      <c r="L221" s="65" t="e">
        <f>#REF!+#REF!+#REF!+#REF!+#REF!+#REF!++L135+L144+L209+L168+L189+L201+L153+#REF!+#REF!</f>
        <v>#REF!</v>
      </c>
      <c r="M221" s="65" t="e">
        <f>#REF!+#REF!+#REF!+#REF!+#REF!+#REF!++M135+M144+M209+M168+M189+M201+M153+#REF!+#REF!</f>
        <v>#REF!</v>
      </c>
      <c r="N221" s="65">
        <f>N14+N19+N57+N72+N118+N127+N143+N158+N198+N213</f>
        <v>2578624153.0400004</v>
      </c>
      <c r="O221" s="53" t="b">
        <f>N221=J221+G221</f>
        <v>1</v>
      </c>
      <c r="P221" s="51"/>
    </row>
    <row r="222" spans="1:17" s="38" customFormat="1" ht="62.25" thickTop="1" thickBot="1" x14ac:dyDescent="0.25">
      <c r="A222" s="57"/>
      <c r="B222" s="8" t="s">
        <v>47</v>
      </c>
      <c r="C222" s="168"/>
      <c r="D222" s="169" t="s">
        <v>441</v>
      </c>
      <c r="E222" s="170">
        <f>E223</f>
        <v>0</v>
      </c>
      <c r="F222" s="170">
        <f t="shared" ref="F222:G222" si="105">F223</f>
        <v>0</v>
      </c>
      <c r="G222" s="170">
        <f t="shared" si="105"/>
        <v>0</v>
      </c>
      <c r="H222" s="155">
        <v>0</v>
      </c>
      <c r="I222" s="170">
        <f>I223</f>
        <v>0</v>
      </c>
      <c r="J222" s="170">
        <f>J223</f>
        <v>-168672.7</v>
      </c>
      <c r="K222" s="155"/>
      <c r="L222" s="170"/>
      <c r="M222" s="170"/>
      <c r="N222" s="154">
        <f t="shared" ref="N222:N229" si="106">G222+J222</f>
        <v>-168672.7</v>
      </c>
      <c r="O222" s="177" t="s">
        <v>433</v>
      </c>
      <c r="P222" s="178"/>
    </row>
    <row r="223" spans="1:17" s="38" customFormat="1" ht="62.25" thickTop="1" thickBot="1" x14ac:dyDescent="0.25">
      <c r="A223" s="57"/>
      <c r="B223" s="146" t="s">
        <v>439</v>
      </c>
      <c r="C223" s="168"/>
      <c r="D223" s="171" t="s">
        <v>442</v>
      </c>
      <c r="E223" s="167">
        <f>E224+E229+E227</f>
        <v>0</v>
      </c>
      <c r="F223" s="167">
        <f t="shared" ref="F223:G223" si="107">F224+F229+F227</f>
        <v>0</v>
      </c>
      <c r="G223" s="167">
        <f t="shared" si="107"/>
        <v>0</v>
      </c>
      <c r="H223" s="148">
        <v>0</v>
      </c>
      <c r="I223" s="167">
        <f>I224+I229+I227</f>
        <v>0</v>
      </c>
      <c r="J223" s="167">
        <f>J224+J229+J227</f>
        <v>-168672.7</v>
      </c>
      <c r="K223" s="148"/>
      <c r="L223" s="167"/>
      <c r="M223" s="167"/>
      <c r="N223" s="147">
        <f t="shared" si="106"/>
        <v>-168672.7</v>
      </c>
      <c r="O223" s="177" t="s">
        <v>433</v>
      </c>
      <c r="P223" s="178"/>
    </row>
    <row r="224" spans="1:17" s="38" customFormat="1" ht="184.5" thickTop="1" thickBot="1" x14ac:dyDescent="0.25">
      <c r="A224" s="60"/>
      <c r="B224" s="76" t="s">
        <v>440</v>
      </c>
      <c r="C224" s="168"/>
      <c r="D224" s="172" t="s">
        <v>443</v>
      </c>
      <c r="E224" s="161">
        <f>E225+E226</f>
        <v>0</v>
      </c>
      <c r="F224" s="161">
        <f>F225+F226</f>
        <v>0</v>
      </c>
      <c r="G224" s="161">
        <f>G225+G226</f>
        <v>0</v>
      </c>
      <c r="H224" s="129">
        <v>0</v>
      </c>
      <c r="I224" s="161">
        <f>I225+I226</f>
        <v>0</v>
      </c>
      <c r="J224" s="161">
        <f>J225+J226</f>
        <v>-160930.01</v>
      </c>
      <c r="K224" s="125"/>
      <c r="L224" s="161"/>
      <c r="M224" s="161"/>
      <c r="N224" s="128">
        <f t="shared" si="106"/>
        <v>-160930.01</v>
      </c>
      <c r="O224" s="177" t="s">
        <v>433</v>
      </c>
      <c r="P224" s="178"/>
    </row>
    <row r="225" spans="1:27" s="38" customFormat="1" ht="184.5" hidden="1" customHeight="1" thickTop="1" thickBot="1" x14ac:dyDescent="0.25">
      <c r="A225" s="60"/>
      <c r="B225" s="173" t="s">
        <v>437</v>
      </c>
      <c r="C225" s="173" t="s">
        <v>88</v>
      </c>
      <c r="D225" s="174" t="s">
        <v>444</v>
      </c>
      <c r="E225" s="160">
        <v>0</v>
      </c>
      <c r="F225" s="160">
        <v>0</v>
      </c>
      <c r="G225" s="160">
        <v>0</v>
      </c>
      <c r="H225" s="125">
        <v>0</v>
      </c>
      <c r="I225" s="160">
        <v>0</v>
      </c>
      <c r="J225" s="160">
        <v>0</v>
      </c>
      <c r="K225" s="125" t="e">
        <f>J225/I225</f>
        <v>#DIV/0!</v>
      </c>
      <c r="L225" s="170"/>
      <c r="M225" s="170"/>
      <c r="N225" s="127">
        <f>G225+J225</f>
        <v>0</v>
      </c>
      <c r="O225" s="177" t="s">
        <v>433</v>
      </c>
      <c r="P225" s="178"/>
    </row>
    <row r="226" spans="1:27" s="38" customFormat="1" ht="184.5" thickTop="1" thickBot="1" x14ac:dyDescent="1.2">
      <c r="A226" s="57"/>
      <c r="B226" s="173" t="s">
        <v>438</v>
      </c>
      <c r="C226" s="173" t="s">
        <v>88</v>
      </c>
      <c r="D226" s="174" t="s">
        <v>445</v>
      </c>
      <c r="E226" s="170"/>
      <c r="F226" s="170"/>
      <c r="G226" s="170"/>
      <c r="H226" s="148"/>
      <c r="I226" s="160">
        <v>0</v>
      </c>
      <c r="J226" s="160">
        <v>-160930.01</v>
      </c>
      <c r="K226" s="125"/>
      <c r="L226" s="170"/>
      <c r="M226" s="170"/>
      <c r="N226" s="127">
        <f t="shared" si="106"/>
        <v>-160930.01</v>
      </c>
      <c r="O226" s="177" t="s">
        <v>433</v>
      </c>
      <c r="P226" s="178"/>
      <c r="AA226" s="56"/>
    </row>
    <row r="227" spans="1:27" s="38" customFormat="1" ht="138.75" thickTop="1" thickBot="1" x14ac:dyDescent="1.2">
      <c r="A227" s="60"/>
      <c r="B227" s="175" t="s">
        <v>556</v>
      </c>
      <c r="C227" s="175"/>
      <c r="D227" s="176" t="s">
        <v>555</v>
      </c>
      <c r="E227" s="161">
        <f>E228</f>
        <v>0</v>
      </c>
      <c r="F227" s="161">
        <f>F228</f>
        <v>0</v>
      </c>
      <c r="G227" s="161">
        <f>G228</f>
        <v>0</v>
      </c>
      <c r="H227" s="129">
        <v>0</v>
      </c>
      <c r="I227" s="161">
        <f>I228</f>
        <v>0</v>
      </c>
      <c r="J227" s="161">
        <f>J228</f>
        <v>-7742.69</v>
      </c>
      <c r="K227" s="129"/>
      <c r="L227" s="161"/>
      <c r="M227" s="161"/>
      <c r="N227" s="128">
        <f t="shared" ref="N227" si="108">G227+J227</f>
        <v>-7742.69</v>
      </c>
      <c r="O227" s="177" t="s">
        <v>433</v>
      </c>
      <c r="P227" s="178"/>
      <c r="AA227" s="56"/>
    </row>
    <row r="228" spans="1:27" s="38" customFormat="1" ht="138.75" thickTop="1" thickBot="1" x14ac:dyDescent="1.2">
      <c r="A228" s="60"/>
      <c r="B228" s="173" t="s">
        <v>557</v>
      </c>
      <c r="C228" s="173" t="s">
        <v>88</v>
      </c>
      <c r="D228" s="174" t="s">
        <v>558</v>
      </c>
      <c r="E228" s="160"/>
      <c r="F228" s="160"/>
      <c r="G228" s="160"/>
      <c r="H228" s="125"/>
      <c r="I228" s="160">
        <v>0</v>
      </c>
      <c r="J228" s="160">
        <v>-7742.69</v>
      </c>
      <c r="K228" s="125"/>
      <c r="L228" s="170"/>
      <c r="M228" s="170"/>
      <c r="N228" s="127">
        <f>G228+J228</f>
        <v>-7742.69</v>
      </c>
      <c r="O228" s="177" t="s">
        <v>433</v>
      </c>
      <c r="P228" s="178"/>
      <c r="AA228" s="56"/>
    </row>
    <row r="229" spans="1:27" s="38" customFormat="1" ht="138.75" thickTop="1" thickBot="1" x14ac:dyDescent="1.2">
      <c r="A229" s="60"/>
      <c r="B229" s="175" t="s">
        <v>554</v>
      </c>
      <c r="C229" s="168"/>
      <c r="D229" s="172" t="s">
        <v>551</v>
      </c>
      <c r="E229" s="161">
        <f>SUM(E230:E231)</f>
        <v>0</v>
      </c>
      <c r="F229" s="161">
        <f>SUM(F230:F231)</f>
        <v>0</v>
      </c>
      <c r="G229" s="161">
        <f>SUM(G230:G231)</f>
        <v>0</v>
      </c>
      <c r="H229" s="129">
        <v>0</v>
      </c>
      <c r="I229" s="161">
        <f>SUM(I230:I231)</f>
        <v>0</v>
      </c>
      <c r="J229" s="161">
        <f>SUM(J230:J231)</f>
        <v>0</v>
      </c>
      <c r="K229" s="129">
        <v>0</v>
      </c>
      <c r="L229" s="161"/>
      <c r="M229" s="161"/>
      <c r="N229" s="128">
        <f t="shared" si="106"/>
        <v>0</v>
      </c>
      <c r="O229" s="177" t="s">
        <v>433</v>
      </c>
      <c r="P229" s="178"/>
      <c r="AA229" s="56"/>
    </row>
    <row r="230" spans="1:27" s="38" customFormat="1" ht="138.75" thickTop="1" thickBot="1" x14ac:dyDescent="1.2">
      <c r="A230" s="60"/>
      <c r="B230" s="173" t="s">
        <v>553</v>
      </c>
      <c r="C230" s="173" t="s">
        <v>39</v>
      </c>
      <c r="D230" s="174" t="s">
        <v>552</v>
      </c>
      <c r="E230" s="170"/>
      <c r="F230" s="170"/>
      <c r="G230" s="170"/>
      <c r="H230" s="148"/>
      <c r="I230" s="160">
        <v>17857810</v>
      </c>
      <c r="J230" s="160">
        <v>0</v>
      </c>
      <c r="K230" s="125">
        <f>J230/I230</f>
        <v>0</v>
      </c>
      <c r="L230" s="170"/>
      <c r="M230" s="170"/>
      <c r="N230" s="127">
        <f>G230+J230</f>
        <v>0</v>
      </c>
      <c r="O230" s="83"/>
      <c r="P230" s="51"/>
      <c r="AA230" s="56"/>
    </row>
    <row r="231" spans="1:27" s="38" customFormat="1" ht="138.75" thickTop="1" thickBot="1" x14ac:dyDescent="1.2">
      <c r="A231" s="60"/>
      <c r="B231" s="173" t="s">
        <v>575</v>
      </c>
      <c r="C231" s="173" t="s">
        <v>39</v>
      </c>
      <c r="D231" s="174" t="s">
        <v>576</v>
      </c>
      <c r="E231" s="170"/>
      <c r="F231" s="170"/>
      <c r="G231" s="170"/>
      <c r="H231" s="148"/>
      <c r="I231" s="160">
        <v>-17857810</v>
      </c>
      <c r="J231" s="160">
        <v>0</v>
      </c>
      <c r="K231" s="125">
        <f>J231/I231</f>
        <v>0</v>
      </c>
      <c r="L231" s="170"/>
      <c r="M231" s="170"/>
      <c r="N231" s="127">
        <f>G231+J231</f>
        <v>0</v>
      </c>
      <c r="O231" s="83"/>
      <c r="P231" s="51"/>
      <c r="AA231" s="56"/>
    </row>
    <row r="232" spans="1:27" s="38" customFormat="1" ht="119.25" customHeight="1" thickTop="1" thickBot="1" x14ac:dyDescent="0.25">
      <c r="A232" s="60"/>
      <c r="B232" s="63" t="s">
        <v>427</v>
      </c>
      <c r="C232" s="63" t="s">
        <v>427</v>
      </c>
      <c r="D232" s="64" t="s">
        <v>428</v>
      </c>
      <c r="E232" s="65">
        <f>E221+E222</f>
        <v>3956961823.769999</v>
      </c>
      <c r="F232" s="65">
        <f>F221+F222</f>
        <v>2194252809.4099998</v>
      </c>
      <c r="G232" s="65">
        <f>G221+G222</f>
        <v>2058950539.7900004</v>
      </c>
      <c r="H232" s="66">
        <f>G232/F232</f>
        <v>0.93833788475067281</v>
      </c>
      <c r="I232" s="65">
        <f>I221+I222</f>
        <v>1001439021.6099999</v>
      </c>
      <c r="J232" s="65">
        <f>J221+J222</f>
        <v>519504940.55000001</v>
      </c>
      <c r="K232" s="66">
        <f>J232/I232</f>
        <v>0.5187584359502978</v>
      </c>
      <c r="L232" s="65" t="e">
        <f>#REF!+#REF!+#REF!+#REF!+#REF!+#REF!++L142+L151+L215+L181+L195+#REF!+L161+#REF!+#REF!</f>
        <v>#REF!</v>
      </c>
      <c r="M232" s="65" t="e">
        <f>#REF!+#REF!+#REF!+#REF!+#REF!+#REF!++M142+M151+M215+M181+M195+#REF!+M161+#REF!+#REF!</f>
        <v>#REF!</v>
      </c>
      <c r="N232" s="65">
        <f>N221+N222</f>
        <v>2578455480.3400006</v>
      </c>
      <c r="O232" s="53" t="b">
        <f>N232=J232+G232</f>
        <v>1</v>
      </c>
      <c r="P232" s="51"/>
      <c r="S232" s="65">
        <f>N232/(I232+E232)*100</f>
        <v>52.001755419642649</v>
      </c>
      <c r="T232" s="65">
        <f>G232/E232*100</f>
        <v>52.033621538161142</v>
      </c>
    </row>
    <row r="233" spans="1:27" ht="46.5" thickTop="1" x14ac:dyDescent="0.2">
      <c r="A233" s="207" t="s">
        <v>535</v>
      </c>
      <c r="B233" s="207"/>
      <c r="C233" s="207"/>
      <c r="D233" s="207"/>
      <c r="E233" s="207"/>
      <c r="F233" s="207"/>
      <c r="G233" s="207"/>
      <c r="H233" s="207"/>
      <c r="I233" s="207"/>
      <c r="J233" s="207"/>
      <c r="K233" s="207"/>
      <c r="L233" s="207"/>
      <c r="M233" s="207"/>
      <c r="N233" s="207"/>
      <c r="O233" s="40"/>
    </row>
    <row r="234" spans="1:27" ht="45.75" x14ac:dyDescent="0.65">
      <c r="A234" s="41"/>
      <c r="B234" s="42"/>
      <c r="C234" s="42"/>
      <c r="D234" s="43" t="s">
        <v>565</v>
      </c>
      <c r="E234"/>
      <c r="F234"/>
      <c r="G234" s="43"/>
      <c r="H234" s="45"/>
      <c r="I234" s="43" t="s">
        <v>566</v>
      </c>
      <c r="J234" s="45"/>
      <c r="K234" s="45"/>
      <c r="L234" s="45"/>
      <c r="M234" s="45"/>
      <c r="N234" s="45"/>
      <c r="O234" s="40"/>
    </row>
    <row r="235" spans="1:27" ht="45.75" x14ac:dyDescent="0.65">
      <c r="A235" s="61"/>
      <c r="B235" s="62"/>
      <c r="C235" s="62"/>
      <c r="D235" s="208"/>
      <c r="E235" s="208"/>
      <c r="F235" s="208"/>
      <c r="G235" s="208"/>
      <c r="H235" s="208"/>
      <c r="I235" s="208"/>
      <c r="J235" s="208"/>
      <c r="K235" s="208"/>
      <c r="L235" s="208"/>
      <c r="M235" s="208"/>
      <c r="N235" s="208"/>
      <c r="O235" s="40"/>
    </row>
    <row r="236" spans="1:27" ht="45.75" x14ac:dyDescent="0.65">
      <c r="A236" s="41"/>
      <c r="B236" s="42"/>
      <c r="C236" s="42"/>
      <c r="D236" s="43" t="s">
        <v>563</v>
      </c>
      <c r="E236" s="44"/>
      <c r="F236" s="44"/>
      <c r="G236" s="43"/>
      <c r="H236" s="45"/>
      <c r="I236" s="43" t="s">
        <v>564</v>
      </c>
      <c r="J236" s="45"/>
      <c r="K236" s="45"/>
      <c r="L236" s="45"/>
      <c r="M236" s="45"/>
      <c r="N236" s="45"/>
      <c r="O236" s="40"/>
    </row>
    <row r="237" spans="1:27" ht="45.75" x14ac:dyDescent="0.65">
      <c r="A237" s="2"/>
      <c r="B237" s="2"/>
      <c r="C237" s="2"/>
      <c r="D237" s="200"/>
      <c r="E237" s="200"/>
      <c r="F237" s="200"/>
      <c r="G237" s="200"/>
      <c r="H237" s="200"/>
      <c r="I237" s="200"/>
      <c r="J237" s="200"/>
      <c r="K237" s="200"/>
      <c r="L237" s="200"/>
      <c r="M237" s="200"/>
      <c r="N237" s="200"/>
      <c r="O237" s="46"/>
    </row>
    <row r="254" spans="5:10" ht="47.25" hidden="1" thickTop="1" thickBot="1" x14ac:dyDescent="0.25">
      <c r="E254" s="55">
        <f>E221-E213-E211</f>
        <v>3840321394.6199989</v>
      </c>
      <c r="F254" s="55">
        <f>F221-F213-F211</f>
        <v>2088110923.2699997</v>
      </c>
      <c r="I254" s="55">
        <f>I221-I213-I211</f>
        <v>838809189.74999988</v>
      </c>
      <c r="J254" s="116"/>
    </row>
    <row r="262" spans="9:9" ht="45.75" x14ac:dyDescent="0.2">
      <c r="I262" s="116"/>
    </row>
    <row r="264" spans="9:9" ht="183" customHeight="1" x14ac:dyDescent="0.2"/>
    <row r="265" spans="9:9" ht="228" customHeight="1" x14ac:dyDescent="0.2"/>
    <row r="266" spans="9:9" ht="294" customHeight="1" x14ac:dyDescent="0.2"/>
    <row r="267" spans="9:9" ht="258" customHeight="1" x14ac:dyDescent="0.2"/>
    <row r="268" spans="9:9" ht="180" customHeight="1" x14ac:dyDescent="0.2"/>
    <row r="269" spans="9:9" ht="249" customHeight="1" x14ac:dyDescent="0.2"/>
  </sheetData>
  <mergeCells count="120">
    <mergeCell ref="K2:N2"/>
    <mergeCell ref="J3:N3"/>
    <mergeCell ref="A8:B8"/>
    <mergeCell ref="A4:N4"/>
    <mergeCell ref="N10:N12"/>
    <mergeCell ref="E11:E12"/>
    <mergeCell ref="H11:H12"/>
    <mergeCell ref="I11:I12"/>
    <mergeCell ref="J11:J12"/>
    <mergeCell ref="E10:H10"/>
    <mergeCell ref="A10:A12"/>
    <mergeCell ref="B10:B12"/>
    <mergeCell ref="C10:C12"/>
    <mergeCell ref="D10:D12"/>
    <mergeCell ref="M11:M12"/>
    <mergeCell ref="I10:M10"/>
    <mergeCell ref="A5:N5"/>
    <mergeCell ref="A7:B7"/>
    <mergeCell ref="D237:N237"/>
    <mergeCell ref="F11:F12"/>
    <mergeCell ref="G11:G12"/>
    <mergeCell ref="K11:K12"/>
    <mergeCell ref="L195:L196"/>
    <mergeCell ref="M195:M196"/>
    <mergeCell ref="N195:N196"/>
    <mergeCell ref="L28:L29"/>
    <mergeCell ref="M28:M29"/>
    <mergeCell ref="N28:N29"/>
    <mergeCell ref="G28:G29"/>
    <mergeCell ref="I28:I29"/>
    <mergeCell ref="J28:J29"/>
    <mergeCell ref="K28:K29"/>
    <mergeCell ref="A233:N233"/>
    <mergeCell ref="D235:N235"/>
    <mergeCell ref="A28:A29"/>
    <mergeCell ref="B111:B113"/>
    <mergeCell ref="C111:C113"/>
    <mergeCell ref="E101:E103"/>
    <mergeCell ref="K101:K103"/>
    <mergeCell ref="F101:F103"/>
    <mergeCell ref="B28:B29"/>
    <mergeCell ref="C28:C29"/>
    <mergeCell ref="E28:E29"/>
    <mergeCell ref="F28:F29"/>
    <mergeCell ref="N104:N107"/>
    <mergeCell ref="F108:F110"/>
    <mergeCell ref="G108:G110"/>
    <mergeCell ref="O156:P156"/>
    <mergeCell ref="O157:P157"/>
    <mergeCell ref="H101:H103"/>
    <mergeCell ref="H104:H107"/>
    <mergeCell ref="H108:H110"/>
    <mergeCell ref="H111:H113"/>
    <mergeCell ref="N108:N110"/>
    <mergeCell ref="G101:G103"/>
    <mergeCell ref="I101:I103"/>
    <mergeCell ref="J101:J103"/>
    <mergeCell ref="N101:N103"/>
    <mergeCell ref="H28:H29"/>
    <mergeCell ref="O28:O29"/>
    <mergeCell ref="K111:K113"/>
    <mergeCell ref="N111:N113"/>
    <mergeCell ref="F111:F113"/>
    <mergeCell ref="G111:G113"/>
    <mergeCell ref="F104:F107"/>
    <mergeCell ref="G104:G107"/>
    <mergeCell ref="B101:B103"/>
    <mergeCell ref="C101:C103"/>
    <mergeCell ref="B104:B107"/>
    <mergeCell ref="C104:C107"/>
    <mergeCell ref="B108:B110"/>
    <mergeCell ref="C108:C110"/>
    <mergeCell ref="E104:E107"/>
    <mergeCell ref="E108:E110"/>
    <mergeCell ref="O199:P199"/>
    <mergeCell ref="O159:P159"/>
    <mergeCell ref="O160:P160"/>
    <mergeCell ref="K108:K110"/>
    <mergeCell ref="K104:K107"/>
    <mergeCell ref="I108:I110"/>
    <mergeCell ref="J108:J110"/>
    <mergeCell ref="I104:I107"/>
    <mergeCell ref="J104:J107"/>
    <mergeCell ref="E111:E113"/>
    <mergeCell ref="I111:I113"/>
    <mergeCell ref="J111:J113"/>
    <mergeCell ref="O161:P161"/>
    <mergeCell ref="O173:P173"/>
    <mergeCell ref="O180:P180"/>
    <mergeCell ref="O181:P181"/>
    <mergeCell ref="B195:B196"/>
    <mergeCell ref="K195:K196"/>
    <mergeCell ref="O190:P190"/>
    <mergeCell ref="C195:C196"/>
    <mergeCell ref="E195:E196"/>
    <mergeCell ref="F195:F196"/>
    <mergeCell ref="G195:G196"/>
    <mergeCell ref="H195:H196"/>
    <mergeCell ref="I195:I196"/>
    <mergeCell ref="J195:J196"/>
    <mergeCell ref="O182:P182"/>
    <mergeCell ref="O229:P229"/>
    <mergeCell ref="O225:P225"/>
    <mergeCell ref="O224:P224"/>
    <mergeCell ref="O223:P223"/>
    <mergeCell ref="O222:P222"/>
    <mergeCell ref="O200:P200"/>
    <mergeCell ref="O212:P212"/>
    <mergeCell ref="O211:P211"/>
    <mergeCell ref="O202:P202"/>
    <mergeCell ref="O227:P227"/>
    <mergeCell ref="O216:P216"/>
    <mergeCell ref="P213:Q213"/>
    <mergeCell ref="O226:P226"/>
    <mergeCell ref="O228:P228"/>
    <mergeCell ref="O206:P206"/>
    <mergeCell ref="O208:P208"/>
    <mergeCell ref="O214:P214"/>
    <mergeCell ref="O210:P210"/>
    <mergeCell ref="O187:P187"/>
  </mergeCells>
  <pageMargins left="0.23622047244094491" right="0.27559055118110237" top="0.27559055118110237" bottom="0.15748031496062992" header="0.23622047244094491" footer="0.27559055118110237"/>
  <pageSetup paperSize="9" scale="18" orientation="landscape" r:id="rId1"/>
  <headerFooter alignWithMargins="0">
    <oddFooter>&amp;C&amp;"Times New Roman Cyr,курсив"Сторінка &amp;P 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d2</vt:lpstr>
      <vt:lpstr>'d2'!Заголовки_для_друку</vt:lpstr>
      <vt:lpstr>'d2'!Область_друку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Ковтун Денис Леонідович</dc:creator>
  <cp:lastModifiedBy>Ковтун Денис Леонідович</cp:lastModifiedBy>
  <cp:lastPrinted>2023-08-04T10:59:15Z</cp:lastPrinted>
  <dcterms:created xsi:type="dcterms:W3CDTF">2021-05-18T12:47:38Z</dcterms:created>
  <dcterms:modified xsi:type="dcterms:W3CDTF">2024-08-01T12:40:51Z</dcterms:modified>
</cp:coreProperties>
</file>