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0" windowWidth="15480" windowHeight="11520"/>
  </bookViews>
  <sheets>
    <sheet name="Додаток до рішення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77" i="3" l="1"/>
  <c r="H877" i="3"/>
  <c r="G877" i="3"/>
  <c r="F877" i="3"/>
  <c r="E877" i="3"/>
  <c r="D877" i="3"/>
  <c r="S879" i="3"/>
  <c r="I879" i="3"/>
  <c r="K879" i="3" s="1"/>
  <c r="S878" i="3"/>
  <c r="Q877" i="3"/>
  <c r="S876" i="3"/>
  <c r="O876" i="3"/>
  <c r="S875" i="3"/>
  <c r="O875" i="3"/>
  <c r="S874" i="3"/>
  <c r="J874" i="3"/>
  <c r="H874" i="3"/>
  <c r="G874" i="3"/>
  <c r="F874" i="3"/>
  <c r="E874" i="3"/>
  <c r="D874" i="3"/>
  <c r="S873" i="3"/>
  <c r="O873" i="3"/>
  <c r="S872" i="3"/>
  <c r="O872" i="3"/>
  <c r="Q871" i="3"/>
  <c r="J871" i="3"/>
  <c r="H871" i="3"/>
  <c r="G871" i="3"/>
  <c r="F871" i="3"/>
  <c r="E871" i="3"/>
  <c r="D871" i="3"/>
  <c r="S870" i="3"/>
  <c r="O870" i="3"/>
  <c r="S869" i="3"/>
  <c r="O869" i="3"/>
  <c r="S868" i="3"/>
  <c r="J868" i="3"/>
  <c r="H868" i="3"/>
  <c r="G868" i="3"/>
  <c r="F868" i="3"/>
  <c r="E868" i="3"/>
  <c r="D868" i="3"/>
  <c r="S867" i="3"/>
  <c r="I867" i="3"/>
  <c r="K867" i="3" s="1"/>
  <c r="S866" i="3"/>
  <c r="S865" i="3"/>
  <c r="J865" i="3"/>
  <c r="H865" i="3"/>
  <c r="G865" i="3"/>
  <c r="F865" i="3"/>
  <c r="E865" i="3"/>
  <c r="D865" i="3"/>
  <c r="S864" i="3"/>
  <c r="I864" i="3"/>
  <c r="K864" i="3" s="1"/>
  <c r="S863" i="3"/>
  <c r="I863" i="3"/>
  <c r="K863" i="3" s="1"/>
  <c r="S862" i="3"/>
  <c r="I862" i="3"/>
  <c r="K862" i="3" s="1"/>
  <c r="S861" i="3"/>
  <c r="I861" i="3"/>
  <c r="K861" i="3" s="1"/>
  <c r="S860" i="3"/>
  <c r="I860" i="3"/>
  <c r="K860" i="3" s="1"/>
  <c r="S859" i="3"/>
  <c r="I859" i="3"/>
  <c r="K859" i="3" s="1"/>
  <c r="S858" i="3"/>
  <c r="I858" i="3"/>
  <c r="K858" i="3" s="1"/>
  <c r="S857" i="3"/>
  <c r="I857" i="3"/>
  <c r="K857" i="3" s="1"/>
  <c r="S856" i="3"/>
  <c r="I856" i="3"/>
  <c r="K856" i="3" s="1"/>
  <c r="S855" i="3"/>
  <c r="I855" i="3"/>
  <c r="K855" i="3" s="1"/>
  <c r="S854" i="3"/>
  <c r="I854" i="3"/>
  <c r="K854" i="3" s="1"/>
  <c r="S853" i="3"/>
  <c r="I853" i="3"/>
  <c r="K853" i="3" s="1"/>
  <c r="S852" i="3"/>
  <c r="I852" i="3"/>
  <c r="K852" i="3" s="1"/>
  <c r="S851" i="3"/>
  <c r="I851" i="3"/>
  <c r="K851" i="3" s="1"/>
  <c r="S850" i="3"/>
  <c r="I850" i="3"/>
  <c r="K850" i="3" s="1"/>
  <c r="S849" i="3"/>
  <c r="I849" i="3"/>
  <c r="K849" i="3" s="1"/>
  <c r="S848" i="3"/>
  <c r="I848" i="3"/>
  <c r="K848" i="3" s="1"/>
  <c r="S847" i="3"/>
  <c r="I847" i="3"/>
  <c r="K847" i="3" s="1"/>
  <c r="S846" i="3"/>
  <c r="I846" i="3"/>
  <c r="K846" i="3" s="1"/>
  <c r="S845" i="3"/>
  <c r="I845" i="3"/>
  <c r="K845" i="3" s="1"/>
  <c r="S844" i="3"/>
  <c r="I844" i="3"/>
  <c r="K844" i="3" s="1"/>
  <c r="S843" i="3"/>
  <c r="I843" i="3"/>
  <c r="K843" i="3" s="1"/>
  <c r="S842" i="3"/>
  <c r="I842" i="3"/>
  <c r="K842" i="3" s="1"/>
  <c r="S841" i="3"/>
  <c r="O841" i="3"/>
  <c r="S840" i="3"/>
  <c r="O840" i="3"/>
  <c r="S839" i="3"/>
  <c r="O839" i="3"/>
  <c r="Q838" i="3"/>
  <c r="J838" i="3"/>
  <c r="H838" i="3"/>
  <c r="G838" i="3"/>
  <c r="F838" i="3"/>
  <c r="E838" i="3"/>
  <c r="D838" i="3"/>
  <c r="S837" i="3"/>
  <c r="I837" i="3"/>
  <c r="K837" i="3" s="1"/>
  <c r="S836" i="3"/>
  <c r="I836" i="3"/>
  <c r="K836" i="3" s="1"/>
  <c r="S835" i="3"/>
  <c r="I835" i="3"/>
  <c r="K835" i="3" s="1"/>
  <c r="S834" i="3"/>
  <c r="I834" i="3"/>
  <c r="K834" i="3" s="1"/>
  <c r="S833" i="3"/>
  <c r="I833" i="3"/>
  <c r="K833" i="3" s="1"/>
  <c r="S832" i="3"/>
  <c r="I832" i="3"/>
  <c r="K832" i="3" s="1"/>
  <c r="S831" i="3"/>
  <c r="I831" i="3"/>
  <c r="K831" i="3" s="1"/>
  <c r="S830" i="3"/>
  <c r="I830" i="3"/>
  <c r="K830" i="3" s="1"/>
  <c r="S829" i="3"/>
  <c r="I829" i="3"/>
  <c r="K829" i="3" s="1"/>
  <c r="S828" i="3"/>
  <c r="I828" i="3"/>
  <c r="K828" i="3" s="1"/>
  <c r="S827" i="3"/>
  <c r="I827" i="3"/>
  <c r="K827" i="3" s="1"/>
  <c r="S826" i="3"/>
  <c r="I826" i="3"/>
  <c r="K826" i="3" s="1"/>
  <c r="S825" i="3"/>
  <c r="I825" i="3"/>
  <c r="K825" i="3" s="1"/>
  <c r="S824" i="3"/>
  <c r="O824" i="3"/>
  <c r="S823" i="3"/>
  <c r="O823" i="3"/>
  <c r="S822" i="3"/>
  <c r="J822" i="3"/>
  <c r="H822" i="3"/>
  <c r="G822" i="3"/>
  <c r="F822" i="3"/>
  <c r="E822" i="3"/>
  <c r="D822" i="3"/>
  <c r="S821" i="3"/>
  <c r="I821" i="3"/>
  <c r="K821" i="3" s="1"/>
  <c r="S820" i="3"/>
  <c r="I820" i="3"/>
  <c r="K820" i="3" s="1"/>
  <c r="S819" i="3"/>
  <c r="I819" i="3"/>
  <c r="K819" i="3" s="1"/>
  <c r="S818" i="3"/>
  <c r="I818" i="3"/>
  <c r="K818" i="3" s="1"/>
  <c r="S817" i="3"/>
  <c r="I817" i="3"/>
  <c r="K817" i="3" s="1"/>
  <c r="S816" i="3"/>
  <c r="I816" i="3"/>
  <c r="K816" i="3" s="1"/>
  <c r="S815" i="3"/>
  <c r="I815" i="3"/>
  <c r="K815" i="3" s="1"/>
  <c r="S814" i="3"/>
  <c r="I814" i="3"/>
  <c r="K814" i="3" s="1"/>
  <c r="S813" i="3"/>
  <c r="I813" i="3"/>
  <c r="K813" i="3" s="1"/>
  <c r="S812" i="3"/>
  <c r="I812" i="3"/>
  <c r="K812" i="3" s="1"/>
  <c r="S811" i="3"/>
  <c r="I811" i="3"/>
  <c r="K811" i="3" s="1"/>
  <c r="S810" i="3"/>
  <c r="I810" i="3"/>
  <c r="K810" i="3" s="1"/>
  <c r="S809" i="3"/>
  <c r="I809" i="3"/>
  <c r="K809" i="3" s="1"/>
  <c r="S808" i="3"/>
  <c r="I808" i="3"/>
  <c r="K808" i="3" s="1"/>
  <c r="S807" i="3"/>
  <c r="J807" i="3"/>
  <c r="H807" i="3"/>
  <c r="G807" i="3"/>
  <c r="F807" i="3"/>
  <c r="E807" i="3"/>
  <c r="D807" i="3"/>
  <c r="S806" i="3"/>
  <c r="I806" i="3"/>
  <c r="K806" i="3" s="1"/>
  <c r="S805" i="3"/>
  <c r="I805" i="3"/>
  <c r="K805" i="3" s="1"/>
  <c r="S804" i="3"/>
  <c r="I804" i="3"/>
  <c r="K804" i="3" s="1"/>
  <c r="S803" i="3"/>
  <c r="I803" i="3"/>
  <c r="K803" i="3" s="1"/>
  <c r="S802" i="3"/>
  <c r="I802" i="3"/>
  <c r="K802" i="3" s="1"/>
  <c r="S801" i="3"/>
  <c r="I801" i="3"/>
  <c r="K801" i="3" s="1"/>
  <c r="S800" i="3"/>
  <c r="I800" i="3"/>
  <c r="K800" i="3" s="1"/>
  <c r="S799" i="3"/>
  <c r="I799" i="3"/>
  <c r="K799" i="3" s="1"/>
  <c r="S798" i="3"/>
  <c r="I798" i="3"/>
  <c r="K798" i="3" s="1"/>
  <c r="S797" i="3"/>
  <c r="I797" i="3"/>
  <c r="K797" i="3" s="1"/>
  <c r="S796" i="3"/>
  <c r="I796" i="3"/>
  <c r="K796" i="3" s="1"/>
  <c r="S795" i="3"/>
  <c r="O795" i="3"/>
  <c r="S794" i="3"/>
  <c r="O794" i="3"/>
  <c r="S793" i="3"/>
  <c r="O793" i="3"/>
  <c r="S792" i="3"/>
  <c r="O792" i="3"/>
  <c r="S791" i="3"/>
  <c r="J791" i="3"/>
  <c r="H791" i="3"/>
  <c r="G791" i="3"/>
  <c r="F791" i="3"/>
  <c r="E791" i="3"/>
  <c r="D791" i="3"/>
  <c r="S790" i="3"/>
  <c r="I790" i="3"/>
  <c r="K790" i="3" s="1"/>
  <c r="Q788" i="3"/>
  <c r="J788" i="3"/>
  <c r="H788" i="3"/>
  <c r="G788" i="3"/>
  <c r="F788" i="3"/>
  <c r="E788" i="3"/>
  <c r="D788" i="3"/>
  <c r="S787" i="3"/>
  <c r="I787" i="3"/>
  <c r="K787" i="3" s="1"/>
  <c r="S786" i="3"/>
  <c r="I786" i="3"/>
  <c r="K786" i="3" s="1"/>
  <c r="S785" i="3"/>
  <c r="I785" i="3"/>
  <c r="K785" i="3" s="1"/>
  <c r="S784" i="3"/>
  <c r="I784" i="3"/>
  <c r="K784" i="3" s="1"/>
  <c r="S783" i="3"/>
  <c r="I783" i="3"/>
  <c r="K783" i="3" s="1"/>
  <c r="S782" i="3"/>
  <c r="I782" i="3"/>
  <c r="K782" i="3" s="1"/>
  <c r="S781" i="3"/>
  <c r="I781" i="3"/>
  <c r="K781" i="3" s="1"/>
  <c r="S780" i="3"/>
  <c r="I780" i="3"/>
  <c r="K780" i="3" s="1"/>
  <c r="S779" i="3"/>
  <c r="I779" i="3"/>
  <c r="K779" i="3" s="1"/>
  <c r="S778" i="3"/>
  <c r="I778" i="3"/>
  <c r="K778" i="3" s="1"/>
  <c r="S777" i="3"/>
  <c r="I777" i="3"/>
  <c r="K777" i="3" s="1"/>
  <c r="S776" i="3"/>
  <c r="I776" i="3"/>
  <c r="K776" i="3" s="1"/>
  <c r="S775" i="3"/>
  <c r="I775" i="3"/>
  <c r="K775" i="3" s="1"/>
  <c r="S774" i="3"/>
  <c r="I774" i="3"/>
  <c r="K774" i="3" s="1"/>
  <c r="S773" i="3"/>
  <c r="I773" i="3"/>
  <c r="K773" i="3" s="1"/>
  <c r="S772" i="3"/>
  <c r="I772" i="3"/>
  <c r="K772" i="3" s="1"/>
  <c r="S771" i="3"/>
  <c r="I771" i="3"/>
  <c r="K771" i="3" s="1"/>
  <c r="S770" i="3"/>
  <c r="I770" i="3"/>
  <c r="K770" i="3" s="1"/>
  <c r="S769" i="3"/>
  <c r="I769" i="3"/>
  <c r="K769" i="3" s="1"/>
  <c r="S768" i="3"/>
  <c r="I768" i="3"/>
  <c r="K768" i="3" s="1"/>
  <c r="S767" i="3"/>
  <c r="I767" i="3"/>
  <c r="K767" i="3" s="1"/>
  <c r="S766" i="3"/>
  <c r="I766" i="3"/>
  <c r="K766" i="3" s="1"/>
  <c r="S765" i="3"/>
  <c r="I765" i="3"/>
  <c r="K765" i="3" s="1"/>
  <c r="S764" i="3"/>
  <c r="I764" i="3"/>
  <c r="K764" i="3" s="1"/>
  <c r="S763" i="3"/>
  <c r="I763" i="3"/>
  <c r="K763" i="3" s="1"/>
  <c r="S762" i="3"/>
  <c r="I762" i="3"/>
  <c r="K762" i="3" s="1"/>
  <c r="S761" i="3"/>
  <c r="I761" i="3"/>
  <c r="K761" i="3" s="1"/>
  <c r="S760" i="3"/>
  <c r="I760" i="3"/>
  <c r="K760" i="3" s="1"/>
  <c r="S759" i="3"/>
  <c r="I759" i="3"/>
  <c r="K759" i="3" s="1"/>
  <c r="S758" i="3"/>
  <c r="I758" i="3"/>
  <c r="K758" i="3" s="1"/>
  <c r="S757" i="3"/>
  <c r="I757" i="3"/>
  <c r="K757" i="3" s="1"/>
  <c r="S756" i="3"/>
  <c r="I756" i="3"/>
  <c r="K756" i="3" s="1"/>
  <c r="S755" i="3"/>
  <c r="J755" i="3"/>
  <c r="H755" i="3"/>
  <c r="G755" i="3"/>
  <c r="F755" i="3"/>
  <c r="E755" i="3"/>
  <c r="D755" i="3"/>
  <c r="S754" i="3"/>
  <c r="I754" i="3"/>
  <c r="K754" i="3" s="1"/>
  <c r="S753" i="3"/>
  <c r="I753" i="3"/>
  <c r="K753" i="3" s="1"/>
  <c r="S752" i="3"/>
  <c r="I752" i="3"/>
  <c r="K752" i="3" s="1"/>
  <c r="S751" i="3"/>
  <c r="I751" i="3"/>
  <c r="K751" i="3" s="1"/>
  <c r="S750" i="3"/>
  <c r="I750" i="3"/>
  <c r="K750" i="3" s="1"/>
  <c r="S749" i="3"/>
  <c r="I749" i="3"/>
  <c r="K749" i="3" s="1"/>
  <c r="S748" i="3"/>
  <c r="O748" i="3"/>
  <c r="S747" i="3"/>
  <c r="O747" i="3"/>
  <c r="S746" i="3"/>
  <c r="O746" i="3"/>
  <c r="S745" i="3"/>
  <c r="J745" i="3"/>
  <c r="H745" i="3"/>
  <c r="G745" i="3"/>
  <c r="F745" i="3"/>
  <c r="E745" i="3"/>
  <c r="D745" i="3"/>
  <c r="S744" i="3"/>
  <c r="I744" i="3"/>
  <c r="K744" i="3" s="1"/>
  <c r="S743" i="3"/>
  <c r="I743" i="3"/>
  <c r="K743" i="3" s="1"/>
  <c r="S742" i="3"/>
  <c r="I742" i="3"/>
  <c r="K742" i="3" s="1"/>
  <c r="S741" i="3"/>
  <c r="I741" i="3"/>
  <c r="K741" i="3" s="1"/>
  <c r="S740" i="3"/>
  <c r="I740" i="3"/>
  <c r="K740" i="3" s="1"/>
  <c r="S739" i="3"/>
  <c r="I739" i="3"/>
  <c r="K739" i="3" s="1"/>
  <c r="S738" i="3"/>
  <c r="I738" i="3"/>
  <c r="K738" i="3" s="1"/>
  <c r="S737" i="3"/>
  <c r="I737" i="3"/>
  <c r="K737" i="3" s="1"/>
  <c r="S736" i="3"/>
  <c r="I736" i="3"/>
  <c r="K736" i="3" s="1"/>
  <c r="S735" i="3"/>
  <c r="I735" i="3"/>
  <c r="K735" i="3" s="1"/>
  <c r="S733" i="3"/>
  <c r="J733" i="3"/>
  <c r="H733" i="3"/>
  <c r="G733" i="3"/>
  <c r="F733" i="3"/>
  <c r="E733" i="3"/>
  <c r="D733" i="3"/>
  <c r="S732" i="3"/>
  <c r="I732" i="3"/>
  <c r="K732" i="3" s="1"/>
  <c r="S731" i="3"/>
  <c r="I731" i="3"/>
  <c r="K731" i="3" s="1"/>
  <c r="S730" i="3"/>
  <c r="I730" i="3"/>
  <c r="K730" i="3" s="1"/>
  <c r="Q728" i="3"/>
  <c r="J728" i="3"/>
  <c r="H728" i="3"/>
  <c r="G728" i="3"/>
  <c r="F728" i="3"/>
  <c r="E728" i="3"/>
  <c r="D728" i="3"/>
  <c r="S727" i="3"/>
  <c r="I727" i="3"/>
  <c r="K727" i="3" s="1"/>
  <c r="S726" i="3"/>
  <c r="I726" i="3"/>
  <c r="K726" i="3" s="1"/>
  <c r="S724" i="3"/>
  <c r="J724" i="3"/>
  <c r="H724" i="3"/>
  <c r="G724" i="3"/>
  <c r="F724" i="3"/>
  <c r="E724" i="3"/>
  <c r="D724" i="3"/>
  <c r="S723" i="3"/>
  <c r="I723" i="3"/>
  <c r="K723" i="3" s="1"/>
  <c r="S722" i="3"/>
  <c r="I722" i="3"/>
  <c r="K722" i="3" s="1"/>
  <c r="S721" i="3"/>
  <c r="I721" i="3"/>
  <c r="K721" i="3" s="1"/>
  <c r="S720" i="3"/>
  <c r="I720" i="3"/>
  <c r="K720" i="3" s="1"/>
  <c r="S719" i="3"/>
  <c r="I719" i="3"/>
  <c r="K719" i="3" s="1"/>
  <c r="S718" i="3"/>
  <c r="I718" i="3"/>
  <c r="K718" i="3" s="1"/>
  <c r="S717" i="3"/>
  <c r="I717" i="3"/>
  <c r="K717" i="3" s="1"/>
  <c r="S716" i="3"/>
  <c r="I716" i="3"/>
  <c r="K716" i="3" s="1"/>
  <c r="S715" i="3"/>
  <c r="I715" i="3"/>
  <c r="K715" i="3" s="1"/>
  <c r="S714" i="3"/>
  <c r="I714" i="3"/>
  <c r="K714" i="3" s="1"/>
  <c r="S713" i="3"/>
  <c r="I713" i="3"/>
  <c r="K713" i="3" s="1"/>
  <c r="S712" i="3"/>
  <c r="I712" i="3"/>
  <c r="K712" i="3" s="1"/>
  <c r="S711" i="3"/>
  <c r="I711" i="3"/>
  <c r="K711" i="3" s="1"/>
  <c r="S710" i="3"/>
  <c r="I710" i="3"/>
  <c r="K710" i="3" s="1"/>
  <c r="S708" i="3"/>
  <c r="J708" i="3"/>
  <c r="H708" i="3"/>
  <c r="G708" i="3"/>
  <c r="F708" i="3"/>
  <c r="E708" i="3"/>
  <c r="D708" i="3"/>
  <c r="S707" i="3"/>
  <c r="I707" i="3"/>
  <c r="K707" i="3" s="1"/>
  <c r="S706" i="3"/>
  <c r="I706" i="3"/>
  <c r="K706" i="3" s="1"/>
  <c r="S705" i="3"/>
  <c r="I705" i="3"/>
  <c r="K705" i="3" s="1"/>
  <c r="S704" i="3"/>
  <c r="I704" i="3"/>
  <c r="K704" i="3" s="1"/>
  <c r="S702" i="3"/>
  <c r="J702" i="3"/>
  <c r="H702" i="3"/>
  <c r="G702" i="3"/>
  <c r="F702" i="3"/>
  <c r="E702" i="3"/>
  <c r="D702" i="3"/>
  <c r="S701" i="3"/>
  <c r="I701" i="3"/>
  <c r="K701" i="3" s="1"/>
  <c r="S700" i="3"/>
  <c r="I700" i="3"/>
  <c r="K700" i="3" s="1"/>
  <c r="S699" i="3"/>
  <c r="I699" i="3"/>
  <c r="K699" i="3" s="1"/>
  <c r="S698" i="3"/>
  <c r="I698" i="3"/>
  <c r="K698" i="3" s="1"/>
  <c r="S697" i="3"/>
  <c r="I697" i="3"/>
  <c r="K697" i="3" s="1"/>
  <c r="S696" i="3"/>
  <c r="I696" i="3"/>
  <c r="K696" i="3" s="1"/>
  <c r="S695" i="3"/>
  <c r="I695" i="3"/>
  <c r="K695" i="3" s="1"/>
  <c r="S694" i="3"/>
  <c r="I694" i="3"/>
  <c r="K694" i="3" s="1"/>
  <c r="S693" i="3"/>
  <c r="I693" i="3"/>
  <c r="K693" i="3" s="1"/>
  <c r="S692" i="3"/>
  <c r="I692" i="3"/>
  <c r="K692" i="3" s="1"/>
  <c r="S691" i="3"/>
  <c r="I691" i="3"/>
  <c r="K691" i="3" s="1"/>
  <c r="S690" i="3"/>
  <c r="I690" i="3"/>
  <c r="K690" i="3" s="1"/>
  <c r="S689" i="3"/>
  <c r="I689" i="3"/>
  <c r="K689" i="3" s="1"/>
  <c r="S688" i="3"/>
  <c r="I688" i="3"/>
  <c r="K688" i="3" s="1"/>
  <c r="S687" i="3"/>
  <c r="I687" i="3"/>
  <c r="K687" i="3" s="1"/>
  <c r="S686" i="3"/>
  <c r="I686" i="3"/>
  <c r="K686" i="3" s="1"/>
  <c r="S685" i="3"/>
  <c r="I685" i="3"/>
  <c r="K685" i="3" s="1"/>
  <c r="S684" i="3"/>
  <c r="I684" i="3"/>
  <c r="K684" i="3" s="1"/>
  <c r="S683" i="3"/>
  <c r="I683" i="3"/>
  <c r="K683" i="3" s="1"/>
  <c r="N682" i="3"/>
  <c r="L682" i="3"/>
  <c r="J682" i="3"/>
  <c r="H682" i="3"/>
  <c r="S681" i="3"/>
  <c r="J681" i="3"/>
  <c r="H681" i="3"/>
  <c r="G681" i="3"/>
  <c r="F681" i="3"/>
  <c r="E681" i="3"/>
  <c r="D681" i="3"/>
  <c r="S680" i="3"/>
  <c r="I680" i="3"/>
  <c r="K680" i="3" s="1"/>
  <c r="S679" i="3"/>
  <c r="I679" i="3"/>
  <c r="K679" i="3" s="1"/>
  <c r="S678" i="3"/>
  <c r="I678" i="3"/>
  <c r="K678" i="3" s="1"/>
  <c r="S677" i="3"/>
  <c r="I677" i="3"/>
  <c r="K677" i="3" s="1"/>
  <c r="S676" i="3"/>
  <c r="I676" i="3"/>
  <c r="K676" i="3" s="1"/>
  <c r="S675" i="3"/>
  <c r="J675" i="3"/>
  <c r="H675" i="3"/>
  <c r="G675" i="3"/>
  <c r="F675" i="3"/>
  <c r="E675" i="3"/>
  <c r="D675" i="3"/>
  <c r="S674" i="3"/>
  <c r="I674" i="3"/>
  <c r="K674" i="3" s="1"/>
  <c r="S673" i="3"/>
  <c r="I673" i="3"/>
  <c r="K673" i="3" s="1"/>
  <c r="S672" i="3"/>
  <c r="I672" i="3"/>
  <c r="K672" i="3" s="1"/>
  <c r="S671" i="3"/>
  <c r="I671" i="3"/>
  <c r="K671" i="3" s="1"/>
  <c r="S670" i="3"/>
  <c r="I670" i="3"/>
  <c r="K670" i="3" s="1"/>
  <c r="S669" i="3"/>
  <c r="I669" i="3"/>
  <c r="K669" i="3" s="1"/>
  <c r="S668" i="3"/>
  <c r="I668" i="3"/>
  <c r="K668" i="3" s="1"/>
  <c r="S667" i="3"/>
  <c r="I667" i="3"/>
  <c r="K667" i="3" s="1"/>
  <c r="S666" i="3"/>
  <c r="I666" i="3"/>
  <c r="K666" i="3" s="1"/>
  <c r="S665" i="3"/>
  <c r="I665" i="3"/>
  <c r="K665" i="3" s="1"/>
  <c r="S664" i="3"/>
  <c r="I664" i="3"/>
  <c r="K664" i="3" s="1"/>
  <c r="S663" i="3"/>
  <c r="I663" i="3"/>
  <c r="K663" i="3" s="1"/>
  <c r="S662" i="3"/>
  <c r="I662" i="3"/>
  <c r="K662" i="3" s="1"/>
  <c r="S661" i="3"/>
  <c r="I661" i="3"/>
  <c r="K661" i="3" s="1"/>
  <c r="S660" i="3"/>
  <c r="I660" i="3"/>
  <c r="K660" i="3" s="1"/>
  <c r="S659" i="3"/>
  <c r="I659" i="3"/>
  <c r="K659" i="3" s="1"/>
  <c r="N658" i="3"/>
  <c r="L658" i="3"/>
  <c r="J658" i="3"/>
  <c r="H658" i="3"/>
  <c r="Q657" i="3"/>
  <c r="J657" i="3"/>
  <c r="H657" i="3"/>
  <c r="G657" i="3"/>
  <c r="F657" i="3"/>
  <c r="E657" i="3"/>
  <c r="D657" i="3"/>
  <c r="S656" i="3"/>
  <c r="I656" i="3"/>
  <c r="K656" i="3" s="1"/>
  <c r="S655" i="3"/>
  <c r="I655" i="3"/>
  <c r="K655" i="3" s="1"/>
  <c r="Q654" i="3"/>
  <c r="J654" i="3"/>
  <c r="H654" i="3"/>
  <c r="G654" i="3"/>
  <c r="F654" i="3"/>
  <c r="E654" i="3"/>
  <c r="D654" i="3"/>
  <c r="Q653" i="3"/>
  <c r="J653" i="3"/>
  <c r="H653" i="3"/>
  <c r="G653" i="3"/>
  <c r="F653" i="3"/>
  <c r="E653" i="3"/>
  <c r="D653" i="3"/>
  <c r="S652" i="3"/>
  <c r="J652" i="3"/>
  <c r="H652" i="3"/>
  <c r="G652" i="3"/>
  <c r="F652" i="3"/>
  <c r="E652" i="3"/>
  <c r="D652" i="3"/>
  <c r="S651" i="3"/>
  <c r="J651" i="3"/>
  <c r="H651" i="3"/>
  <c r="G651" i="3"/>
  <c r="F651" i="3"/>
  <c r="E651" i="3"/>
  <c r="D651" i="3"/>
  <c r="Q650" i="3"/>
  <c r="J650" i="3"/>
  <c r="H650" i="3"/>
  <c r="G650" i="3"/>
  <c r="F650" i="3"/>
  <c r="E650" i="3"/>
  <c r="D650" i="3"/>
  <c r="S649" i="3"/>
  <c r="I649" i="3"/>
  <c r="K649" i="3" s="1"/>
  <c r="S648" i="3"/>
  <c r="I648" i="3"/>
  <c r="K648" i="3" s="1"/>
  <c r="S647" i="3"/>
  <c r="J647" i="3"/>
  <c r="H647" i="3"/>
  <c r="G647" i="3"/>
  <c r="F647" i="3"/>
  <c r="E647" i="3"/>
  <c r="D647" i="3"/>
  <c r="S646" i="3"/>
  <c r="J646" i="3"/>
  <c r="H646" i="3"/>
  <c r="G646" i="3"/>
  <c r="F646" i="3"/>
  <c r="E646" i="3"/>
  <c r="D646" i="3"/>
  <c r="S645" i="3"/>
  <c r="J645" i="3"/>
  <c r="H645" i="3"/>
  <c r="G645" i="3"/>
  <c r="F645" i="3"/>
  <c r="E645" i="3"/>
  <c r="D645" i="3"/>
  <c r="S644" i="3"/>
  <c r="I644" i="3"/>
  <c r="K644" i="3" s="1"/>
  <c r="S643" i="3"/>
  <c r="I643" i="3"/>
  <c r="K643" i="3" s="1"/>
  <c r="S642" i="3"/>
  <c r="I642" i="3"/>
  <c r="K642" i="3" s="1"/>
  <c r="S641" i="3"/>
  <c r="I641" i="3"/>
  <c r="K641" i="3" s="1"/>
  <c r="S640" i="3"/>
  <c r="I640" i="3"/>
  <c r="K640" i="3" s="1"/>
  <c r="S639" i="3"/>
  <c r="I639" i="3"/>
  <c r="K639" i="3" s="1"/>
  <c r="S638" i="3"/>
  <c r="I638" i="3"/>
  <c r="K638" i="3" s="1"/>
  <c r="S637" i="3"/>
  <c r="I637" i="3"/>
  <c r="K637" i="3" s="1"/>
  <c r="S636" i="3"/>
  <c r="I636" i="3"/>
  <c r="K636" i="3" s="1"/>
  <c r="N635" i="3"/>
  <c r="L635" i="3"/>
  <c r="J635" i="3"/>
  <c r="H635" i="3"/>
  <c r="N634" i="3"/>
  <c r="L634" i="3"/>
  <c r="J634" i="3"/>
  <c r="H634" i="3"/>
  <c r="N633" i="3"/>
  <c r="L633" i="3"/>
  <c r="J633" i="3"/>
  <c r="H633" i="3"/>
  <c r="S632" i="3"/>
  <c r="J632" i="3"/>
  <c r="H632" i="3"/>
  <c r="G632" i="3"/>
  <c r="F632" i="3"/>
  <c r="E632" i="3"/>
  <c r="D632" i="3"/>
  <c r="S631" i="3"/>
  <c r="I631" i="3"/>
  <c r="K631" i="3" s="1"/>
  <c r="S630" i="3"/>
  <c r="I630" i="3"/>
  <c r="K630" i="3" s="1"/>
  <c r="S629" i="3"/>
  <c r="I629" i="3"/>
  <c r="K629" i="3" s="1"/>
  <c r="S628" i="3"/>
  <c r="I628" i="3"/>
  <c r="K628" i="3" s="1"/>
  <c r="S627" i="3"/>
  <c r="I627" i="3"/>
  <c r="K627" i="3" s="1"/>
  <c r="S626" i="3"/>
  <c r="I626" i="3"/>
  <c r="K626" i="3" s="1"/>
  <c r="N625" i="3"/>
  <c r="L625" i="3"/>
  <c r="J625" i="3"/>
  <c r="H625" i="3"/>
  <c r="S624" i="3"/>
  <c r="J624" i="3"/>
  <c r="H624" i="3"/>
  <c r="G624" i="3"/>
  <c r="F624" i="3"/>
  <c r="E624" i="3"/>
  <c r="D624" i="3"/>
  <c r="S623" i="3"/>
  <c r="I623" i="3"/>
  <c r="K623" i="3" s="1"/>
  <c r="S622" i="3"/>
  <c r="I622" i="3"/>
  <c r="K622" i="3" s="1"/>
  <c r="S621" i="3"/>
  <c r="I621" i="3"/>
  <c r="K621" i="3" s="1"/>
  <c r="S620" i="3"/>
  <c r="I620" i="3"/>
  <c r="K620" i="3" s="1"/>
  <c r="S619" i="3"/>
  <c r="I619" i="3"/>
  <c r="K619" i="3" s="1"/>
  <c r="S618" i="3"/>
  <c r="I618" i="3"/>
  <c r="K618" i="3" s="1"/>
  <c r="S617" i="3"/>
  <c r="I617" i="3"/>
  <c r="K617" i="3" s="1"/>
  <c r="S616" i="3"/>
  <c r="I616" i="3"/>
  <c r="K616" i="3" s="1"/>
  <c r="S615" i="3"/>
  <c r="J615" i="3"/>
  <c r="H615" i="3"/>
  <c r="G615" i="3"/>
  <c r="F615" i="3"/>
  <c r="E615" i="3"/>
  <c r="D615" i="3"/>
  <c r="S614" i="3"/>
  <c r="I614" i="3"/>
  <c r="K614" i="3" s="1"/>
  <c r="S613" i="3"/>
  <c r="I613" i="3"/>
  <c r="K613" i="3" s="1"/>
  <c r="S612" i="3"/>
  <c r="I612" i="3"/>
  <c r="K612" i="3" s="1"/>
  <c r="S611" i="3"/>
  <c r="I611" i="3"/>
  <c r="K611" i="3" s="1"/>
  <c r="S610" i="3"/>
  <c r="I610" i="3"/>
  <c r="K610" i="3" s="1"/>
  <c r="S609" i="3"/>
  <c r="I609" i="3"/>
  <c r="K609" i="3" s="1"/>
  <c r="S608" i="3"/>
  <c r="I608" i="3"/>
  <c r="K608" i="3" s="1"/>
  <c r="S607" i="3"/>
  <c r="I607" i="3"/>
  <c r="K607" i="3" s="1"/>
  <c r="S606" i="3"/>
  <c r="I606" i="3"/>
  <c r="K606" i="3" s="1"/>
  <c r="S605" i="3"/>
  <c r="I605" i="3"/>
  <c r="K605" i="3" s="1"/>
  <c r="N604" i="3"/>
  <c r="L604" i="3"/>
  <c r="J604" i="3"/>
  <c r="H604" i="3"/>
  <c r="S603" i="3"/>
  <c r="J603" i="3"/>
  <c r="H603" i="3"/>
  <c r="G603" i="3"/>
  <c r="F603" i="3"/>
  <c r="E603" i="3"/>
  <c r="D603" i="3"/>
  <c r="S602" i="3"/>
  <c r="I602" i="3"/>
  <c r="K602" i="3" s="1"/>
  <c r="S601" i="3"/>
  <c r="I601" i="3"/>
  <c r="K601" i="3" s="1"/>
  <c r="S600" i="3"/>
  <c r="I600" i="3"/>
  <c r="K600" i="3" s="1"/>
  <c r="S599" i="3"/>
  <c r="I599" i="3"/>
  <c r="K599" i="3" s="1"/>
  <c r="S598" i="3"/>
  <c r="I598" i="3"/>
  <c r="K598" i="3" s="1"/>
  <c r="S597" i="3"/>
  <c r="I597" i="3"/>
  <c r="K597" i="3" s="1"/>
  <c r="S596" i="3"/>
  <c r="I596" i="3"/>
  <c r="K596" i="3" s="1"/>
  <c r="S595" i="3"/>
  <c r="I595" i="3"/>
  <c r="K595" i="3" s="1"/>
  <c r="S594" i="3"/>
  <c r="I594" i="3"/>
  <c r="K594" i="3" s="1"/>
  <c r="S593" i="3"/>
  <c r="I593" i="3"/>
  <c r="K593" i="3" s="1"/>
  <c r="N592" i="3"/>
  <c r="L592" i="3"/>
  <c r="N591" i="3"/>
  <c r="L591" i="3"/>
  <c r="Q590" i="3"/>
  <c r="J590" i="3"/>
  <c r="H590" i="3"/>
  <c r="G590" i="3"/>
  <c r="F590" i="3"/>
  <c r="E590" i="3"/>
  <c r="D590" i="3"/>
  <c r="Q589" i="3"/>
  <c r="I589" i="3"/>
  <c r="K589" i="3" s="1"/>
  <c r="S588" i="3"/>
  <c r="I588" i="3"/>
  <c r="K588" i="3" s="1"/>
  <c r="S587" i="3"/>
  <c r="I587" i="3"/>
  <c r="K587" i="3" s="1"/>
  <c r="S586" i="3"/>
  <c r="I586" i="3"/>
  <c r="K586" i="3" s="1"/>
  <c r="Q585" i="3"/>
  <c r="I585" i="3"/>
  <c r="K585" i="3" s="1"/>
  <c r="S584" i="3"/>
  <c r="I584" i="3"/>
  <c r="K584" i="3" s="1"/>
  <c r="S583" i="3"/>
  <c r="I583" i="3"/>
  <c r="K583" i="3" s="1"/>
  <c r="Q582" i="3"/>
  <c r="I582" i="3"/>
  <c r="K582" i="3" s="1"/>
  <c r="S581" i="3"/>
  <c r="I581" i="3"/>
  <c r="K581" i="3" s="1"/>
  <c r="N580" i="3"/>
  <c r="L580" i="3"/>
  <c r="J580" i="3"/>
  <c r="H580" i="3"/>
  <c r="Q579" i="3"/>
  <c r="J579" i="3"/>
  <c r="H579" i="3"/>
  <c r="G579" i="3"/>
  <c r="F579" i="3"/>
  <c r="E579" i="3"/>
  <c r="D579" i="3"/>
  <c r="Q578" i="3"/>
  <c r="I578" i="3"/>
  <c r="K578" i="3" s="1"/>
  <c r="N577" i="3"/>
  <c r="L577" i="3"/>
  <c r="J577" i="3"/>
  <c r="H577" i="3"/>
  <c r="N576" i="3"/>
  <c r="L576" i="3"/>
  <c r="J576" i="3"/>
  <c r="H576" i="3"/>
  <c r="N575" i="3"/>
  <c r="L575" i="3"/>
  <c r="J575" i="3"/>
  <c r="H575" i="3"/>
  <c r="N574" i="3"/>
  <c r="L574" i="3"/>
  <c r="J574" i="3"/>
  <c r="H574" i="3"/>
  <c r="N573" i="3"/>
  <c r="L573" i="3"/>
  <c r="J573" i="3"/>
  <c r="H573" i="3"/>
  <c r="Q572" i="3"/>
  <c r="J572" i="3"/>
  <c r="H572" i="3"/>
  <c r="G572" i="3"/>
  <c r="F572" i="3"/>
  <c r="E572" i="3"/>
  <c r="D572" i="3"/>
  <c r="S571" i="3"/>
  <c r="I571" i="3"/>
  <c r="K571" i="3" s="1"/>
  <c r="Q570" i="3"/>
  <c r="I570" i="3"/>
  <c r="K570" i="3" s="1"/>
  <c r="Q569" i="3"/>
  <c r="I569" i="3"/>
  <c r="K569" i="3" s="1"/>
  <c r="N568" i="3"/>
  <c r="L568" i="3"/>
  <c r="J568" i="3"/>
  <c r="H568" i="3"/>
  <c r="N567" i="3"/>
  <c r="L567" i="3"/>
  <c r="J567" i="3"/>
  <c r="H567" i="3"/>
  <c r="N566" i="3"/>
  <c r="L566" i="3"/>
  <c r="J566" i="3"/>
  <c r="H566" i="3"/>
  <c r="N565" i="3"/>
  <c r="L565" i="3"/>
  <c r="J565" i="3"/>
  <c r="H565" i="3"/>
  <c r="Q564" i="3"/>
  <c r="J564" i="3"/>
  <c r="H564" i="3"/>
  <c r="G564" i="3"/>
  <c r="F564" i="3"/>
  <c r="E564" i="3"/>
  <c r="D564" i="3"/>
  <c r="Q563" i="3"/>
  <c r="I563" i="3"/>
  <c r="K563" i="3" s="1"/>
  <c r="Q562" i="3"/>
  <c r="I562" i="3"/>
  <c r="K562" i="3" s="1"/>
  <c r="Q561" i="3"/>
  <c r="I561" i="3"/>
  <c r="K561" i="3" s="1"/>
  <c r="S560" i="3"/>
  <c r="I560" i="3"/>
  <c r="K560" i="3" s="1"/>
  <c r="Q558" i="3"/>
  <c r="J558" i="3"/>
  <c r="H558" i="3"/>
  <c r="G558" i="3"/>
  <c r="F558" i="3"/>
  <c r="E558" i="3"/>
  <c r="D558" i="3"/>
  <c r="Q556" i="3"/>
  <c r="J556" i="3"/>
  <c r="H556" i="3"/>
  <c r="G556" i="3"/>
  <c r="F556" i="3"/>
  <c r="E556" i="3"/>
  <c r="D556" i="3"/>
  <c r="Q555" i="3"/>
  <c r="I555" i="3"/>
  <c r="K555" i="3" s="1"/>
  <c r="S554" i="3"/>
  <c r="I554" i="3"/>
  <c r="K554" i="3" s="1"/>
  <c r="Q553" i="3"/>
  <c r="I553" i="3"/>
  <c r="K553" i="3" s="1"/>
  <c r="Q552" i="3"/>
  <c r="I552" i="3"/>
  <c r="K552" i="3" s="1"/>
  <c r="S551" i="3"/>
  <c r="I551" i="3"/>
  <c r="K551" i="3" s="1"/>
  <c r="Q550" i="3"/>
  <c r="I550" i="3"/>
  <c r="K550" i="3" s="1"/>
  <c r="S549" i="3"/>
  <c r="I549" i="3"/>
  <c r="K549" i="3" s="1"/>
  <c r="Q548" i="3"/>
  <c r="I548" i="3"/>
  <c r="K548" i="3" s="1"/>
  <c r="S547" i="3"/>
  <c r="I547" i="3"/>
  <c r="K547" i="3" s="1"/>
  <c r="Q546" i="3"/>
  <c r="I546" i="3"/>
  <c r="K546" i="3" s="1"/>
  <c r="S545" i="3"/>
  <c r="I545" i="3"/>
  <c r="K545" i="3" s="1"/>
  <c r="S544" i="3"/>
  <c r="I544" i="3"/>
  <c r="K544" i="3" s="1"/>
  <c r="Q543" i="3"/>
  <c r="I543" i="3"/>
  <c r="K543" i="3" s="1"/>
  <c r="Q542" i="3"/>
  <c r="I542" i="3"/>
  <c r="K542" i="3" s="1"/>
  <c r="Q541" i="3"/>
  <c r="I541" i="3"/>
  <c r="K541" i="3" s="1"/>
  <c r="Q540" i="3"/>
  <c r="I540" i="3"/>
  <c r="K540" i="3" s="1"/>
  <c r="Q539" i="3"/>
  <c r="I539" i="3"/>
  <c r="K539" i="3" s="1"/>
  <c r="S538" i="3"/>
  <c r="I538" i="3"/>
  <c r="K538" i="3" s="1"/>
  <c r="S537" i="3"/>
  <c r="I537" i="3"/>
  <c r="K537" i="3" s="1"/>
  <c r="Q536" i="3"/>
  <c r="I536" i="3"/>
  <c r="K536" i="3" s="1"/>
  <c r="S535" i="3"/>
  <c r="I535" i="3"/>
  <c r="K535" i="3" s="1"/>
  <c r="Q534" i="3"/>
  <c r="I534" i="3"/>
  <c r="K534" i="3" s="1"/>
  <c r="S533" i="3"/>
  <c r="I533" i="3"/>
  <c r="K533" i="3" s="1"/>
  <c r="Q532" i="3"/>
  <c r="I532" i="3"/>
  <c r="K532" i="3" s="1"/>
  <c r="Q531" i="3"/>
  <c r="I531" i="3"/>
  <c r="K531" i="3" s="1"/>
  <c r="Q530" i="3"/>
  <c r="I530" i="3"/>
  <c r="K530" i="3" s="1"/>
  <c r="N529" i="3"/>
  <c r="L529" i="3"/>
  <c r="Q528" i="3"/>
  <c r="J528" i="3"/>
  <c r="H528" i="3"/>
  <c r="G528" i="3"/>
  <c r="F528" i="3"/>
  <c r="E528" i="3"/>
  <c r="D528" i="3"/>
  <c r="Q527" i="3"/>
  <c r="I527" i="3"/>
  <c r="K527" i="3" s="1"/>
  <c r="S526" i="3"/>
  <c r="I526" i="3"/>
  <c r="K526" i="3" s="1"/>
  <c r="Q525" i="3"/>
  <c r="I525" i="3"/>
  <c r="K525" i="3" s="1"/>
  <c r="H524" i="3"/>
  <c r="H523" i="3"/>
  <c r="H522" i="3"/>
  <c r="H521" i="3"/>
  <c r="H520" i="3"/>
  <c r="Q519" i="3"/>
  <c r="J519" i="3"/>
  <c r="H519" i="3"/>
  <c r="G519" i="3"/>
  <c r="F519" i="3"/>
  <c r="E519" i="3"/>
  <c r="D519" i="3"/>
  <c r="N518" i="3"/>
  <c r="L518" i="3"/>
  <c r="J518" i="3"/>
  <c r="H518" i="3"/>
  <c r="N517" i="3"/>
  <c r="L517" i="3"/>
  <c r="J517" i="3"/>
  <c r="H517" i="3"/>
  <c r="N516" i="3"/>
  <c r="L516" i="3"/>
  <c r="J516" i="3"/>
  <c r="H516" i="3"/>
  <c r="Q515" i="3"/>
  <c r="J515" i="3"/>
  <c r="H515" i="3"/>
  <c r="G515" i="3"/>
  <c r="F515" i="3"/>
  <c r="E515" i="3"/>
  <c r="D515" i="3"/>
  <c r="Q514" i="3"/>
  <c r="I514" i="3"/>
  <c r="K514" i="3" s="1"/>
  <c r="Q513" i="3"/>
  <c r="I513" i="3"/>
  <c r="K513" i="3" s="1"/>
  <c r="Q512" i="3"/>
  <c r="I512" i="3"/>
  <c r="K512" i="3" s="1"/>
  <c r="N511" i="3"/>
  <c r="L511" i="3"/>
  <c r="J511" i="3"/>
  <c r="H511" i="3"/>
  <c r="N510" i="3"/>
  <c r="L510" i="3"/>
  <c r="J510" i="3"/>
  <c r="H510" i="3"/>
  <c r="Q509" i="3"/>
  <c r="J509" i="3"/>
  <c r="H509" i="3"/>
  <c r="G509" i="3"/>
  <c r="F509" i="3"/>
  <c r="E509" i="3"/>
  <c r="D509" i="3"/>
  <c r="Q508" i="3"/>
  <c r="I508" i="3"/>
  <c r="K508" i="3" s="1"/>
  <c r="S507" i="3"/>
  <c r="I507" i="3"/>
  <c r="K507" i="3" s="1"/>
  <c r="S506" i="3"/>
  <c r="I506" i="3"/>
  <c r="K506" i="3" s="1"/>
  <c r="Q505" i="3"/>
  <c r="I505" i="3"/>
  <c r="K505" i="3" s="1"/>
  <c r="S504" i="3"/>
  <c r="I504" i="3"/>
  <c r="K504" i="3" s="1"/>
  <c r="S503" i="3"/>
  <c r="I503" i="3"/>
  <c r="K503" i="3" s="1"/>
  <c r="Q502" i="3"/>
  <c r="I502" i="3"/>
  <c r="K502" i="3" s="1"/>
  <c r="Q501" i="3"/>
  <c r="I501" i="3"/>
  <c r="K501" i="3" s="1"/>
  <c r="Q500" i="3"/>
  <c r="I500" i="3"/>
  <c r="K500" i="3" s="1"/>
  <c r="Q499" i="3"/>
  <c r="I499" i="3"/>
  <c r="K499" i="3" s="1"/>
  <c r="S498" i="3"/>
  <c r="I498" i="3"/>
  <c r="K498" i="3" s="1"/>
  <c r="Q497" i="3"/>
  <c r="I497" i="3"/>
  <c r="K497" i="3" s="1"/>
  <c r="H496" i="3"/>
  <c r="I496" i="3" s="1"/>
  <c r="Q495" i="3"/>
  <c r="J495" i="3"/>
  <c r="H495" i="3"/>
  <c r="G495" i="3"/>
  <c r="F495" i="3"/>
  <c r="E495" i="3"/>
  <c r="D495" i="3"/>
  <c r="Q494" i="3"/>
  <c r="I494" i="3"/>
  <c r="K494" i="3" s="1"/>
  <c r="Q493" i="3"/>
  <c r="I493" i="3"/>
  <c r="K493" i="3" s="1"/>
  <c r="Q492" i="3"/>
  <c r="I492" i="3"/>
  <c r="K492" i="3" s="1"/>
  <c r="Q491" i="3"/>
  <c r="I491" i="3"/>
  <c r="K491" i="3" s="1"/>
  <c r="S490" i="3"/>
  <c r="I490" i="3"/>
  <c r="K490" i="3" s="1"/>
  <c r="Q489" i="3"/>
  <c r="I489" i="3"/>
  <c r="K489" i="3" s="1"/>
  <c r="Q488" i="3"/>
  <c r="I488" i="3"/>
  <c r="K488" i="3" s="1"/>
  <c r="Q487" i="3"/>
  <c r="I487" i="3"/>
  <c r="K487" i="3" s="1"/>
  <c r="Q486" i="3"/>
  <c r="I486" i="3"/>
  <c r="K486" i="3" s="1"/>
  <c r="S485" i="3"/>
  <c r="I485" i="3"/>
  <c r="K485" i="3" s="1"/>
  <c r="Q484" i="3"/>
  <c r="I484" i="3"/>
  <c r="K484" i="3" s="1"/>
  <c r="N483" i="3"/>
  <c r="L483" i="3"/>
  <c r="J483" i="3"/>
  <c r="H483" i="3"/>
  <c r="N482" i="3"/>
  <c r="L482" i="3"/>
  <c r="J482" i="3"/>
  <c r="H482" i="3"/>
  <c r="N481" i="3"/>
  <c r="L481" i="3"/>
  <c r="J481" i="3"/>
  <c r="H481" i="3"/>
  <c r="N480" i="3"/>
  <c r="L480" i="3"/>
  <c r="J480" i="3"/>
  <c r="H480" i="3"/>
  <c r="N479" i="3"/>
  <c r="L479" i="3"/>
  <c r="J479" i="3"/>
  <c r="H479" i="3"/>
  <c r="Q478" i="3"/>
  <c r="J478" i="3"/>
  <c r="H478" i="3"/>
  <c r="G478" i="3"/>
  <c r="F478" i="3"/>
  <c r="E478" i="3"/>
  <c r="D478" i="3"/>
  <c r="Q477" i="3"/>
  <c r="I477" i="3"/>
  <c r="K477" i="3" s="1"/>
  <c r="Q476" i="3"/>
  <c r="I476" i="3"/>
  <c r="K476" i="3" s="1"/>
  <c r="N475" i="3"/>
  <c r="L475" i="3"/>
  <c r="J475" i="3"/>
  <c r="H475" i="3"/>
  <c r="N474" i="3"/>
  <c r="L474" i="3"/>
  <c r="J474" i="3"/>
  <c r="H474" i="3"/>
  <c r="Q473" i="3"/>
  <c r="J473" i="3"/>
  <c r="H473" i="3"/>
  <c r="G473" i="3"/>
  <c r="F473" i="3"/>
  <c r="E473" i="3"/>
  <c r="D473" i="3"/>
  <c r="Q472" i="3"/>
  <c r="I472" i="3"/>
  <c r="K472" i="3" s="1"/>
  <c r="S471" i="3"/>
  <c r="I471" i="3"/>
  <c r="K471" i="3" s="1"/>
  <c r="Q468" i="3"/>
  <c r="J468" i="3"/>
  <c r="H468" i="3"/>
  <c r="G468" i="3"/>
  <c r="F468" i="3"/>
  <c r="E468" i="3"/>
  <c r="D468" i="3"/>
  <c r="S467" i="3"/>
  <c r="I467" i="3"/>
  <c r="K467" i="3" s="1"/>
  <c r="I468" i="3" l="1"/>
  <c r="K468" i="3" s="1"/>
  <c r="L468" i="3" s="1"/>
  <c r="M468" i="3" s="1"/>
  <c r="I473" i="3"/>
  <c r="K473" i="3" s="1"/>
  <c r="I478" i="3"/>
  <c r="K478" i="3" s="1"/>
  <c r="L478" i="3" s="1"/>
  <c r="M478" i="3" s="1"/>
  <c r="I495" i="3"/>
  <c r="K495" i="3" s="1"/>
  <c r="I509" i="3"/>
  <c r="K509" i="3" s="1"/>
  <c r="L509" i="3" s="1"/>
  <c r="M509" i="3" s="1"/>
  <c r="I515" i="3"/>
  <c r="K515" i="3" s="1"/>
  <c r="L515" i="3" s="1"/>
  <c r="M515" i="3" s="1"/>
  <c r="I519" i="3"/>
  <c r="K519" i="3" s="1"/>
  <c r="I528" i="3"/>
  <c r="K528" i="3" s="1"/>
  <c r="I556" i="3"/>
  <c r="K556" i="3" s="1"/>
  <c r="L556" i="3" s="1"/>
  <c r="M556" i="3" s="1"/>
  <c r="I558" i="3"/>
  <c r="K558" i="3" s="1"/>
  <c r="L558" i="3" s="1"/>
  <c r="M558" i="3" s="1"/>
  <c r="I564" i="3"/>
  <c r="K564" i="3" s="1"/>
  <c r="L564" i="3" s="1"/>
  <c r="M564" i="3" s="1"/>
  <c r="I572" i="3"/>
  <c r="K572" i="3" s="1"/>
  <c r="L572" i="3" s="1"/>
  <c r="M572" i="3" s="1"/>
  <c r="I579" i="3"/>
  <c r="K579" i="3" s="1"/>
  <c r="L579" i="3" s="1"/>
  <c r="M579" i="3" s="1"/>
  <c r="I590" i="3"/>
  <c r="K590" i="3" s="1"/>
  <c r="I603" i="3"/>
  <c r="K603" i="3" s="1"/>
  <c r="I615" i="3"/>
  <c r="K615" i="3" s="1"/>
  <c r="I624" i="3"/>
  <c r="K624" i="3" s="1"/>
  <c r="I632" i="3"/>
  <c r="K632" i="3" s="1"/>
  <c r="I645" i="3"/>
  <c r="K645" i="3" s="1"/>
  <c r="I646" i="3"/>
  <c r="K646" i="3" s="1"/>
  <c r="L646" i="3" s="1"/>
  <c r="M646" i="3" s="1"/>
  <c r="I647" i="3"/>
  <c r="K647" i="3" s="1"/>
  <c r="I650" i="3"/>
  <c r="K650" i="3" s="1"/>
  <c r="L650" i="3" s="1"/>
  <c r="M650" i="3" s="1"/>
  <c r="I651" i="3"/>
  <c r="K651" i="3" s="1"/>
  <c r="I652" i="3"/>
  <c r="K652" i="3" s="1"/>
  <c r="L652" i="3" s="1"/>
  <c r="M652" i="3" s="1"/>
  <c r="I653" i="3"/>
  <c r="K653" i="3" s="1"/>
  <c r="I654" i="3"/>
  <c r="K654" i="3" s="1"/>
  <c r="L654" i="3" s="1"/>
  <c r="M654" i="3" s="1"/>
  <c r="I657" i="3"/>
  <c r="K657" i="3" s="1"/>
  <c r="I675" i="3"/>
  <c r="K675" i="3" s="1"/>
  <c r="L675" i="3" s="1"/>
  <c r="M675" i="3" s="1"/>
  <c r="I681" i="3"/>
  <c r="K681" i="3" s="1"/>
  <c r="I702" i="3"/>
  <c r="K702" i="3" s="1"/>
  <c r="L702" i="3" s="1"/>
  <c r="M702" i="3" s="1"/>
  <c r="I708" i="3"/>
  <c r="K708" i="3" s="1"/>
  <c r="I724" i="3"/>
  <c r="K724" i="3" s="1"/>
  <c r="L724" i="3" s="1"/>
  <c r="M724" i="3" s="1"/>
  <c r="I728" i="3"/>
  <c r="K728" i="3" s="1"/>
  <c r="I733" i="3"/>
  <c r="K733" i="3" s="1"/>
  <c r="I745" i="3"/>
  <c r="K745" i="3" s="1"/>
  <c r="I755" i="3"/>
  <c r="K755" i="3" s="1"/>
  <c r="I788" i="3"/>
  <c r="K788" i="3" s="1"/>
  <c r="I791" i="3"/>
  <c r="K791" i="3" s="1"/>
  <c r="I807" i="3"/>
  <c r="K807" i="3" s="1"/>
  <c r="I822" i="3"/>
  <c r="K822" i="3" s="1"/>
  <c r="L822" i="3" s="1"/>
  <c r="M822" i="3" s="1"/>
  <c r="I838" i="3"/>
  <c r="K838" i="3" s="1"/>
  <c r="I865" i="3"/>
  <c r="K865" i="3" s="1"/>
  <c r="I868" i="3"/>
  <c r="K868" i="3" s="1"/>
  <c r="I871" i="3"/>
  <c r="K871" i="3" s="1"/>
  <c r="L871" i="3" s="1"/>
  <c r="M871" i="3" s="1"/>
  <c r="I874" i="3"/>
  <c r="K874" i="3" s="1"/>
  <c r="I877" i="3"/>
  <c r="K877" i="3" s="1"/>
  <c r="L877" i="3" s="1"/>
  <c r="M877" i="3" s="1"/>
  <c r="L467" i="3"/>
  <c r="M467" i="3" s="1"/>
  <c r="L471" i="3"/>
  <c r="M471" i="3" s="1"/>
  <c r="L472" i="3"/>
  <c r="M472" i="3" s="1"/>
  <c r="L473" i="3"/>
  <c r="M473" i="3" s="1"/>
  <c r="L476" i="3"/>
  <c r="M476" i="3" s="1"/>
  <c r="L477" i="3"/>
  <c r="M477" i="3" s="1"/>
  <c r="L484" i="3"/>
  <c r="M484" i="3" s="1"/>
  <c r="L485" i="3"/>
  <c r="M485" i="3" s="1"/>
  <c r="L486" i="3"/>
  <c r="M486" i="3" s="1"/>
  <c r="L487" i="3"/>
  <c r="M487" i="3" s="1"/>
  <c r="L488" i="3"/>
  <c r="M488" i="3" s="1"/>
  <c r="L489" i="3"/>
  <c r="M489" i="3" s="1"/>
  <c r="L490" i="3"/>
  <c r="M490" i="3" s="1"/>
  <c r="L491" i="3"/>
  <c r="M491" i="3" s="1"/>
  <c r="L492" i="3"/>
  <c r="M492" i="3" s="1"/>
  <c r="L493" i="3"/>
  <c r="M493" i="3" s="1"/>
  <c r="L494" i="3"/>
  <c r="M494" i="3" s="1"/>
  <c r="L495" i="3"/>
  <c r="M495" i="3" s="1"/>
  <c r="J496" i="3"/>
  <c r="K496" i="3" s="1"/>
  <c r="L497" i="3"/>
  <c r="M497" i="3" s="1"/>
  <c r="L498" i="3"/>
  <c r="M498" i="3" s="1"/>
  <c r="L499" i="3"/>
  <c r="M499" i="3" s="1"/>
  <c r="L500" i="3"/>
  <c r="M500" i="3" s="1"/>
  <c r="L501" i="3"/>
  <c r="M501" i="3" s="1"/>
  <c r="L502" i="3"/>
  <c r="M502" i="3" s="1"/>
  <c r="L503" i="3"/>
  <c r="M503" i="3" s="1"/>
  <c r="L504" i="3"/>
  <c r="M504" i="3" s="1"/>
  <c r="L505" i="3"/>
  <c r="M505" i="3" s="1"/>
  <c r="L506" i="3"/>
  <c r="M506" i="3" s="1"/>
  <c r="L507" i="3"/>
  <c r="M507" i="3" s="1"/>
  <c r="L508" i="3"/>
  <c r="M508" i="3" s="1"/>
  <c r="L512" i="3"/>
  <c r="M512" i="3" s="1"/>
  <c r="L513" i="3"/>
  <c r="M513" i="3" s="1"/>
  <c r="L514" i="3"/>
  <c r="M514" i="3" s="1"/>
  <c r="L519" i="3"/>
  <c r="M519" i="3" s="1"/>
  <c r="L525" i="3"/>
  <c r="M525" i="3" s="1"/>
  <c r="L526" i="3"/>
  <c r="M526" i="3" s="1"/>
  <c r="L527" i="3"/>
  <c r="M527" i="3" s="1"/>
  <c r="L528" i="3"/>
  <c r="M528" i="3" s="1"/>
  <c r="L530" i="3"/>
  <c r="M530" i="3" s="1"/>
  <c r="L531" i="3"/>
  <c r="M531" i="3" s="1"/>
  <c r="L532" i="3"/>
  <c r="M532" i="3" s="1"/>
  <c r="L533" i="3"/>
  <c r="M533" i="3" s="1"/>
  <c r="L534" i="3"/>
  <c r="M534" i="3" s="1"/>
  <c r="L535" i="3"/>
  <c r="M535" i="3" s="1"/>
  <c r="L536" i="3"/>
  <c r="M536" i="3" s="1"/>
  <c r="L537" i="3"/>
  <c r="M537" i="3" s="1"/>
  <c r="L538" i="3"/>
  <c r="M538" i="3" s="1"/>
  <c r="L539" i="3"/>
  <c r="M539" i="3" s="1"/>
  <c r="L540" i="3"/>
  <c r="M540" i="3" s="1"/>
  <c r="L541" i="3"/>
  <c r="M541" i="3" s="1"/>
  <c r="L542" i="3"/>
  <c r="M542" i="3" s="1"/>
  <c r="L543" i="3"/>
  <c r="M543" i="3" s="1"/>
  <c r="L544" i="3"/>
  <c r="M544" i="3" s="1"/>
  <c r="L545" i="3"/>
  <c r="M545" i="3" s="1"/>
  <c r="L546" i="3"/>
  <c r="M546" i="3" s="1"/>
  <c r="L547" i="3"/>
  <c r="M547" i="3" s="1"/>
  <c r="L548" i="3"/>
  <c r="M548" i="3" s="1"/>
  <c r="L549" i="3"/>
  <c r="M549" i="3" s="1"/>
  <c r="L550" i="3"/>
  <c r="M550" i="3" s="1"/>
  <c r="L551" i="3"/>
  <c r="M551" i="3" s="1"/>
  <c r="L552" i="3"/>
  <c r="M552" i="3" s="1"/>
  <c r="L553" i="3"/>
  <c r="M553" i="3" s="1"/>
  <c r="L554" i="3"/>
  <c r="M554" i="3" s="1"/>
  <c r="L555" i="3"/>
  <c r="M555" i="3" s="1"/>
  <c r="L560" i="3"/>
  <c r="M560" i="3" s="1"/>
  <c r="L561" i="3"/>
  <c r="M561" i="3" s="1"/>
  <c r="L562" i="3"/>
  <c r="M562" i="3" s="1"/>
  <c r="L563" i="3"/>
  <c r="M563" i="3" s="1"/>
  <c r="L569" i="3"/>
  <c r="M569" i="3" s="1"/>
  <c r="L570" i="3"/>
  <c r="M570" i="3" s="1"/>
  <c r="L571" i="3"/>
  <c r="M571" i="3" s="1"/>
  <c r="L578" i="3"/>
  <c r="M578" i="3" s="1"/>
  <c r="L581" i="3"/>
  <c r="M581" i="3" s="1"/>
  <c r="L582" i="3"/>
  <c r="M582" i="3" s="1"/>
  <c r="L583" i="3"/>
  <c r="M583" i="3" s="1"/>
  <c r="L584" i="3"/>
  <c r="M584" i="3" s="1"/>
  <c r="L585" i="3"/>
  <c r="M585" i="3" s="1"/>
  <c r="L586" i="3"/>
  <c r="M586" i="3" s="1"/>
  <c r="L587" i="3"/>
  <c r="M587" i="3" s="1"/>
  <c r="L588" i="3"/>
  <c r="M588" i="3" s="1"/>
  <c r="L589" i="3"/>
  <c r="M589" i="3" s="1"/>
  <c r="L590" i="3"/>
  <c r="M590" i="3" s="1"/>
  <c r="L593" i="3"/>
  <c r="M593" i="3" s="1"/>
  <c r="L594" i="3"/>
  <c r="M594" i="3" s="1"/>
  <c r="L595" i="3"/>
  <c r="M595" i="3" s="1"/>
  <c r="L596" i="3"/>
  <c r="M596" i="3" s="1"/>
  <c r="L597" i="3"/>
  <c r="M597" i="3" s="1"/>
  <c r="L598" i="3"/>
  <c r="M598" i="3" s="1"/>
  <c r="L599" i="3"/>
  <c r="M599" i="3" s="1"/>
  <c r="L600" i="3"/>
  <c r="M600" i="3" s="1"/>
  <c r="L601" i="3"/>
  <c r="M601" i="3" s="1"/>
  <c r="L602" i="3"/>
  <c r="M602" i="3" s="1"/>
  <c r="L603" i="3"/>
  <c r="M603" i="3" s="1"/>
  <c r="L605" i="3"/>
  <c r="M605" i="3" s="1"/>
  <c r="L606" i="3"/>
  <c r="M606" i="3" s="1"/>
  <c r="L607" i="3"/>
  <c r="M607" i="3" s="1"/>
  <c r="L608" i="3"/>
  <c r="M608" i="3" s="1"/>
  <c r="L609" i="3"/>
  <c r="M609" i="3" s="1"/>
  <c r="L610" i="3"/>
  <c r="M610" i="3" s="1"/>
  <c r="L611" i="3"/>
  <c r="M611" i="3" s="1"/>
  <c r="L612" i="3"/>
  <c r="M612" i="3" s="1"/>
  <c r="L613" i="3"/>
  <c r="M613" i="3" s="1"/>
  <c r="L614" i="3"/>
  <c r="M614" i="3" s="1"/>
  <c r="L615" i="3"/>
  <c r="M615" i="3" s="1"/>
  <c r="L616" i="3"/>
  <c r="M616" i="3" s="1"/>
  <c r="L617" i="3"/>
  <c r="M617" i="3" s="1"/>
  <c r="L618" i="3"/>
  <c r="M618" i="3" s="1"/>
  <c r="L619" i="3"/>
  <c r="M619" i="3" s="1"/>
  <c r="L620" i="3"/>
  <c r="M620" i="3" s="1"/>
  <c r="L621" i="3"/>
  <c r="M621" i="3" s="1"/>
  <c r="L622" i="3"/>
  <c r="M622" i="3" s="1"/>
  <c r="L623" i="3"/>
  <c r="M623" i="3" s="1"/>
  <c r="L624" i="3"/>
  <c r="M624" i="3" s="1"/>
  <c r="L626" i="3"/>
  <c r="M626" i="3" s="1"/>
  <c r="L627" i="3"/>
  <c r="M627" i="3" s="1"/>
  <c r="L628" i="3"/>
  <c r="M628" i="3" s="1"/>
  <c r="L629" i="3"/>
  <c r="M629" i="3" s="1"/>
  <c r="L630" i="3"/>
  <c r="M630" i="3" s="1"/>
  <c r="L631" i="3"/>
  <c r="M631" i="3" s="1"/>
  <c r="L632" i="3"/>
  <c r="M632" i="3" s="1"/>
  <c r="L636" i="3"/>
  <c r="M636" i="3" s="1"/>
  <c r="L637" i="3"/>
  <c r="M637" i="3" s="1"/>
  <c r="L638" i="3"/>
  <c r="M638" i="3" s="1"/>
  <c r="L639" i="3"/>
  <c r="M639" i="3" s="1"/>
  <c r="L640" i="3"/>
  <c r="M640" i="3" s="1"/>
  <c r="L641" i="3"/>
  <c r="M641" i="3" s="1"/>
  <c r="L642" i="3"/>
  <c r="M642" i="3" s="1"/>
  <c r="L643" i="3"/>
  <c r="M643" i="3" s="1"/>
  <c r="L644" i="3"/>
  <c r="M644" i="3" s="1"/>
  <c r="L645" i="3"/>
  <c r="M645" i="3" s="1"/>
  <c r="L647" i="3"/>
  <c r="M647" i="3" s="1"/>
  <c r="L648" i="3"/>
  <c r="M648" i="3" s="1"/>
  <c r="L649" i="3"/>
  <c r="M649" i="3" s="1"/>
  <c r="L651" i="3"/>
  <c r="M651" i="3" s="1"/>
  <c r="L653" i="3"/>
  <c r="M653" i="3" s="1"/>
  <c r="L655" i="3"/>
  <c r="M655" i="3" s="1"/>
  <c r="L656" i="3"/>
  <c r="M656" i="3" s="1"/>
  <c r="L657" i="3"/>
  <c r="M657" i="3" s="1"/>
  <c r="L659" i="3"/>
  <c r="M659" i="3" s="1"/>
  <c r="L660" i="3"/>
  <c r="M660" i="3" s="1"/>
  <c r="L661" i="3"/>
  <c r="M661" i="3" s="1"/>
  <c r="L662" i="3"/>
  <c r="M662" i="3" s="1"/>
  <c r="L663" i="3"/>
  <c r="M663" i="3" s="1"/>
  <c r="L664" i="3"/>
  <c r="M664" i="3" s="1"/>
  <c r="L665" i="3"/>
  <c r="M665" i="3" s="1"/>
  <c r="L666" i="3"/>
  <c r="M666" i="3" s="1"/>
  <c r="L667" i="3"/>
  <c r="M667" i="3" s="1"/>
  <c r="L668" i="3"/>
  <c r="M668" i="3" s="1"/>
  <c r="L669" i="3"/>
  <c r="M669" i="3" s="1"/>
  <c r="L670" i="3"/>
  <c r="M670" i="3" s="1"/>
  <c r="L671" i="3"/>
  <c r="M671" i="3" s="1"/>
  <c r="L672" i="3"/>
  <c r="M672" i="3" s="1"/>
  <c r="L673" i="3"/>
  <c r="M673" i="3" s="1"/>
  <c r="L674" i="3"/>
  <c r="M674" i="3" s="1"/>
  <c r="L676" i="3"/>
  <c r="M676" i="3" s="1"/>
  <c r="L677" i="3"/>
  <c r="M677" i="3" s="1"/>
  <c r="L678" i="3"/>
  <c r="M678" i="3" s="1"/>
  <c r="L679" i="3"/>
  <c r="M679" i="3" s="1"/>
  <c r="L680" i="3"/>
  <c r="M680" i="3" s="1"/>
  <c r="L681" i="3"/>
  <c r="M681" i="3" s="1"/>
  <c r="L683" i="3"/>
  <c r="M683" i="3" s="1"/>
  <c r="L684" i="3"/>
  <c r="M684" i="3" s="1"/>
  <c r="L685" i="3"/>
  <c r="M685" i="3" s="1"/>
  <c r="L686" i="3"/>
  <c r="M686" i="3" s="1"/>
  <c r="L687" i="3"/>
  <c r="M687" i="3" s="1"/>
  <c r="L688" i="3"/>
  <c r="M688" i="3" s="1"/>
  <c r="L689" i="3"/>
  <c r="M689" i="3" s="1"/>
  <c r="L690" i="3"/>
  <c r="M690" i="3" s="1"/>
  <c r="L691" i="3"/>
  <c r="M691" i="3" s="1"/>
  <c r="L692" i="3"/>
  <c r="M692" i="3" s="1"/>
  <c r="L693" i="3"/>
  <c r="M693" i="3" s="1"/>
  <c r="L694" i="3"/>
  <c r="M694" i="3" s="1"/>
  <c r="L695" i="3"/>
  <c r="M695" i="3" s="1"/>
  <c r="L696" i="3"/>
  <c r="M696" i="3" s="1"/>
  <c r="L697" i="3"/>
  <c r="M697" i="3" s="1"/>
  <c r="L698" i="3"/>
  <c r="M698" i="3" s="1"/>
  <c r="L699" i="3"/>
  <c r="M699" i="3" s="1"/>
  <c r="L700" i="3"/>
  <c r="M700" i="3" s="1"/>
  <c r="L701" i="3"/>
  <c r="M701" i="3" s="1"/>
  <c r="L704" i="3"/>
  <c r="M704" i="3" s="1"/>
  <c r="L705" i="3"/>
  <c r="M705" i="3" s="1"/>
  <c r="L706" i="3"/>
  <c r="M706" i="3" s="1"/>
  <c r="L707" i="3"/>
  <c r="M707" i="3" s="1"/>
  <c r="L708" i="3"/>
  <c r="M708" i="3" s="1"/>
  <c r="L710" i="3"/>
  <c r="M710" i="3" s="1"/>
  <c r="L711" i="3"/>
  <c r="M711" i="3" s="1"/>
  <c r="L712" i="3"/>
  <c r="M712" i="3" s="1"/>
  <c r="L713" i="3"/>
  <c r="M713" i="3" s="1"/>
  <c r="L714" i="3"/>
  <c r="M714" i="3" s="1"/>
  <c r="L715" i="3"/>
  <c r="M715" i="3" s="1"/>
  <c r="L716" i="3"/>
  <c r="M716" i="3" s="1"/>
  <c r="L717" i="3"/>
  <c r="M717" i="3" s="1"/>
  <c r="L718" i="3"/>
  <c r="M718" i="3" s="1"/>
  <c r="L719" i="3"/>
  <c r="M719" i="3" s="1"/>
  <c r="L720" i="3"/>
  <c r="M720" i="3" s="1"/>
  <c r="L721" i="3"/>
  <c r="M721" i="3" s="1"/>
  <c r="L722" i="3"/>
  <c r="M722" i="3" s="1"/>
  <c r="L723" i="3"/>
  <c r="M723" i="3" s="1"/>
  <c r="L726" i="3"/>
  <c r="M726" i="3" s="1"/>
  <c r="L727" i="3"/>
  <c r="M727" i="3" s="1"/>
  <c r="L728" i="3"/>
  <c r="M728" i="3" s="1"/>
  <c r="L730" i="3"/>
  <c r="M730" i="3" s="1"/>
  <c r="L731" i="3"/>
  <c r="M731" i="3" s="1"/>
  <c r="L732" i="3"/>
  <c r="M732" i="3" s="1"/>
  <c r="L733" i="3"/>
  <c r="M733" i="3" s="1"/>
  <c r="L735" i="3"/>
  <c r="M735" i="3" s="1"/>
  <c r="L736" i="3"/>
  <c r="M736" i="3" s="1"/>
  <c r="L737" i="3"/>
  <c r="M737" i="3" s="1"/>
  <c r="L738" i="3"/>
  <c r="M738" i="3" s="1"/>
  <c r="L739" i="3"/>
  <c r="M739" i="3" s="1"/>
  <c r="L740" i="3"/>
  <c r="M740" i="3" s="1"/>
  <c r="L741" i="3"/>
  <c r="M741" i="3" s="1"/>
  <c r="L742" i="3"/>
  <c r="M742" i="3" s="1"/>
  <c r="L743" i="3"/>
  <c r="M743" i="3" s="1"/>
  <c r="L744" i="3"/>
  <c r="M744" i="3" s="1"/>
  <c r="L745" i="3"/>
  <c r="M745" i="3" s="1"/>
  <c r="L749" i="3"/>
  <c r="M749" i="3" s="1"/>
  <c r="L750" i="3"/>
  <c r="M750" i="3" s="1"/>
  <c r="L751" i="3"/>
  <c r="M751" i="3" s="1"/>
  <c r="L752" i="3"/>
  <c r="M752" i="3" s="1"/>
  <c r="L753" i="3"/>
  <c r="M753" i="3" s="1"/>
  <c r="L754" i="3"/>
  <c r="M754" i="3" s="1"/>
  <c r="L755" i="3"/>
  <c r="M755" i="3" s="1"/>
  <c r="L756" i="3"/>
  <c r="M756" i="3" s="1"/>
  <c r="S468" i="3"/>
  <c r="S472" i="3"/>
  <c r="S473" i="3"/>
  <c r="S476" i="3"/>
  <c r="S477" i="3"/>
  <c r="S478" i="3"/>
  <c r="S484" i="3"/>
  <c r="S486" i="3"/>
  <c r="S487" i="3"/>
  <c r="S488" i="3"/>
  <c r="S489" i="3"/>
  <c r="S491" i="3"/>
  <c r="S492" i="3"/>
  <c r="S493" i="3"/>
  <c r="S494" i="3"/>
  <c r="S495" i="3"/>
  <c r="S497" i="3"/>
  <c r="S499" i="3"/>
  <c r="S500" i="3"/>
  <c r="S501" i="3"/>
  <c r="S502" i="3"/>
  <c r="S505" i="3"/>
  <c r="S508" i="3"/>
  <c r="S509" i="3"/>
  <c r="S512" i="3"/>
  <c r="S513" i="3"/>
  <c r="S514" i="3"/>
  <c r="S515" i="3"/>
  <c r="S519" i="3"/>
  <c r="S525" i="3"/>
  <c r="S527" i="3"/>
  <c r="S528" i="3"/>
  <c r="S530" i="3"/>
  <c r="S531" i="3"/>
  <c r="S532" i="3"/>
  <c r="S534" i="3"/>
  <c r="S536" i="3"/>
  <c r="S539" i="3"/>
  <c r="S540" i="3"/>
  <c r="S541" i="3"/>
  <c r="S542" i="3"/>
  <c r="S543" i="3"/>
  <c r="S546" i="3"/>
  <c r="S548" i="3"/>
  <c r="S550" i="3"/>
  <c r="S552" i="3"/>
  <c r="S553" i="3"/>
  <c r="S555" i="3"/>
  <c r="S556" i="3"/>
  <c r="S558" i="3"/>
  <c r="S561" i="3"/>
  <c r="S562" i="3"/>
  <c r="S563" i="3"/>
  <c r="S564" i="3"/>
  <c r="S569" i="3"/>
  <c r="S570" i="3"/>
  <c r="S572" i="3"/>
  <c r="S578" i="3"/>
  <c r="S579" i="3"/>
  <c r="S582" i="3"/>
  <c r="S585" i="3"/>
  <c r="S589" i="3"/>
  <c r="S590" i="3"/>
  <c r="L757" i="3"/>
  <c r="M757" i="3" s="1"/>
  <c r="L758" i="3"/>
  <c r="M758" i="3" s="1"/>
  <c r="L759" i="3"/>
  <c r="M759" i="3" s="1"/>
  <c r="L760" i="3"/>
  <c r="M760" i="3" s="1"/>
  <c r="L761" i="3"/>
  <c r="M761" i="3" s="1"/>
  <c r="L762" i="3"/>
  <c r="M762" i="3" s="1"/>
  <c r="L763" i="3"/>
  <c r="M763" i="3" s="1"/>
  <c r="L764" i="3"/>
  <c r="M764" i="3" s="1"/>
  <c r="L765" i="3"/>
  <c r="M765" i="3" s="1"/>
  <c r="L766" i="3"/>
  <c r="M766" i="3" s="1"/>
  <c r="L767" i="3"/>
  <c r="M767" i="3" s="1"/>
  <c r="L768" i="3"/>
  <c r="M768" i="3" s="1"/>
  <c r="L769" i="3"/>
  <c r="M769" i="3" s="1"/>
  <c r="L770" i="3"/>
  <c r="M770" i="3" s="1"/>
  <c r="L771" i="3"/>
  <c r="M771" i="3" s="1"/>
  <c r="L772" i="3"/>
  <c r="M772" i="3" s="1"/>
  <c r="L773" i="3"/>
  <c r="M773" i="3" s="1"/>
  <c r="L774" i="3"/>
  <c r="M774" i="3" s="1"/>
  <c r="L775" i="3"/>
  <c r="M775" i="3" s="1"/>
  <c r="L776" i="3"/>
  <c r="M776" i="3" s="1"/>
  <c r="L777" i="3"/>
  <c r="M777" i="3" s="1"/>
  <c r="L778" i="3"/>
  <c r="M778" i="3" s="1"/>
  <c r="L779" i="3"/>
  <c r="M779" i="3" s="1"/>
  <c r="L780" i="3"/>
  <c r="M780" i="3" s="1"/>
  <c r="L781" i="3"/>
  <c r="M781" i="3" s="1"/>
  <c r="L782" i="3"/>
  <c r="M782" i="3" s="1"/>
  <c r="L783" i="3"/>
  <c r="M783" i="3" s="1"/>
  <c r="L784" i="3"/>
  <c r="M784" i="3" s="1"/>
  <c r="L785" i="3"/>
  <c r="M785" i="3" s="1"/>
  <c r="L786" i="3"/>
  <c r="M786" i="3" s="1"/>
  <c r="L787" i="3"/>
  <c r="M787" i="3" s="1"/>
  <c r="L788" i="3"/>
  <c r="M788" i="3" s="1"/>
  <c r="L790" i="3"/>
  <c r="M790" i="3" s="1"/>
  <c r="L791" i="3"/>
  <c r="M791" i="3" s="1"/>
  <c r="L796" i="3"/>
  <c r="M796" i="3" s="1"/>
  <c r="L797" i="3"/>
  <c r="M797" i="3" s="1"/>
  <c r="L798" i="3"/>
  <c r="M798" i="3" s="1"/>
  <c r="L799" i="3"/>
  <c r="M799" i="3" s="1"/>
  <c r="L800" i="3"/>
  <c r="M800" i="3" s="1"/>
  <c r="L801" i="3"/>
  <c r="M801" i="3" s="1"/>
  <c r="L802" i="3"/>
  <c r="M802" i="3" s="1"/>
  <c r="L803" i="3"/>
  <c r="M803" i="3" s="1"/>
  <c r="L804" i="3"/>
  <c r="M804" i="3" s="1"/>
  <c r="L805" i="3"/>
  <c r="M805" i="3" s="1"/>
  <c r="L806" i="3"/>
  <c r="M806" i="3" s="1"/>
  <c r="L807" i="3"/>
  <c r="M807" i="3" s="1"/>
  <c r="L808" i="3"/>
  <c r="M808" i="3" s="1"/>
  <c r="L809" i="3"/>
  <c r="M809" i="3" s="1"/>
  <c r="L810" i="3"/>
  <c r="M810" i="3" s="1"/>
  <c r="L811" i="3"/>
  <c r="M811" i="3" s="1"/>
  <c r="L812" i="3"/>
  <c r="M812" i="3" s="1"/>
  <c r="L813" i="3"/>
  <c r="M813" i="3" s="1"/>
  <c r="L814" i="3"/>
  <c r="M814" i="3" s="1"/>
  <c r="L815" i="3"/>
  <c r="M815" i="3" s="1"/>
  <c r="L816" i="3"/>
  <c r="M816" i="3" s="1"/>
  <c r="L817" i="3"/>
  <c r="M817" i="3" s="1"/>
  <c r="L818" i="3"/>
  <c r="M818" i="3" s="1"/>
  <c r="L819" i="3"/>
  <c r="M819" i="3" s="1"/>
  <c r="L820" i="3"/>
  <c r="M820" i="3" s="1"/>
  <c r="L821" i="3"/>
  <c r="M821" i="3" s="1"/>
  <c r="L825" i="3"/>
  <c r="M825" i="3" s="1"/>
  <c r="L826" i="3"/>
  <c r="M826" i="3" s="1"/>
  <c r="L827" i="3"/>
  <c r="M827" i="3" s="1"/>
  <c r="L828" i="3"/>
  <c r="M828" i="3" s="1"/>
  <c r="L829" i="3"/>
  <c r="M829" i="3" s="1"/>
  <c r="L830" i="3"/>
  <c r="M830" i="3" s="1"/>
  <c r="L831" i="3"/>
  <c r="M831" i="3" s="1"/>
  <c r="L832" i="3"/>
  <c r="M832" i="3" s="1"/>
  <c r="L833" i="3"/>
  <c r="M833" i="3" s="1"/>
  <c r="L834" i="3"/>
  <c r="M834" i="3" s="1"/>
  <c r="L835" i="3"/>
  <c r="M835" i="3" s="1"/>
  <c r="L836" i="3"/>
  <c r="M836" i="3" s="1"/>
  <c r="S650" i="3"/>
  <c r="S653" i="3"/>
  <c r="S654" i="3"/>
  <c r="S657" i="3"/>
  <c r="S728" i="3"/>
  <c r="L837" i="3"/>
  <c r="M837" i="3" s="1"/>
  <c r="L838" i="3"/>
  <c r="M838" i="3" s="1"/>
  <c r="L842" i="3"/>
  <c r="M842" i="3" s="1"/>
  <c r="L843" i="3"/>
  <c r="M843" i="3" s="1"/>
  <c r="L844" i="3"/>
  <c r="M844" i="3" s="1"/>
  <c r="L845" i="3"/>
  <c r="M845" i="3" s="1"/>
  <c r="L846" i="3"/>
  <c r="M846" i="3" s="1"/>
  <c r="L847" i="3"/>
  <c r="M847" i="3" s="1"/>
  <c r="L848" i="3"/>
  <c r="M848" i="3" s="1"/>
  <c r="L849" i="3"/>
  <c r="M849" i="3" s="1"/>
  <c r="L850" i="3"/>
  <c r="M850" i="3" s="1"/>
  <c r="L851" i="3"/>
  <c r="M851" i="3" s="1"/>
  <c r="L852" i="3"/>
  <c r="M852" i="3" s="1"/>
  <c r="L853" i="3"/>
  <c r="M853" i="3" s="1"/>
  <c r="L854" i="3"/>
  <c r="M854" i="3" s="1"/>
  <c r="L855" i="3"/>
  <c r="M855" i="3" s="1"/>
  <c r="L856" i="3"/>
  <c r="M856" i="3" s="1"/>
  <c r="L857" i="3"/>
  <c r="M857" i="3" s="1"/>
  <c r="L858" i="3"/>
  <c r="M858" i="3" s="1"/>
  <c r="L859" i="3"/>
  <c r="M859" i="3" s="1"/>
  <c r="L860" i="3"/>
  <c r="M860" i="3" s="1"/>
  <c r="L861" i="3"/>
  <c r="M861" i="3" s="1"/>
  <c r="L862" i="3"/>
  <c r="M862" i="3" s="1"/>
  <c r="L863" i="3"/>
  <c r="M863" i="3" s="1"/>
  <c r="L864" i="3"/>
  <c r="M864" i="3" s="1"/>
  <c r="L865" i="3"/>
  <c r="M865" i="3" s="1"/>
  <c r="L867" i="3"/>
  <c r="M867" i="3" s="1"/>
  <c r="L868" i="3"/>
  <c r="M868" i="3" s="1"/>
  <c r="L874" i="3"/>
  <c r="M874" i="3" s="1"/>
  <c r="L879" i="3"/>
  <c r="M879" i="3" s="1"/>
  <c r="S788" i="3"/>
  <c r="S838" i="3"/>
  <c r="S871" i="3"/>
  <c r="S877" i="3"/>
  <c r="J465" i="3"/>
  <c r="H465" i="3"/>
  <c r="G465" i="3"/>
  <c r="F465" i="3"/>
  <c r="E465" i="3"/>
  <c r="D465" i="3"/>
  <c r="J456" i="3"/>
  <c r="H456" i="3"/>
  <c r="G456" i="3"/>
  <c r="F456" i="3"/>
  <c r="E456" i="3"/>
  <c r="D456" i="3"/>
  <c r="J443" i="3"/>
  <c r="H443" i="3"/>
  <c r="G443" i="3"/>
  <c r="F443" i="3"/>
  <c r="E443" i="3"/>
  <c r="D443" i="3"/>
  <c r="J438" i="3"/>
  <c r="H438" i="3"/>
  <c r="G438" i="3"/>
  <c r="F438" i="3"/>
  <c r="E438" i="3"/>
  <c r="D438" i="3"/>
  <c r="J418" i="3"/>
  <c r="H418" i="3"/>
  <c r="G418" i="3"/>
  <c r="F418" i="3"/>
  <c r="E418" i="3"/>
  <c r="D418" i="3"/>
  <c r="J414" i="3"/>
  <c r="H414" i="3"/>
  <c r="G414" i="3"/>
  <c r="F414" i="3"/>
  <c r="E414" i="3"/>
  <c r="D414" i="3"/>
  <c r="J396" i="3"/>
  <c r="H396" i="3"/>
  <c r="G396" i="3"/>
  <c r="F396" i="3"/>
  <c r="E396" i="3"/>
  <c r="D396" i="3"/>
  <c r="J389" i="3"/>
  <c r="H389" i="3"/>
  <c r="G389" i="3"/>
  <c r="F389" i="3"/>
  <c r="E389" i="3"/>
  <c r="D389" i="3"/>
  <c r="J373" i="3"/>
  <c r="H373" i="3"/>
  <c r="G373" i="3"/>
  <c r="F373" i="3"/>
  <c r="E373" i="3"/>
  <c r="D373" i="3"/>
  <c r="H365" i="3"/>
  <c r="I365" i="3" s="1"/>
  <c r="J365" i="3" s="1"/>
  <c r="J364" i="3"/>
  <c r="H364" i="3"/>
  <c r="G364" i="3"/>
  <c r="F364" i="3"/>
  <c r="E364" i="3"/>
  <c r="D364" i="3"/>
  <c r="J362" i="3"/>
  <c r="H362" i="3"/>
  <c r="G362" i="3"/>
  <c r="F362" i="3"/>
  <c r="E362" i="3"/>
  <c r="D362" i="3"/>
  <c r="J359" i="3"/>
  <c r="H359" i="3"/>
  <c r="G359" i="3"/>
  <c r="F359" i="3"/>
  <c r="E359" i="3"/>
  <c r="D359" i="3"/>
  <c r="H358" i="3"/>
  <c r="I358" i="3" s="1"/>
  <c r="J358" i="3" s="1"/>
  <c r="J357" i="3"/>
  <c r="H357" i="3"/>
  <c r="G357" i="3"/>
  <c r="F357" i="3"/>
  <c r="E357" i="3"/>
  <c r="D357" i="3"/>
  <c r="J352" i="3"/>
  <c r="H352" i="3"/>
  <c r="G352" i="3"/>
  <c r="F352" i="3"/>
  <c r="E352" i="3"/>
  <c r="D352" i="3"/>
  <c r="J303" i="3"/>
  <c r="H303" i="3"/>
  <c r="G303" i="3"/>
  <c r="F303" i="3"/>
  <c r="E303" i="3"/>
  <c r="D303" i="3"/>
  <c r="J296" i="3"/>
  <c r="H296" i="3"/>
  <c r="G296" i="3"/>
  <c r="F296" i="3"/>
  <c r="E296" i="3"/>
  <c r="D296" i="3"/>
  <c r="J290" i="3"/>
  <c r="H290" i="3"/>
  <c r="G290" i="3"/>
  <c r="F290" i="3"/>
  <c r="E290" i="3"/>
  <c r="D290" i="3"/>
  <c r="J286" i="3"/>
  <c r="H286" i="3"/>
  <c r="G286" i="3"/>
  <c r="F286" i="3"/>
  <c r="E286" i="3"/>
  <c r="D286" i="3"/>
  <c r="J273" i="3"/>
  <c r="H273" i="3"/>
  <c r="G273" i="3"/>
  <c r="F273" i="3"/>
  <c r="E273" i="3"/>
  <c r="D273" i="3"/>
  <c r="J267" i="3"/>
  <c r="H267" i="3"/>
  <c r="G267" i="3"/>
  <c r="F267" i="3"/>
  <c r="E267" i="3"/>
  <c r="D267" i="3"/>
  <c r="H261" i="3"/>
  <c r="I261" i="3" s="1"/>
  <c r="J261" i="3" s="1"/>
  <c r="H260" i="3"/>
  <c r="I260" i="3" s="1"/>
  <c r="J260" i="3" s="1"/>
  <c r="J259" i="3"/>
  <c r="H259" i="3"/>
  <c r="G259" i="3"/>
  <c r="F259" i="3"/>
  <c r="E259" i="3"/>
  <c r="D259" i="3"/>
  <c r="J256" i="3"/>
  <c r="H256" i="3"/>
  <c r="G256" i="3"/>
  <c r="F256" i="3"/>
  <c r="E256" i="3"/>
  <c r="D256" i="3"/>
  <c r="H252" i="3"/>
  <c r="I252" i="3" s="1"/>
  <c r="J252" i="3" s="1"/>
  <c r="J251" i="3"/>
  <c r="H251" i="3"/>
  <c r="G251" i="3"/>
  <c r="F251" i="3"/>
  <c r="E251" i="3"/>
  <c r="D251" i="3"/>
  <c r="J244" i="3"/>
  <c r="H244" i="3"/>
  <c r="G244" i="3"/>
  <c r="F244" i="3"/>
  <c r="E244" i="3"/>
  <c r="D244" i="3"/>
  <c r="J239" i="3"/>
  <c r="H239" i="3"/>
  <c r="G239" i="3"/>
  <c r="F239" i="3"/>
  <c r="E239" i="3"/>
  <c r="D239" i="3"/>
  <c r="J225" i="3"/>
  <c r="H225" i="3"/>
  <c r="G225" i="3"/>
  <c r="F225" i="3"/>
  <c r="E225" i="3"/>
  <c r="D225" i="3"/>
  <c r="J217" i="3"/>
  <c r="H217" i="3"/>
  <c r="G217" i="3"/>
  <c r="F217" i="3"/>
  <c r="E217" i="3"/>
  <c r="D217" i="3"/>
  <c r="J208" i="3"/>
  <c r="H208" i="3"/>
  <c r="G208" i="3"/>
  <c r="F208" i="3"/>
  <c r="E208" i="3"/>
  <c r="D208" i="3"/>
  <c r="J192" i="3"/>
  <c r="H192" i="3"/>
  <c r="G192" i="3"/>
  <c r="F192" i="3"/>
  <c r="E192" i="3"/>
  <c r="D192" i="3"/>
  <c r="J183" i="3"/>
  <c r="H183" i="3"/>
  <c r="G183" i="3"/>
  <c r="F183" i="3"/>
  <c r="E183" i="3"/>
  <c r="D183" i="3"/>
  <c r="H186" i="3"/>
  <c r="I186" i="3" s="1"/>
  <c r="J186" i="3" s="1"/>
  <c r="J185" i="3"/>
  <c r="H185" i="3"/>
  <c r="G185" i="3"/>
  <c r="F185" i="3"/>
  <c r="E185" i="3"/>
  <c r="D185" i="3"/>
  <c r="J179" i="3"/>
  <c r="H179" i="3"/>
  <c r="G179" i="3"/>
  <c r="F179" i="3"/>
  <c r="E179" i="3"/>
  <c r="D179" i="3"/>
  <c r="J168" i="3"/>
  <c r="H168" i="3"/>
  <c r="G168" i="3"/>
  <c r="F168" i="3"/>
  <c r="E168" i="3"/>
  <c r="D168" i="3"/>
  <c r="H132" i="3"/>
  <c r="I132" i="3" s="1"/>
  <c r="J132" i="3" s="1"/>
  <c r="J131" i="3"/>
  <c r="H131" i="3"/>
  <c r="G131" i="3"/>
  <c r="F131" i="3"/>
  <c r="E131" i="3"/>
  <c r="D131" i="3"/>
  <c r="J125" i="3"/>
  <c r="H125" i="3"/>
  <c r="G125" i="3"/>
  <c r="F125" i="3"/>
  <c r="E125" i="3"/>
  <c r="D125" i="3"/>
  <c r="J108" i="3"/>
  <c r="H108" i="3"/>
  <c r="G108" i="3"/>
  <c r="F108" i="3"/>
  <c r="E108" i="3"/>
  <c r="D108" i="3"/>
  <c r="J103" i="3"/>
  <c r="H103" i="3"/>
  <c r="G103" i="3"/>
  <c r="F103" i="3"/>
  <c r="E103" i="3"/>
  <c r="D103" i="3"/>
  <c r="J87" i="3"/>
  <c r="H87" i="3"/>
  <c r="G87" i="3"/>
  <c r="F87" i="3"/>
  <c r="E87" i="3"/>
  <c r="D87" i="3"/>
  <c r="J81" i="3"/>
  <c r="H81" i="3"/>
  <c r="G81" i="3"/>
  <c r="F81" i="3"/>
  <c r="E81" i="3"/>
  <c r="D81" i="3"/>
  <c r="H80" i="3"/>
  <c r="I80" i="3" s="1"/>
  <c r="J80" i="3" s="1"/>
  <c r="J79" i="3"/>
  <c r="H79" i="3"/>
  <c r="G79" i="3"/>
  <c r="F79" i="3"/>
  <c r="E79" i="3"/>
  <c r="D79" i="3"/>
  <c r="H77" i="3"/>
  <c r="I77" i="3" s="1"/>
  <c r="J77" i="3" s="1"/>
  <c r="J76" i="3"/>
  <c r="H76" i="3"/>
  <c r="G76" i="3"/>
  <c r="F76" i="3"/>
  <c r="E76" i="3"/>
  <c r="D76" i="3"/>
  <c r="H66" i="3"/>
  <c r="I66" i="3" s="1"/>
  <c r="J66" i="3" s="1"/>
  <c r="J65" i="3"/>
  <c r="H65" i="3"/>
  <c r="G65" i="3"/>
  <c r="F65" i="3"/>
  <c r="E65" i="3"/>
  <c r="D65" i="3"/>
  <c r="J59" i="3"/>
  <c r="H59" i="3"/>
  <c r="G59" i="3"/>
  <c r="F59" i="3"/>
  <c r="E59" i="3"/>
  <c r="D59" i="3"/>
  <c r="J54" i="3"/>
  <c r="H54" i="3"/>
  <c r="G54" i="3"/>
  <c r="F54" i="3"/>
  <c r="E54" i="3"/>
  <c r="D54" i="3"/>
  <c r="J40" i="3"/>
  <c r="H40" i="3"/>
  <c r="G40" i="3"/>
  <c r="F40" i="3"/>
  <c r="E40" i="3"/>
  <c r="D40" i="3"/>
  <c r="J36" i="3"/>
  <c r="H36" i="3"/>
  <c r="G36" i="3"/>
  <c r="F36" i="3"/>
  <c r="E36" i="3"/>
  <c r="D36" i="3"/>
  <c r="J32" i="3"/>
  <c r="H32" i="3"/>
  <c r="G32" i="3"/>
  <c r="F32" i="3"/>
  <c r="E32" i="3"/>
  <c r="D32" i="3"/>
  <c r="J27" i="3"/>
  <c r="H27" i="3"/>
  <c r="G27" i="3"/>
  <c r="F27" i="3"/>
  <c r="E27" i="3"/>
  <c r="D27" i="3"/>
  <c r="J21" i="3"/>
  <c r="H21" i="3"/>
  <c r="G21" i="3"/>
  <c r="F21" i="3"/>
  <c r="E21" i="3"/>
  <c r="D21" i="3"/>
  <c r="I366" i="3"/>
  <c r="I385" i="3"/>
  <c r="I455" i="3"/>
  <c r="I454" i="3"/>
  <c r="I450" i="3"/>
  <c r="I437" i="3"/>
  <c r="I436" i="3"/>
  <c r="I435" i="3"/>
  <c r="I407" i="3"/>
  <c r="I371" i="3"/>
  <c r="I370" i="3"/>
  <c r="I369" i="3"/>
  <c r="I329" i="3"/>
  <c r="I284" i="3"/>
  <c r="I223" i="3"/>
  <c r="I196" i="3"/>
  <c r="I158" i="3"/>
  <c r="I157" i="3"/>
  <c r="K157" i="3" s="1"/>
  <c r="I65" i="3" l="1"/>
  <c r="I76" i="3"/>
  <c r="I79" i="3"/>
  <c r="I131" i="3"/>
  <c r="I185" i="3"/>
  <c r="I251" i="3"/>
  <c r="I259" i="3"/>
  <c r="I357" i="3"/>
  <c r="I364" i="3"/>
  <c r="N877" i="3"/>
  <c r="O877" i="3" s="1"/>
  <c r="P877" i="3" s="1"/>
  <c r="R877" i="3" s="1"/>
  <c r="N879" i="3"/>
  <c r="O879" i="3" s="1"/>
  <c r="P879" i="3" s="1"/>
  <c r="R879" i="3" s="1"/>
  <c r="N874" i="3"/>
  <c r="O874" i="3" s="1"/>
  <c r="P874" i="3" s="1"/>
  <c r="R874" i="3" s="1"/>
  <c r="N871" i="3"/>
  <c r="O871" i="3" s="1"/>
  <c r="P871" i="3" s="1"/>
  <c r="R871" i="3" s="1"/>
  <c r="N868" i="3"/>
  <c r="O868" i="3" s="1"/>
  <c r="P868" i="3" s="1"/>
  <c r="R868" i="3" s="1"/>
  <c r="N867" i="3"/>
  <c r="O867" i="3" s="1"/>
  <c r="P867" i="3" s="1"/>
  <c r="R867" i="3" s="1"/>
  <c r="N865" i="3"/>
  <c r="O865" i="3" s="1"/>
  <c r="P865" i="3" s="1"/>
  <c r="R865" i="3" s="1"/>
  <c r="N864" i="3"/>
  <c r="O864" i="3" s="1"/>
  <c r="P864" i="3" s="1"/>
  <c r="R864" i="3" s="1"/>
  <c r="N863" i="3"/>
  <c r="O863" i="3" s="1"/>
  <c r="P863" i="3" s="1"/>
  <c r="R863" i="3" s="1"/>
  <c r="N862" i="3"/>
  <c r="O862" i="3" s="1"/>
  <c r="P862" i="3" s="1"/>
  <c r="R862" i="3" s="1"/>
  <c r="N861" i="3"/>
  <c r="O861" i="3" s="1"/>
  <c r="P861" i="3" s="1"/>
  <c r="R861" i="3" s="1"/>
  <c r="N860" i="3"/>
  <c r="O860" i="3" s="1"/>
  <c r="P860" i="3" s="1"/>
  <c r="R860" i="3" s="1"/>
  <c r="N859" i="3"/>
  <c r="O859" i="3" s="1"/>
  <c r="P859" i="3" s="1"/>
  <c r="R859" i="3" s="1"/>
  <c r="N858" i="3"/>
  <c r="O858" i="3" s="1"/>
  <c r="P858" i="3" s="1"/>
  <c r="R858" i="3" s="1"/>
  <c r="N857" i="3"/>
  <c r="O857" i="3" s="1"/>
  <c r="P857" i="3" s="1"/>
  <c r="R857" i="3" s="1"/>
  <c r="N856" i="3"/>
  <c r="O856" i="3" s="1"/>
  <c r="P856" i="3" s="1"/>
  <c r="R856" i="3" s="1"/>
  <c r="N855" i="3"/>
  <c r="O855" i="3" s="1"/>
  <c r="P855" i="3" s="1"/>
  <c r="R855" i="3" s="1"/>
  <c r="N854" i="3"/>
  <c r="O854" i="3" s="1"/>
  <c r="P854" i="3" s="1"/>
  <c r="R854" i="3" s="1"/>
  <c r="N853" i="3"/>
  <c r="O853" i="3" s="1"/>
  <c r="P853" i="3" s="1"/>
  <c r="R853" i="3" s="1"/>
  <c r="N852" i="3"/>
  <c r="O852" i="3" s="1"/>
  <c r="P852" i="3" s="1"/>
  <c r="R852" i="3" s="1"/>
  <c r="N851" i="3"/>
  <c r="O851" i="3" s="1"/>
  <c r="P851" i="3" s="1"/>
  <c r="R851" i="3" s="1"/>
  <c r="N850" i="3"/>
  <c r="O850" i="3" s="1"/>
  <c r="P850" i="3" s="1"/>
  <c r="R850" i="3" s="1"/>
  <c r="N849" i="3"/>
  <c r="O849" i="3" s="1"/>
  <c r="P849" i="3" s="1"/>
  <c r="R849" i="3" s="1"/>
  <c r="N848" i="3"/>
  <c r="O848" i="3" s="1"/>
  <c r="P848" i="3" s="1"/>
  <c r="R848" i="3" s="1"/>
  <c r="N847" i="3"/>
  <c r="O847" i="3" s="1"/>
  <c r="P847" i="3" s="1"/>
  <c r="R847" i="3" s="1"/>
  <c r="N846" i="3"/>
  <c r="O846" i="3" s="1"/>
  <c r="P846" i="3" s="1"/>
  <c r="R846" i="3" s="1"/>
  <c r="N845" i="3"/>
  <c r="O845" i="3" s="1"/>
  <c r="P845" i="3" s="1"/>
  <c r="R845" i="3" s="1"/>
  <c r="N844" i="3"/>
  <c r="O844" i="3" s="1"/>
  <c r="P844" i="3" s="1"/>
  <c r="R844" i="3" s="1"/>
  <c r="N843" i="3"/>
  <c r="O843" i="3" s="1"/>
  <c r="P843" i="3" s="1"/>
  <c r="R843" i="3" s="1"/>
  <c r="N842" i="3"/>
  <c r="O842" i="3" s="1"/>
  <c r="P842" i="3" s="1"/>
  <c r="R842" i="3" s="1"/>
  <c r="N838" i="3"/>
  <c r="O838" i="3" s="1"/>
  <c r="P838" i="3" s="1"/>
  <c r="R838" i="3" s="1"/>
  <c r="N837" i="3"/>
  <c r="O837" i="3" s="1"/>
  <c r="P837" i="3" s="1"/>
  <c r="R837" i="3" s="1"/>
  <c r="N836" i="3"/>
  <c r="O836" i="3" s="1"/>
  <c r="P836" i="3" s="1"/>
  <c r="R836" i="3" s="1"/>
  <c r="N835" i="3"/>
  <c r="O835" i="3" s="1"/>
  <c r="P835" i="3" s="1"/>
  <c r="R835" i="3" s="1"/>
  <c r="N834" i="3"/>
  <c r="O834" i="3" s="1"/>
  <c r="P834" i="3" s="1"/>
  <c r="R834" i="3" s="1"/>
  <c r="N833" i="3"/>
  <c r="O833" i="3" s="1"/>
  <c r="P833" i="3" s="1"/>
  <c r="R833" i="3" s="1"/>
  <c r="N832" i="3"/>
  <c r="O832" i="3" s="1"/>
  <c r="P832" i="3" s="1"/>
  <c r="R832" i="3" s="1"/>
  <c r="N831" i="3"/>
  <c r="O831" i="3" s="1"/>
  <c r="P831" i="3" s="1"/>
  <c r="R831" i="3" s="1"/>
  <c r="N830" i="3"/>
  <c r="O830" i="3" s="1"/>
  <c r="P830" i="3" s="1"/>
  <c r="R830" i="3" s="1"/>
  <c r="N829" i="3"/>
  <c r="O829" i="3" s="1"/>
  <c r="P829" i="3" s="1"/>
  <c r="R829" i="3" s="1"/>
  <c r="N828" i="3"/>
  <c r="O828" i="3" s="1"/>
  <c r="P828" i="3" s="1"/>
  <c r="R828" i="3" s="1"/>
  <c r="N827" i="3"/>
  <c r="O827" i="3" s="1"/>
  <c r="P827" i="3" s="1"/>
  <c r="R827" i="3" s="1"/>
  <c r="N826" i="3"/>
  <c r="O826" i="3" s="1"/>
  <c r="P826" i="3" s="1"/>
  <c r="R826" i="3" s="1"/>
  <c r="N825" i="3"/>
  <c r="O825" i="3" s="1"/>
  <c r="P825" i="3" s="1"/>
  <c r="R825" i="3" s="1"/>
  <c r="N822" i="3"/>
  <c r="O822" i="3" s="1"/>
  <c r="P822" i="3" s="1"/>
  <c r="R822" i="3" s="1"/>
  <c r="N821" i="3"/>
  <c r="O821" i="3" s="1"/>
  <c r="P821" i="3" s="1"/>
  <c r="R821" i="3" s="1"/>
  <c r="N820" i="3"/>
  <c r="O820" i="3" s="1"/>
  <c r="P820" i="3" s="1"/>
  <c r="R820" i="3" s="1"/>
  <c r="N819" i="3"/>
  <c r="O819" i="3" s="1"/>
  <c r="P819" i="3" s="1"/>
  <c r="R819" i="3" s="1"/>
  <c r="N818" i="3"/>
  <c r="O818" i="3" s="1"/>
  <c r="P818" i="3" s="1"/>
  <c r="R818" i="3" s="1"/>
  <c r="N817" i="3"/>
  <c r="O817" i="3" s="1"/>
  <c r="P817" i="3" s="1"/>
  <c r="R817" i="3" s="1"/>
  <c r="N816" i="3"/>
  <c r="O816" i="3" s="1"/>
  <c r="P816" i="3" s="1"/>
  <c r="R816" i="3" s="1"/>
  <c r="N815" i="3"/>
  <c r="O815" i="3" s="1"/>
  <c r="P815" i="3" s="1"/>
  <c r="R815" i="3" s="1"/>
  <c r="N814" i="3"/>
  <c r="O814" i="3" s="1"/>
  <c r="P814" i="3" s="1"/>
  <c r="R814" i="3" s="1"/>
  <c r="N813" i="3"/>
  <c r="O813" i="3" s="1"/>
  <c r="P813" i="3" s="1"/>
  <c r="R813" i="3" s="1"/>
  <c r="N812" i="3"/>
  <c r="O812" i="3" s="1"/>
  <c r="P812" i="3" s="1"/>
  <c r="R812" i="3" s="1"/>
  <c r="N811" i="3"/>
  <c r="O811" i="3" s="1"/>
  <c r="P811" i="3" s="1"/>
  <c r="R811" i="3" s="1"/>
  <c r="N810" i="3"/>
  <c r="O810" i="3" s="1"/>
  <c r="P810" i="3" s="1"/>
  <c r="R810" i="3" s="1"/>
  <c r="N809" i="3"/>
  <c r="O809" i="3" s="1"/>
  <c r="P809" i="3" s="1"/>
  <c r="R809" i="3" s="1"/>
  <c r="N808" i="3"/>
  <c r="O808" i="3" s="1"/>
  <c r="P808" i="3" s="1"/>
  <c r="R808" i="3" s="1"/>
  <c r="N807" i="3"/>
  <c r="O807" i="3" s="1"/>
  <c r="P807" i="3" s="1"/>
  <c r="R807" i="3" s="1"/>
  <c r="N806" i="3"/>
  <c r="O806" i="3" s="1"/>
  <c r="P806" i="3" s="1"/>
  <c r="R806" i="3" s="1"/>
  <c r="N805" i="3"/>
  <c r="O805" i="3" s="1"/>
  <c r="P805" i="3" s="1"/>
  <c r="R805" i="3" s="1"/>
  <c r="N804" i="3"/>
  <c r="O804" i="3" s="1"/>
  <c r="P804" i="3" s="1"/>
  <c r="R804" i="3" s="1"/>
  <c r="N803" i="3"/>
  <c r="O803" i="3" s="1"/>
  <c r="P803" i="3" s="1"/>
  <c r="R803" i="3" s="1"/>
  <c r="N802" i="3"/>
  <c r="O802" i="3" s="1"/>
  <c r="P802" i="3" s="1"/>
  <c r="R802" i="3" s="1"/>
  <c r="N801" i="3"/>
  <c r="O801" i="3" s="1"/>
  <c r="P801" i="3" s="1"/>
  <c r="R801" i="3" s="1"/>
  <c r="N800" i="3"/>
  <c r="O800" i="3" s="1"/>
  <c r="P800" i="3" s="1"/>
  <c r="R800" i="3" s="1"/>
  <c r="N799" i="3"/>
  <c r="O799" i="3" s="1"/>
  <c r="P799" i="3" s="1"/>
  <c r="R799" i="3" s="1"/>
  <c r="N798" i="3"/>
  <c r="O798" i="3" s="1"/>
  <c r="P798" i="3" s="1"/>
  <c r="R798" i="3" s="1"/>
  <c r="N797" i="3"/>
  <c r="O797" i="3" s="1"/>
  <c r="P797" i="3" s="1"/>
  <c r="R797" i="3" s="1"/>
  <c r="N796" i="3"/>
  <c r="O796" i="3" s="1"/>
  <c r="P796" i="3" s="1"/>
  <c r="R796" i="3" s="1"/>
  <c r="N791" i="3"/>
  <c r="O791" i="3" s="1"/>
  <c r="P791" i="3" s="1"/>
  <c r="R791" i="3" s="1"/>
  <c r="N790" i="3"/>
  <c r="O790" i="3" s="1"/>
  <c r="P790" i="3" s="1"/>
  <c r="R790" i="3" s="1"/>
  <c r="N788" i="3"/>
  <c r="O788" i="3" s="1"/>
  <c r="P788" i="3" s="1"/>
  <c r="R788" i="3" s="1"/>
  <c r="N787" i="3"/>
  <c r="O787" i="3" s="1"/>
  <c r="P787" i="3" s="1"/>
  <c r="R787" i="3" s="1"/>
  <c r="N786" i="3"/>
  <c r="O786" i="3" s="1"/>
  <c r="P786" i="3" s="1"/>
  <c r="R786" i="3" s="1"/>
  <c r="N785" i="3"/>
  <c r="O785" i="3" s="1"/>
  <c r="P785" i="3" s="1"/>
  <c r="R785" i="3" s="1"/>
  <c r="N784" i="3"/>
  <c r="O784" i="3" s="1"/>
  <c r="P784" i="3" s="1"/>
  <c r="R784" i="3" s="1"/>
  <c r="N783" i="3"/>
  <c r="O783" i="3" s="1"/>
  <c r="P783" i="3" s="1"/>
  <c r="R783" i="3" s="1"/>
  <c r="N782" i="3"/>
  <c r="O782" i="3" s="1"/>
  <c r="P782" i="3" s="1"/>
  <c r="R782" i="3" s="1"/>
  <c r="N781" i="3"/>
  <c r="O781" i="3" s="1"/>
  <c r="P781" i="3" s="1"/>
  <c r="R781" i="3" s="1"/>
  <c r="N780" i="3"/>
  <c r="O780" i="3" s="1"/>
  <c r="P780" i="3" s="1"/>
  <c r="R780" i="3" s="1"/>
  <c r="N779" i="3"/>
  <c r="O779" i="3" s="1"/>
  <c r="P779" i="3" s="1"/>
  <c r="R779" i="3" s="1"/>
  <c r="N778" i="3"/>
  <c r="O778" i="3" s="1"/>
  <c r="P778" i="3" s="1"/>
  <c r="R778" i="3" s="1"/>
  <c r="N777" i="3"/>
  <c r="O777" i="3" s="1"/>
  <c r="P777" i="3" s="1"/>
  <c r="R777" i="3" s="1"/>
  <c r="N776" i="3"/>
  <c r="O776" i="3" s="1"/>
  <c r="P776" i="3" s="1"/>
  <c r="R776" i="3" s="1"/>
  <c r="N775" i="3"/>
  <c r="O775" i="3" s="1"/>
  <c r="P775" i="3" s="1"/>
  <c r="R775" i="3" s="1"/>
  <c r="N774" i="3"/>
  <c r="O774" i="3" s="1"/>
  <c r="P774" i="3" s="1"/>
  <c r="R774" i="3" s="1"/>
  <c r="N773" i="3"/>
  <c r="O773" i="3" s="1"/>
  <c r="P773" i="3" s="1"/>
  <c r="R773" i="3" s="1"/>
  <c r="N772" i="3"/>
  <c r="O772" i="3" s="1"/>
  <c r="P772" i="3" s="1"/>
  <c r="R772" i="3" s="1"/>
  <c r="N771" i="3"/>
  <c r="O771" i="3" s="1"/>
  <c r="P771" i="3" s="1"/>
  <c r="R771" i="3" s="1"/>
  <c r="N770" i="3"/>
  <c r="O770" i="3" s="1"/>
  <c r="P770" i="3" s="1"/>
  <c r="R770" i="3" s="1"/>
  <c r="N769" i="3"/>
  <c r="O769" i="3" s="1"/>
  <c r="P769" i="3" s="1"/>
  <c r="R769" i="3" s="1"/>
  <c r="N768" i="3"/>
  <c r="O768" i="3" s="1"/>
  <c r="P768" i="3" s="1"/>
  <c r="R768" i="3" s="1"/>
  <c r="N767" i="3"/>
  <c r="O767" i="3" s="1"/>
  <c r="P767" i="3" s="1"/>
  <c r="R767" i="3" s="1"/>
  <c r="N766" i="3"/>
  <c r="O766" i="3" s="1"/>
  <c r="P766" i="3" s="1"/>
  <c r="R766" i="3" s="1"/>
  <c r="N765" i="3"/>
  <c r="O765" i="3" s="1"/>
  <c r="P765" i="3" s="1"/>
  <c r="R765" i="3" s="1"/>
  <c r="N764" i="3"/>
  <c r="O764" i="3" s="1"/>
  <c r="P764" i="3" s="1"/>
  <c r="R764" i="3" s="1"/>
  <c r="N763" i="3"/>
  <c r="O763" i="3" s="1"/>
  <c r="P763" i="3" s="1"/>
  <c r="R763" i="3" s="1"/>
  <c r="N762" i="3"/>
  <c r="O762" i="3" s="1"/>
  <c r="P762" i="3" s="1"/>
  <c r="R762" i="3" s="1"/>
  <c r="N761" i="3"/>
  <c r="O761" i="3" s="1"/>
  <c r="P761" i="3" s="1"/>
  <c r="R761" i="3" s="1"/>
  <c r="N760" i="3"/>
  <c r="O760" i="3" s="1"/>
  <c r="P760" i="3" s="1"/>
  <c r="R760" i="3" s="1"/>
  <c r="N759" i="3"/>
  <c r="O759" i="3" s="1"/>
  <c r="P759" i="3" s="1"/>
  <c r="R759" i="3" s="1"/>
  <c r="N758" i="3"/>
  <c r="O758" i="3" s="1"/>
  <c r="P758" i="3" s="1"/>
  <c r="R758" i="3" s="1"/>
  <c r="N757" i="3"/>
  <c r="O757" i="3" s="1"/>
  <c r="P757" i="3" s="1"/>
  <c r="R757" i="3" s="1"/>
  <c r="N756" i="3"/>
  <c r="O756" i="3" s="1"/>
  <c r="P756" i="3" s="1"/>
  <c r="R756" i="3" s="1"/>
  <c r="N755" i="3"/>
  <c r="O755" i="3" s="1"/>
  <c r="P755" i="3" s="1"/>
  <c r="R755" i="3" s="1"/>
  <c r="N754" i="3"/>
  <c r="O754" i="3" s="1"/>
  <c r="P754" i="3" s="1"/>
  <c r="R754" i="3" s="1"/>
  <c r="N753" i="3"/>
  <c r="O753" i="3" s="1"/>
  <c r="P753" i="3" s="1"/>
  <c r="R753" i="3" s="1"/>
  <c r="N752" i="3"/>
  <c r="O752" i="3" s="1"/>
  <c r="P752" i="3" s="1"/>
  <c r="R752" i="3" s="1"/>
  <c r="N751" i="3"/>
  <c r="O751" i="3" s="1"/>
  <c r="P751" i="3" s="1"/>
  <c r="R751" i="3" s="1"/>
  <c r="N750" i="3"/>
  <c r="O750" i="3" s="1"/>
  <c r="P750" i="3" s="1"/>
  <c r="R750" i="3" s="1"/>
  <c r="N749" i="3"/>
  <c r="O749" i="3" s="1"/>
  <c r="P749" i="3" s="1"/>
  <c r="R749" i="3" s="1"/>
  <c r="N745" i="3"/>
  <c r="O745" i="3" s="1"/>
  <c r="P745" i="3" s="1"/>
  <c r="R745" i="3" s="1"/>
  <c r="N744" i="3"/>
  <c r="O744" i="3" s="1"/>
  <c r="P744" i="3" s="1"/>
  <c r="R744" i="3" s="1"/>
  <c r="N743" i="3"/>
  <c r="O743" i="3" s="1"/>
  <c r="P743" i="3" s="1"/>
  <c r="R743" i="3" s="1"/>
  <c r="N742" i="3"/>
  <c r="O742" i="3" s="1"/>
  <c r="P742" i="3" s="1"/>
  <c r="R742" i="3" s="1"/>
  <c r="N741" i="3"/>
  <c r="O741" i="3" s="1"/>
  <c r="P741" i="3" s="1"/>
  <c r="R741" i="3" s="1"/>
  <c r="N740" i="3"/>
  <c r="O740" i="3" s="1"/>
  <c r="P740" i="3" s="1"/>
  <c r="R740" i="3" s="1"/>
  <c r="N739" i="3"/>
  <c r="O739" i="3" s="1"/>
  <c r="P739" i="3" s="1"/>
  <c r="R739" i="3" s="1"/>
  <c r="N738" i="3"/>
  <c r="O738" i="3" s="1"/>
  <c r="P738" i="3" s="1"/>
  <c r="R738" i="3" s="1"/>
  <c r="N737" i="3"/>
  <c r="O737" i="3" s="1"/>
  <c r="P737" i="3" s="1"/>
  <c r="R737" i="3" s="1"/>
  <c r="N736" i="3"/>
  <c r="O736" i="3" s="1"/>
  <c r="P736" i="3" s="1"/>
  <c r="R736" i="3" s="1"/>
  <c r="N735" i="3"/>
  <c r="O735" i="3" s="1"/>
  <c r="P735" i="3" s="1"/>
  <c r="R735" i="3" s="1"/>
  <c r="N733" i="3"/>
  <c r="O733" i="3" s="1"/>
  <c r="P733" i="3" s="1"/>
  <c r="R733" i="3" s="1"/>
  <c r="N732" i="3"/>
  <c r="O732" i="3" s="1"/>
  <c r="P732" i="3" s="1"/>
  <c r="R732" i="3" s="1"/>
  <c r="N731" i="3"/>
  <c r="O731" i="3" s="1"/>
  <c r="P731" i="3" s="1"/>
  <c r="R731" i="3" s="1"/>
  <c r="N730" i="3"/>
  <c r="O730" i="3" s="1"/>
  <c r="P730" i="3" s="1"/>
  <c r="R730" i="3" s="1"/>
  <c r="N728" i="3"/>
  <c r="O728" i="3" s="1"/>
  <c r="P728" i="3" s="1"/>
  <c r="R728" i="3" s="1"/>
  <c r="N727" i="3"/>
  <c r="O727" i="3" s="1"/>
  <c r="P727" i="3" s="1"/>
  <c r="R727" i="3" s="1"/>
  <c r="N726" i="3"/>
  <c r="O726" i="3" s="1"/>
  <c r="P726" i="3" s="1"/>
  <c r="R726" i="3" s="1"/>
  <c r="N724" i="3"/>
  <c r="O724" i="3" s="1"/>
  <c r="P724" i="3" s="1"/>
  <c r="R724" i="3" s="1"/>
  <c r="N723" i="3"/>
  <c r="O723" i="3" s="1"/>
  <c r="P723" i="3" s="1"/>
  <c r="R723" i="3" s="1"/>
  <c r="N722" i="3"/>
  <c r="O722" i="3" s="1"/>
  <c r="P722" i="3" s="1"/>
  <c r="R722" i="3" s="1"/>
  <c r="N721" i="3"/>
  <c r="O721" i="3" s="1"/>
  <c r="P721" i="3" s="1"/>
  <c r="R721" i="3" s="1"/>
  <c r="N720" i="3"/>
  <c r="O720" i="3" s="1"/>
  <c r="P720" i="3" s="1"/>
  <c r="R720" i="3" s="1"/>
  <c r="N719" i="3"/>
  <c r="O719" i="3" s="1"/>
  <c r="P719" i="3" s="1"/>
  <c r="R719" i="3" s="1"/>
  <c r="N718" i="3"/>
  <c r="O718" i="3" s="1"/>
  <c r="P718" i="3" s="1"/>
  <c r="R718" i="3" s="1"/>
  <c r="N717" i="3"/>
  <c r="O717" i="3" s="1"/>
  <c r="P717" i="3" s="1"/>
  <c r="R717" i="3" s="1"/>
  <c r="N716" i="3"/>
  <c r="O716" i="3" s="1"/>
  <c r="P716" i="3" s="1"/>
  <c r="R716" i="3" s="1"/>
  <c r="N715" i="3"/>
  <c r="O715" i="3" s="1"/>
  <c r="P715" i="3" s="1"/>
  <c r="R715" i="3" s="1"/>
  <c r="N714" i="3"/>
  <c r="O714" i="3" s="1"/>
  <c r="P714" i="3" s="1"/>
  <c r="R714" i="3" s="1"/>
  <c r="N713" i="3"/>
  <c r="O713" i="3" s="1"/>
  <c r="P713" i="3" s="1"/>
  <c r="R713" i="3" s="1"/>
  <c r="N712" i="3"/>
  <c r="O712" i="3" s="1"/>
  <c r="P712" i="3" s="1"/>
  <c r="R712" i="3" s="1"/>
  <c r="N711" i="3"/>
  <c r="O711" i="3" s="1"/>
  <c r="P711" i="3" s="1"/>
  <c r="R711" i="3" s="1"/>
  <c r="N710" i="3"/>
  <c r="O710" i="3" s="1"/>
  <c r="P710" i="3" s="1"/>
  <c r="R710" i="3" s="1"/>
  <c r="N708" i="3"/>
  <c r="O708" i="3" s="1"/>
  <c r="P708" i="3" s="1"/>
  <c r="R708" i="3" s="1"/>
  <c r="N707" i="3"/>
  <c r="O707" i="3" s="1"/>
  <c r="P707" i="3" s="1"/>
  <c r="R707" i="3" s="1"/>
  <c r="N706" i="3"/>
  <c r="O706" i="3" s="1"/>
  <c r="P706" i="3" s="1"/>
  <c r="R706" i="3" s="1"/>
  <c r="N705" i="3"/>
  <c r="O705" i="3" s="1"/>
  <c r="P705" i="3" s="1"/>
  <c r="R705" i="3" s="1"/>
  <c r="N704" i="3"/>
  <c r="O704" i="3" s="1"/>
  <c r="P704" i="3" s="1"/>
  <c r="R704" i="3" s="1"/>
  <c r="N702" i="3"/>
  <c r="O702" i="3" s="1"/>
  <c r="P702" i="3" s="1"/>
  <c r="R702" i="3" s="1"/>
  <c r="N701" i="3"/>
  <c r="O701" i="3" s="1"/>
  <c r="P701" i="3" s="1"/>
  <c r="R701" i="3" s="1"/>
  <c r="N700" i="3"/>
  <c r="O700" i="3" s="1"/>
  <c r="P700" i="3" s="1"/>
  <c r="R700" i="3" s="1"/>
  <c r="N699" i="3"/>
  <c r="O699" i="3" s="1"/>
  <c r="P699" i="3" s="1"/>
  <c r="R699" i="3" s="1"/>
  <c r="N698" i="3"/>
  <c r="O698" i="3" s="1"/>
  <c r="P698" i="3" s="1"/>
  <c r="R698" i="3" s="1"/>
  <c r="N697" i="3"/>
  <c r="O697" i="3" s="1"/>
  <c r="P697" i="3" s="1"/>
  <c r="R697" i="3" s="1"/>
  <c r="N696" i="3"/>
  <c r="O696" i="3" s="1"/>
  <c r="P696" i="3" s="1"/>
  <c r="R696" i="3" s="1"/>
  <c r="N695" i="3"/>
  <c r="O695" i="3" s="1"/>
  <c r="P695" i="3" s="1"/>
  <c r="R695" i="3" s="1"/>
  <c r="N694" i="3"/>
  <c r="O694" i="3" s="1"/>
  <c r="P694" i="3" s="1"/>
  <c r="R694" i="3" s="1"/>
  <c r="N693" i="3"/>
  <c r="O693" i="3" s="1"/>
  <c r="P693" i="3" s="1"/>
  <c r="R693" i="3" s="1"/>
  <c r="N692" i="3"/>
  <c r="O692" i="3" s="1"/>
  <c r="P692" i="3" s="1"/>
  <c r="R692" i="3" s="1"/>
  <c r="N691" i="3"/>
  <c r="O691" i="3" s="1"/>
  <c r="P691" i="3" s="1"/>
  <c r="R691" i="3" s="1"/>
  <c r="N690" i="3"/>
  <c r="O690" i="3" s="1"/>
  <c r="P690" i="3" s="1"/>
  <c r="R690" i="3" s="1"/>
  <c r="N689" i="3"/>
  <c r="O689" i="3" s="1"/>
  <c r="P689" i="3" s="1"/>
  <c r="R689" i="3" s="1"/>
  <c r="N688" i="3"/>
  <c r="O688" i="3" s="1"/>
  <c r="P688" i="3" s="1"/>
  <c r="R688" i="3" s="1"/>
  <c r="N687" i="3"/>
  <c r="O687" i="3" s="1"/>
  <c r="P687" i="3" s="1"/>
  <c r="R687" i="3" s="1"/>
  <c r="N686" i="3"/>
  <c r="O686" i="3" s="1"/>
  <c r="P686" i="3" s="1"/>
  <c r="R686" i="3" s="1"/>
  <c r="N685" i="3"/>
  <c r="O685" i="3" s="1"/>
  <c r="P685" i="3" s="1"/>
  <c r="R685" i="3" s="1"/>
  <c r="N684" i="3"/>
  <c r="O684" i="3" s="1"/>
  <c r="P684" i="3" s="1"/>
  <c r="R684" i="3" s="1"/>
  <c r="N683" i="3"/>
  <c r="O683" i="3" s="1"/>
  <c r="P683" i="3" s="1"/>
  <c r="R683" i="3" s="1"/>
  <c r="N681" i="3"/>
  <c r="O681" i="3" s="1"/>
  <c r="P681" i="3" s="1"/>
  <c r="R681" i="3" s="1"/>
  <c r="N680" i="3"/>
  <c r="O680" i="3" s="1"/>
  <c r="P680" i="3" s="1"/>
  <c r="R680" i="3" s="1"/>
  <c r="N679" i="3"/>
  <c r="O679" i="3" s="1"/>
  <c r="P679" i="3" s="1"/>
  <c r="R679" i="3" s="1"/>
  <c r="N678" i="3"/>
  <c r="O678" i="3" s="1"/>
  <c r="P678" i="3" s="1"/>
  <c r="R678" i="3" s="1"/>
  <c r="N677" i="3"/>
  <c r="O677" i="3" s="1"/>
  <c r="P677" i="3" s="1"/>
  <c r="R677" i="3" s="1"/>
  <c r="N676" i="3"/>
  <c r="O676" i="3" s="1"/>
  <c r="P676" i="3" s="1"/>
  <c r="R676" i="3" s="1"/>
  <c r="N675" i="3"/>
  <c r="O675" i="3" s="1"/>
  <c r="P675" i="3" s="1"/>
  <c r="R675" i="3" s="1"/>
  <c r="N674" i="3"/>
  <c r="O674" i="3" s="1"/>
  <c r="P674" i="3" s="1"/>
  <c r="R674" i="3" s="1"/>
  <c r="N673" i="3"/>
  <c r="O673" i="3" s="1"/>
  <c r="P673" i="3" s="1"/>
  <c r="R673" i="3" s="1"/>
  <c r="N672" i="3"/>
  <c r="O672" i="3" s="1"/>
  <c r="P672" i="3" s="1"/>
  <c r="R672" i="3" s="1"/>
  <c r="N671" i="3"/>
  <c r="O671" i="3" s="1"/>
  <c r="P671" i="3" s="1"/>
  <c r="R671" i="3" s="1"/>
  <c r="N670" i="3"/>
  <c r="O670" i="3" s="1"/>
  <c r="P670" i="3" s="1"/>
  <c r="R670" i="3" s="1"/>
  <c r="N669" i="3"/>
  <c r="O669" i="3" s="1"/>
  <c r="P669" i="3" s="1"/>
  <c r="R669" i="3" s="1"/>
  <c r="N668" i="3"/>
  <c r="O668" i="3" s="1"/>
  <c r="P668" i="3" s="1"/>
  <c r="R668" i="3" s="1"/>
  <c r="N667" i="3"/>
  <c r="O667" i="3" s="1"/>
  <c r="P667" i="3" s="1"/>
  <c r="R667" i="3" s="1"/>
  <c r="N666" i="3"/>
  <c r="O666" i="3" s="1"/>
  <c r="P666" i="3" s="1"/>
  <c r="R666" i="3" s="1"/>
  <c r="N665" i="3"/>
  <c r="O665" i="3" s="1"/>
  <c r="P665" i="3" s="1"/>
  <c r="R665" i="3" s="1"/>
  <c r="N664" i="3"/>
  <c r="O664" i="3" s="1"/>
  <c r="P664" i="3" s="1"/>
  <c r="R664" i="3" s="1"/>
  <c r="N663" i="3"/>
  <c r="O663" i="3" s="1"/>
  <c r="P663" i="3" s="1"/>
  <c r="R663" i="3" s="1"/>
  <c r="N662" i="3"/>
  <c r="O662" i="3" s="1"/>
  <c r="P662" i="3" s="1"/>
  <c r="R662" i="3" s="1"/>
  <c r="N661" i="3"/>
  <c r="O661" i="3" s="1"/>
  <c r="P661" i="3" s="1"/>
  <c r="R661" i="3" s="1"/>
  <c r="N660" i="3"/>
  <c r="O660" i="3" s="1"/>
  <c r="P660" i="3" s="1"/>
  <c r="R660" i="3" s="1"/>
  <c r="N659" i="3"/>
  <c r="O659" i="3" s="1"/>
  <c r="P659" i="3" s="1"/>
  <c r="R659" i="3" s="1"/>
  <c r="N657" i="3"/>
  <c r="O657" i="3" s="1"/>
  <c r="P657" i="3" s="1"/>
  <c r="R657" i="3" s="1"/>
  <c r="N656" i="3"/>
  <c r="O656" i="3" s="1"/>
  <c r="P656" i="3" s="1"/>
  <c r="R656" i="3" s="1"/>
  <c r="N655" i="3"/>
  <c r="O655" i="3" s="1"/>
  <c r="P655" i="3" s="1"/>
  <c r="R655" i="3" s="1"/>
  <c r="N654" i="3"/>
  <c r="O654" i="3" s="1"/>
  <c r="P654" i="3" s="1"/>
  <c r="R654" i="3" s="1"/>
  <c r="N653" i="3"/>
  <c r="O653" i="3" s="1"/>
  <c r="P653" i="3" s="1"/>
  <c r="R653" i="3" s="1"/>
  <c r="N652" i="3"/>
  <c r="O652" i="3" s="1"/>
  <c r="P652" i="3" s="1"/>
  <c r="R652" i="3" s="1"/>
  <c r="N651" i="3"/>
  <c r="O651" i="3" s="1"/>
  <c r="P651" i="3" s="1"/>
  <c r="R651" i="3" s="1"/>
  <c r="N650" i="3"/>
  <c r="O650" i="3" s="1"/>
  <c r="P650" i="3" s="1"/>
  <c r="R650" i="3" s="1"/>
  <c r="N649" i="3"/>
  <c r="O649" i="3" s="1"/>
  <c r="P649" i="3" s="1"/>
  <c r="R649" i="3" s="1"/>
  <c r="N648" i="3"/>
  <c r="O648" i="3" s="1"/>
  <c r="P648" i="3" s="1"/>
  <c r="R648" i="3" s="1"/>
  <c r="N647" i="3"/>
  <c r="O647" i="3" s="1"/>
  <c r="P647" i="3" s="1"/>
  <c r="R647" i="3" s="1"/>
  <c r="N646" i="3"/>
  <c r="O646" i="3" s="1"/>
  <c r="P646" i="3" s="1"/>
  <c r="R646" i="3" s="1"/>
  <c r="N645" i="3"/>
  <c r="O645" i="3" s="1"/>
  <c r="P645" i="3" s="1"/>
  <c r="R645" i="3" s="1"/>
  <c r="N644" i="3"/>
  <c r="O644" i="3" s="1"/>
  <c r="P644" i="3" s="1"/>
  <c r="R644" i="3" s="1"/>
  <c r="N643" i="3"/>
  <c r="O643" i="3" s="1"/>
  <c r="P643" i="3" s="1"/>
  <c r="R643" i="3" s="1"/>
  <c r="N642" i="3"/>
  <c r="O642" i="3" s="1"/>
  <c r="P642" i="3" s="1"/>
  <c r="R642" i="3" s="1"/>
  <c r="N641" i="3"/>
  <c r="O641" i="3" s="1"/>
  <c r="P641" i="3" s="1"/>
  <c r="R641" i="3" s="1"/>
  <c r="N640" i="3"/>
  <c r="O640" i="3" s="1"/>
  <c r="P640" i="3" s="1"/>
  <c r="R640" i="3" s="1"/>
  <c r="N639" i="3"/>
  <c r="O639" i="3" s="1"/>
  <c r="P639" i="3" s="1"/>
  <c r="R639" i="3" s="1"/>
  <c r="N638" i="3"/>
  <c r="O638" i="3" s="1"/>
  <c r="P638" i="3" s="1"/>
  <c r="R638" i="3" s="1"/>
  <c r="N637" i="3"/>
  <c r="O637" i="3" s="1"/>
  <c r="P637" i="3" s="1"/>
  <c r="R637" i="3" s="1"/>
  <c r="N636" i="3"/>
  <c r="O636" i="3" s="1"/>
  <c r="P636" i="3" s="1"/>
  <c r="R636" i="3" s="1"/>
  <c r="N632" i="3"/>
  <c r="O632" i="3" s="1"/>
  <c r="P632" i="3" s="1"/>
  <c r="R632" i="3" s="1"/>
  <c r="N631" i="3"/>
  <c r="O631" i="3" s="1"/>
  <c r="P631" i="3" s="1"/>
  <c r="R631" i="3" s="1"/>
  <c r="N630" i="3"/>
  <c r="O630" i="3" s="1"/>
  <c r="P630" i="3" s="1"/>
  <c r="R630" i="3" s="1"/>
  <c r="N629" i="3"/>
  <c r="O629" i="3" s="1"/>
  <c r="P629" i="3" s="1"/>
  <c r="R629" i="3" s="1"/>
  <c r="N628" i="3"/>
  <c r="O628" i="3" s="1"/>
  <c r="P628" i="3" s="1"/>
  <c r="R628" i="3" s="1"/>
  <c r="N627" i="3"/>
  <c r="O627" i="3" s="1"/>
  <c r="P627" i="3" s="1"/>
  <c r="R627" i="3" s="1"/>
  <c r="N626" i="3"/>
  <c r="O626" i="3" s="1"/>
  <c r="P626" i="3" s="1"/>
  <c r="R626" i="3" s="1"/>
  <c r="N624" i="3"/>
  <c r="O624" i="3" s="1"/>
  <c r="P624" i="3" s="1"/>
  <c r="R624" i="3" s="1"/>
  <c r="N623" i="3"/>
  <c r="O623" i="3" s="1"/>
  <c r="P623" i="3" s="1"/>
  <c r="R623" i="3" s="1"/>
  <c r="N622" i="3"/>
  <c r="O622" i="3" s="1"/>
  <c r="P622" i="3" s="1"/>
  <c r="R622" i="3" s="1"/>
  <c r="N621" i="3"/>
  <c r="O621" i="3" s="1"/>
  <c r="P621" i="3" s="1"/>
  <c r="R621" i="3" s="1"/>
  <c r="N620" i="3"/>
  <c r="O620" i="3" s="1"/>
  <c r="P620" i="3" s="1"/>
  <c r="R620" i="3" s="1"/>
  <c r="N619" i="3"/>
  <c r="O619" i="3" s="1"/>
  <c r="P619" i="3" s="1"/>
  <c r="R619" i="3" s="1"/>
  <c r="N618" i="3"/>
  <c r="O618" i="3" s="1"/>
  <c r="P618" i="3" s="1"/>
  <c r="R618" i="3" s="1"/>
  <c r="N617" i="3"/>
  <c r="O617" i="3" s="1"/>
  <c r="P617" i="3" s="1"/>
  <c r="R617" i="3" s="1"/>
  <c r="N616" i="3"/>
  <c r="O616" i="3" s="1"/>
  <c r="P616" i="3" s="1"/>
  <c r="R616" i="3" s="1"/>
  <c r="N615" i="3"/>
  <c r="O615" i="3" s="1"/>
  <c r="P615" i="3" s="1"/>
  <c r="R615" i="3" s="1"/>
  <c r="N614" i="3"/>
  <c r="O614" i="3" s="1"/>
  <c r="P614" i="3" s="1"/>
  <c r="R614" i="3" s="1"/>
  <c r="N613" i="3"/>
  <c r="O613" i="3" s="1"/>
  <c r="P613" i="3" s="1"/>
  <c r="R613" i="3" s="1"/>
  <c r="N612" i="3"/>
  <c r="O612" i="3" s="1"/>
  <c r="P612" i="3" s="1"/>
  <c r="R612" i="3" s="1"/>
  <c r="N611" i="3"/>
  <c r="O611" i="3" s="1"/>
  <c r="P611" i="3" s="1"/>
  <c r="R611" i="3" s="1"/>
  <c r="N610" i="3"/>
  <c r="O610" i="3" s="1"/>
  <c r="P610" i="3" s="1"/>
  <c r="R610" i="3" s="1"/>
  <c r="N609" i="3"/>
  <c r="O609" i="3" s="1"/>
  <c r="P609" i="3" s="1"/>
  <c r="R609" i="3" s="1"/>
  <c r="N608" i="3"/>
  <c r="O608" i="3" s="1"/>
  <c r="P608" i="3" s="1"/>
  <c r="R608" i="3" s="1"/>
  <c r="N607" i="3"/>
  <c r="O607" i="3" s="1"/>
  <c r="P607" i="3" s="1"/>
  <c r="R607" i="3" s="1"/>
  <c r="N606" i="3"/>
  <c r="O606" i="3" s="1"/>
  <c r="P606" i="3" s="1"/>
  <c r="R606" i="3" s="1"/>
  <c r="N605" i="3"/>
  <c r="O605" i="3" s="1"/>
  <c r="P605" i="3" s="1"/>
  <c r="R605" i="3" s="1"/>
  <c r="N603" i="3"/>
  <c r="O603" i="3" s="1"/>
  <c r="P603" i="3" s="1"/>
  <c r="R603" i="3" s="1"/>
  <c r="N602" i="3"/>
  <c r="O602" i="3" s="1"/>
  <c r="P602" i="3" s="1"/>
  <c r="R602" i="3" s="1"/>
  <c r="N601" i="3"/>
  <c r="O601" i="3" s="1"/>
  <c r="P601" i="3" s="1"/>
  <c r="R601" i="3" s="1"/>
  <c r="N600" i="3"/>
  <c r="O600" i="3" s="1"/>
  <c r="P600" i="3" s="1"/>
  <c r="R600" i="3" s="1"/>
  <c r="N599" i="3"/>
  <c r="O599" i="3" s="1"/>
  <c r="P599" i="3" s="1"/>
  <c r="R599" i="3" s="1"/>
  <c r="N598" i="3"/>
  <c r="O598" i="3" s="1"/>
  <c r="P598" i="3" s="1"/>
  <c r="R598" i="3" s="1"/>
  <c r="N597" i="3"/>
  <c r="O597" i="3" s="1"/>
  <c r="P597" i="3" s="1"/>
  <c r="R597" i="3" s="1"/>
  <c r="N596" i="3"/>
  <c r="O596" i="3" s="1"/>
  <c r="P596" i="3" s="1"/>
  <c r="R596" i="3" s="1"/>
  <c r="N595" i="3"/>
  <c r="O595" i="3" s="1"/>
  <c r="P595" i="3" s="1"/>
  <c r="R595" i="3" s="1"/>
  <c r="N594" i="3"/>
  <c r="O594" i="3" s="1"/>
  <c r="P594" i="3" s="1"/>
  <c r="R594" i="3" s="1"/>
  <c r="N593" i="3"/>
  <c r="O593" i="3" s="1"/>
  <c r="P593" i="3" s="1"/>
  <c r="R593" i="3" s="1"/>
  <c r="N590" i="3"/>
  <c r="O590" i="3" s="1"/>
  <c r="P590" i="3" s="1"/>
  <c r="R590" i="3" s="1"/>
  <c r="N589" i="3"/>
  <c r="O589" i="3" s="1"/>
  <c r="P589" i="3" s="1"/>
  <c r="R589" i="3" s="1"/>
  <c r="N588" i="3"/>
  <c r="O588" i="3" s="1"/>
  <c r="P588" i="3" s="1"/>
  <c r="R588" i="3" s="1"/>
  <c r="N587" i="3"/>
  <c r="O587" i="3" s="1"/>
  <c r="P587" i="3" s="1"/>
  <c r="R587" i="3" s="1"/>
  <c r="N586" i="3"/>
  <c r="O586" i="3" s="1"/>
  <c r="P586" i="3" s="1"/>
  <c r="R586" i="3" s="1"/>
  <c r="N585" i="3"/>
  <c r="O585" i="3" s="1"/>
  <c r="P585" i="3" s="1"/>
  <c r="R585" i="3" s="1"/>
  <c r="N584" i="3"/>
  <c r="O584" i="3" s="1"/>
  <c r="P584" i="3" s="1"/>
  <c r="R584" i="3" s="1"/>
  <c r="N583" i="3"/>
  <c r="O583" i="3" s="1"/>
  <c r="P583" i="3" s="1"/>
  <c r="R583" i="3" s="1"/>
  <c r="N582" i="3"/>
  <c r="O582" i="3" s="1"/>
  <c r="P582" i="3" s="1"/>
  <c r="R582" i="3" s="1"/>
  <c r="N581" i="3"/>
  <c r="O581" i="3" s="1"/>
  <c r="P581" i="3" s="1"/>
  <c r="R581" i="3" s="1"/>
  <c r="N579" i="3"/>
  <c r="O579" i="3" s="1"/>
  <c r="P579" i="3" s="1"/>
  <c r="R579" i="3" s="1"/>
  <c r="N578" i="3"/>
  <c r="O578" i="3" s="1"/>
  <c r="P578" i="3" s="1"/>
  <c r="R578" i="3" s="1"/>
  <c r="N572" i="3"/>
  <c r="O572" i="3" s="1"/>
  <c r="P572" i="3" s="1"/>
  <c r="R572" i="3" s="1"/>
  <c r="N571" i="3"/>
  <c r="O571" i="3" s="1"/>
  <c r="P571" i="3" s="1"/>
  <c r="R571" i="3" s="1"/>
  <c r="N570" i="3"/>
  <c r="O570" i="3" s="1"/>
  <c r="P570" i="3" s="1"/>
  <c r="R570" i="3" s="1"/>
  <c r="N569" i="3"/>
  <c r="O569" i="3" s="1"/>
  <c r="P569" i="3" s="1"/>
  <c r="R569" i="3" s="1"/>
  <c r="N564" i="3"/>
  <c r="O564" i="3" s="1"/>
  <c r="P564" i="3" s="1"/>
  <c r="R564" i="3" s="1"/>
  <c r="N563" i="3"/>
  <c r="O563" i="3" s="1"/>
  <c r="P563" i="3" s="1"/>
  <c r="R563" i="3" s="1"/>
  <c r="N562" i="3"/>
  <c r="O562" i="3" s="1"/>
  <c r="P562" i="3" s="1"/>
  <c r="R562" i="3" s="1"/>
  <c r="N561" i="3"/>
  <c r="O561" i="3" s="1"/>
  <c r="P561" i="3" s="1"/>
  <c r="R561" i="3" s="1"/>
  <c r="N560" i="3"/>
  <c r="O560" i="3" s="1"/>
  <c r="P560" i="3" s="1"/>
  <c r="R560" i="3" s="1"/>
  <c r="N558" i="3"/>
  <c r="O558" i="3" s="1"/>
  <c r="P558" i="3" s="1"/>
  <c r="R558" i="3" s="1"/>
  <c r="N556" i="3"/>
  <c r="O556" i="3" s="1"/>
  <c r="P556" i="3" s="1"/>
  <c r="R556" i="3" s="1"/>
  <c r="N555" i="3"/>
  <c r="O555" i="3" s="1"/>
  <c r="P555" i="3" s="1"/>
  <c r="R555" i="3" s="1"/>
  <c r="N554" i="3"/>
  <c r="O554" i="3" s="1"/>
  <c r="P554" i="3" s="1"/>
  <c r="R554" i="3" s="1"/>
  <c r="N553" i="3"/>
  <c r="O553" i="3" s="1"/>
  <c r="P553" i="3" s="1"/>
  <c r="R553" i="3" s="1"/>
  <c r="N552" i="3"/>
  <c r="O552" i="3" s="1"/>
  <c r="P552" i="3" s="1"/>
  <c r="R552" i="3" s="1"/>
  <c r="N551" i="3"/>
  <c r="O551" i="3" s="1"/>
  <c r="P551" i="3" s="1"/>
  <c r="R551" i="3" s="1"/>
  <c r="N550" i="3"/>
  <c r="O550" i="3" s="1"/>
  <c r="P550" i="3" s="1"/>
  <c r="R550" i="3" s="1"/>
  <c r="N549" i="3"/>
  <c r="O549" i="3" s="1"/>
  <c r="P549" i="3" s="1"/>
  <c r="R549" i="3" s="1"/>
  <c r="N548" i="3"/>
  <c r="O548" i="3" s="1"/>
  <c r="P548" i="3" s="1"/>
  <c r="R548" i="3" s="1"/>
  <c r="N547" i="3"/>
  <c r="O547" i="3" s="1"/>
  <c r="P547" i="3" s="1"/>
  <c r="R547" i="3" s="1"/>
  <c r="N546" i="3"/>
  <c r="O546" i="3" s="1"/>
  <c r="P546" i="3" s="1"/>
  <c r="R546" i="3" s="1"/>
  <c r="N545" i="3"/>
  <c r="O545" i="3" s="1"/>
  <c r="P545" i="3" s="1"/>
  <c r="R545" i="3" s="1"/>
  <c r="N544" i="3"/>
  <c r="O544" i="3" s="1"/>
  <c r="P544" i="3" s="1"/>
  <c r="R544" i="3" s="1"/>
  <c r="N543" i="3"/>
  <c r="O543" i="3" s="1"/>
  <c r="P543" i="3" s="1"/>
  <c r="R543" i="3" s="1"/>
  <c r="N542" i="3"/>
  <c r="O542" i="3" s="1"/>
  <c r="P542" i="3" s="1"/>
  <c r="R542" i="3" s="1"/>
  <c r="N541" i="3"/>
  <c r="O541" i="3" s="1"/>
  <c r="P541" i="3" s="1"/>
  <c r="R541" i="3" s="1"/>
  <c r="N540" i="3"/>
  <c r="O540" i="3" s="1"/>
  <c r="P540" i="3" s="1"/>
  <c r="R540" i="3" s="1"/>
  <c r="N539" i="3"/>
  <c r="O539" i="3" s="1"/>
  <c r="P539" i="3" s="1"/>
  <c r="R539" i="3" s="1"/>
  <c r="N538" i="3"/>
  <c r="O538" i="3" s="1"/>
  <c r="P538" i="3" s="1"/>
  <c r="R538" i="3" s="1"/>
  <c r="N537" i="3"/>
  <c r="O537" i="3" s="1"/>
  <c r="P537" i="3" s="1"/>
  <c r="R537" i="3" s="1"/>
  <c r="N536" i="3"/>
  <c r="O536" i="3" s="1"/>
  <c r="P536" i="3" s="1"/>
  <c r="R536" i="3" s="1"/>
  <c r="N535" i="3"/>
  <c r="O535" i="3" s="1"/>
  <c r="P535" i="3" s="1"/>
  <c r="R535" i="3" s="1"/>
  <c r="N534" i="3"/>
  <c r="O534" i="3" s="1"/>
  <c r="P534" i="3" s="1"/>
  <c r="R534" i="3" s="1"/>
  <c r="N533" i="3"/>
  <c r="O533" i="3" s="1"/>
  <c r="P533" i="3" s="1"/>
  <c r="R533" i="3" s="1"/>
  <c r="N532" i="3"/>
  <c r="O532" i="3" s="1"/>
  <c r="P532" i="3" s="1"/>
  <c r="R532" i="3" s="1"/>
  <c r="N531" i="3"/>
  <c r="O531" i="3" s="1"/>
  <c r="P531" i="3" s="1"/>
  <c r="R531" i="3" s="1"/>
  <c r="N530" i="3"/>
  <c r="O530" i="3" s="1"/>
  <c r="P530" i="3" s="1"/>
  <c r="R530" i="3" s="1"/>
  <c r="N528" i="3"/>
  <c r="O528" i="3" s="1"/>
  <c r="P528" i="3" s="1"/>
  <c r="R528" i="3" s="1"/>
  <c r="N527" i="3"/>
  <c r="O527" i="3" s="1"/>
  <c r="P527" i="3" s="1"/>
  <c r="R527" i="3" s="1"/>
  <c r="N526" i="3"/>
  <c r="O526" i="3" s="1"/>
  <c r="P526" i="3" s="1"/>
  <c r="R526" i="3" s="1"/>
  <c r="N525" i="3"/>
  <c r="O525" i="3" s="1"/>
  <c r="P525" i="3" s="1"/>
  <c r="R525" i="3" s="1"/>
  <c r="N519" i="3"/>
  <c r="O519" i="3" s="1"/>
  <c r="P519" i="3" s="1"/>
  <c r="R519" i="3" s="1"/>
  <c r="N515" i="3"/>
  <c r="O515" i="3" s="1"/>
  <c r="P515" i="3" s="1"/>
  <c r="R515" i="3" s="1"/>
  <c r="N514" i="3"/>
  <c r="O514" i="3" s="1"/>
  <c r="P514" i="3" s="1"/>
  <c r="R514" i="3" s="1"/>
  <c r="N513" i="3"/>
  <c r="O513" i="3" s="1"/>
  <c r="P513" i="3" s="1"/>
  <c r="R513" i="3" s="1"/>
  <c r="N512" i="3"/>
  <c r="O512" i="3" s="1"/>
  <c r="P512" i="3" s="1"/>
  <c r="R512" i="3" s="1"/>
  <c r="N509" i="3"/>
  <c r="O509" i="3" s="1"/>
  <c r="P509" i="3" s="1"/>
  <c r="R509" i="3" s="1"/>
  <c r="N508" i="3"/>
  <c r="O508" i="3" s="1"/>
  <c r="P508" i="3" s="1"/>
  <c r="R508" i="3" s="1"/>
  <c r="N507" i="3"/>
  <c r="O507" i="3" s="1"/>
  <c r="P507" i="3" s="1"/>
  <c r="R507" i="3" s="1"/>
  <c r="N506" i="3"/>
  <c r="O506" i="3" s="1"/>
  <c r="P506" i="3" s="1"/>
  <c r="R506" i="3" s="1"/>
  <c r="N505" i="3"/>
  <c r="O505" i="3" s="1"/>
  <c r="P505" i="3" s="1"/>
  <c r="R505" i="3" s="1"/>
  <c r="N504" i="3"/>
  <c r="O504" i="3" s="1"/>
  <c r="P504" i="3" s="1"/>
  <c r="R504" i="3" s="1"/>
  <c r="N503" i="3"/>
  <c r="O503" i="3" s="1"/>
  <c r="P503" i="3" s="1"/>
  <c r="R503" i="3" s="1"/>
  <c r="N502" i="3"/>
  <c r="O502" i="3" s="1"/>
  <c r="P502" i="3" s="1"/>
  <c r="R502" i="3" s="1"/>
  <c r="N501" i="3"/>
  <c r="O501" i="3" s="1"/>
  <c r="P501" i="3" s="1"/>
  <c r="R501" i="3" s="1"/>
  <c r="N500" i="3"/>
  <c r="O500" i="3" s="1"/>
  <c r="P500" i="3" s="1"/>
  <c r="R500" i="3" s="1"/>
  <c r="N499" i="3"/>
  <c r="O499" i="3" s="1"/>
  <c r="P499" i="3" s="1"/>
  <c r="R499" i="3" s="1"/>
  <c r="N498" i="3"/>
  <c r="O498" i="3" s="1"/>
  <c r="P498" i="3" s="1"/>
  <c r="R498" i="3" s="1"/>
  <c r="N497" i="3"/>
  <c r="O497" i="3" s="1"/>
  <c r="P497" i="3" s="1"/>
  <c r="R497" i="3" s="1"/>
  <c r="L496" i="3"/>
  <c r="M496" i="3" s="1"/>
  <c r="N496" i="3" s="1"/>
  <c r="N495" i="3"/>
  <c r="O495" i="3" s="1"/>
  <c r="P495" i="3" s="1"/>
  <c r="R495" i="3" s="1"/>
  <c r="N494" i="3"/>
  <c r="O494" i="3" s="1"/>
  <c r="P494" i="3" s="1"/>
  <c r="R494" i="3" s="1"/>
  <c r="N493" i="3"/>
  <c r="O493" i="3" s="1"/>
  <c r="P493" i="3" s="1"/>
  <c r="R493" i="3" s="1"/>
  <c r="N492" i="3"/>
  <c r="O492" i="3" s="1"/>
  <c r="P492" i="3" s="1"/>
  <c r="R492" i="3" s="1"/>
  <c r="N491" i="3"/>
  <c r="O491" i="3" s="1"/>
  <c r="P491" i="3" s="1"/>
  <c r="R491" i="3" s="1"/>
  <c r="N490" i="3"/>
  <c r="O490" i="3" s="1"/>
  <c r="P490" i="3" s="1"/>
  <c r="R490" i="3" s="1"/>
  <c r="N489" i="3"/>
  <c r="O489" i="3" s="1"/>
  <c r="P489" i="3" s="1"/>
  <c r="R489" i="3" s="1"/>
  <c r="N488" i="3"/>
  <c r="O488" i="3" s="1"/>
  <c r="P488" i="3" s="1"/>
  <c r="R488" i="3" s="1"/>
  <c r="N487" i="3"/>
  <c r="O487" i="3" s="1"/>
  <c r="P487" i="3" s="1"/>
  <c r="R487" i="3" s="1"/>
  <c r="N486" i="3"/>
  <c r="O486" i="3" s="1"/>
  <c r="P486" i="3" s="1"/>
  <c r="R486" i="3" s="1"/>
  <c r="N485" i="3"/>
  <c r="O485" i="3" s="1"/>
  <c r="P485" i="3" s="1"/>
  <c r="R485" i="3" s="1"/>
  <c r="N484" i="3"/>
  <c r="O484" i="3" s="1"/>
  <c r="P484" i="3" s="1"/>
  <c r="R484" i="3" s="1"/>
  <c r="N478" i="3"/>
  <c r="O478" i="3" s="1"/>
  <c r="P478" i="3" s="1"/>
  <c r="R478" i="3" s="1"/>
  <c r="N477" i="3"/>
  <c r="O477" i="3" s="1"/>
  <c r="P477" i="3" s="1"/>
  <c r="R477" i="3" s="1"/>
  <c r="N476" i="3"/>
  <c r="O476" i="3" s="1"/>
  <c r="P476" i="3" s="1"/>
  <c r="R476" i="3" s="1"/>
  <c r="N473" i="3"/>
  <c r="O473" i="3" s="1"/>
  <c r="P473" i="3" s="1"/>
  <c r="R473" i="3" s="1"/>
  <c r="N472" i="3"/>
  <c r="O472" i="3" s="1"/>
  <c r="P472" i="3" s="1"/>
  <c r="R472" i="3" s="1"/>
  <c r="N471" i="3"/>
  <c r="O471" i="3" s="1"/>
  <c r="P471" i="3" s="1"/>
  <c r="R471" i="3" s="1"/>
  <c r="N468" i="3"/>
  <c r="O468" i="3" s="1"/>
  <c r="P468" i="3" s="1"/>
  <c r="R468" i="3" s="1"/>
  <c r="N467" i="3"/>
  <c r="O467" i="3" s="1"/>
  <c r="P467" i="3" s="1"/>
  <c r="R467" i="3" s="1"/>
  <c r="I410" i="3"/>
  <c r="I405" i="3"/>
  <c r="I401" i="3"/>
  <c r="I393" i="3"/>
  <c r="I361" i="3"/>
  <c r="I354" i="3"/>
  <c r="I346" i="3"/>
  <c r="I343" i="3"/>
  <c r="I342" i="3"/>
  <c r="I337" i="3"/>
  <c r="I336" i="3"/>
  <c r="I330" i="3"/>
  <c r="I323" i="3"/>
  <c r="I322" i="3"/>
  <c r="I321" i="3"/>
  <c r="I200" i="3"/>
  <c r="I198" i="3"/>
  <c r="I197" i="3"/>
  <c r="I165" i="3"/>
  <c r="I164" i="3"/>
  <c r="I163" i="3"/>
  <c r="I162" i="3"/>
  <c r="I160" i="3"/>
  <c r="I159" i="3"/>
  <c r="I154" i="3"/>
  <c r="I153" i="3"/>
  <c r="I152" i="3"/>
  <c r="I150" i="3"/>
  <c r="I142" i="3"/>
  <c r="I118" i="3"/>
  <c r="I117" i="3"/>
  <c r="I97" i="3"/>
  <c r="I85" i="3"/>
  <c r="I84" i="3"/>
  <c r="I75" i="3"/>
  <c r="I74" i="3"/>
  <c r="I73" i="3"/>
  <c r="I64" i="3"/>
  <c r="I62" i="3"/>
  <c r="I57" i="3"/>
  <c r="I464" i="3"/>
  <c r="I463" i="3"/>
  <c r="I462" i="3"/>
  <c r="I460" i="3"/>
  <c r="I453" i="3"/>
  <c r="I451" i="3"/>
  <c r="I441" i="3"/>
  <c r="I440" i="3"/>
  <c r="I434" i="3"/>
  <c r="I433" i="3"/>
  <c r="I431" i="3"/>
  <c r="I425" i="3"/>
  <c r="I422" i="3"/>
  <c r="I417" i="3"/>
  <c r="I413" i="3"/>
  <c r="I412" i="3"/>
  <c r="I398" i="3"/>
  <c r="I382" i="3"/>
  <c r="I381" i="3"/>
  <c r="I372" i="3"/>
  <c r="I345" i="3"/>
  <c r="I319" i="3"/>
  <c r="I314" i="3"/>
  <c r="I311" i="3"/>
  <c r="I305" i="3"/>
  <c r="I302" i="3"/>
  <c r="I301" i="3"/>
  <c r="I300" i="3"/>
  <c r="I285" i="3"/>
  <c r="I272" i="3"/>
  <c r="I265" i="3"/>
  <c r="I264" i="3"/>
  <c r="I263" i="3"/>
  <c r="I262" i="3"/>
  <c r="I248" i="3"/>
  <c r="I246" i="3"/>
  <c r="I238" i="3"/>
  <c r="I237" i="3"/>
  <c r="I234" i="3"/>
  <c r="I232" i="3"/>
  <c r="I231" i="3"/>
  <c r="I224" i="3"/>
  <c r="I207" i="3"/>
  <c r="I204" i="3"/>
  <c r="I189" i="3"/>
  <c r="I166" i="3"/>
  <c r="I145" i="3"/>
  <c r="I128" i="3"/>
  <c r="I122" i="3"/>
  <c r="I113" i="3"/>
  <c r="I112" i="3"/>
  <c r="I83" i="3"/>
  <c r="I63" i="3"/>
  <c r="I459" i="3"/>
  <c r="I458" i="3"/>
  <c r="I452" i="3"/>
  <c r="I442" i="3"/>
  <c r="I432" i="3"/>
  <c r="I430" i="3"/>
  <c r="I429" i="3"/>
  <c r="I427" i="3"/>
  <c r="I426" i="3"/>
  <c r="I424" i="3"/>
  <c r="I423" i="3"/>
  <c r="I421" i="3"/>
  <c r="I416" i="3"/>
  <c r="I411" i="3"/>
  <c r="I409" i="3"/>
  <c r="I408" i="3"/>
  <c r="I406" i="3"/>
  <c r="I400" i="3"/>
  <c r="I399" i="3"/>
  <c r="I394" i="3"/>
  <c r="I392" i="3"/>
  <c r="I391" i="3"/>
  <c r="I388" i="3"/>
  <c r="I386" i="3"/>
  <c r="I383" i="3"/>
  <c r="I379" i="3"/>
  <c r="I378" i="3"/>
  <c r="I377" i="3"/>
  <c r="I367" i="3"/>
  <c r="I351" i="3"/>
  <c r="I350" i="3"/>
  <c r="I349" i="3"/>
  <c r="I348" i="3"/>
  <c r="I347" i="3"/>
  <c r="I344" i="3"/>
  <c r="I341" i="3"/>
  <c r="I340" i="3"/>
  <c r="I335" i="3"/>
  <c r="I334" i="3"/>
  <c r="I332" i="3"/>
  <c r="I328" i="3"/>
  <c r="I324" i="3"/>
  <c r="I318" i="3"/>
  <c r="I317" i="3"/>
  <c r="I316" i="3"/>
  <c r="I315" i="3"/>
  <c r="I313" i="3"/>
  <c r="I312" i="3"/>
  <c r="I310" i="3"/>
  <c r="I309" i="3"/>
  <c r="I306" i="3"/>
  <c r="I289" i="3"/>
  <c r="I271" i="3"/>
  <c r="I266" i="3"/>
  <c r="I254" i="3"/>
  <c r="I250" i="3"/>
  <c r="I249" i="3"/>
  <c r="I247" i="3"/>
  <c r="I243" i="3"/>
  <c r="I235" i="3"/>
  <c r="I202" i="3"/>
  <c r="I199" i="3"/>
  <c r="I190" i="3"/>
  <c r="I188" i="3"/>
  <c r="I182" i="3"/>
  <c r="I181" i="3"/>
  <c r="I177" i="3"/>
  <c r="I176" i="3"/>
  <c r="I175" i="3"/>
  <c r="I174" i="3"/>
  <c r="I173" i="3"/>
  <c r="I172" i="3"/>
  <c r="I161" i="3"/>
  <c r="I156" i="3"/>
  <c r="I151" i="3"/>
  <c r="I147" i="3"/>
  <c r="I143" i="3"/>
  <c r="I141" i="3"/>
  <c r="I140" i="3"/>
  <c r="I139" i="3"/>
  <c r="I138" i="3"/>
  <c r="I137" i="3"/>
  <c r="I135" i="3"/>
  <c r="I134" i="3"/>
  <c r="I133" i="3"/>
  <c r="I127" i="3"/>
  <c r="I124" i="3"/>
  <c r="I123" i="3"/>
  <c r="I121" i="3"/>
  <c r="I120" i="3"/>
  <c r="I119" i="3"/>
  <c r="I116" i="3"/>
  <c r="I114" i="3"/>
  <c r="I99" i="3"/>
  <c r="I98" i="3"/>
  <c r="I93" i="3"/>
  <c r="I92" i="3"/>
  <c r="I91" i="3"/>
  <c r="I90" i="3"/>
  <c r="I89" i="3"/>
  <c r="I72" i="3"/>
  <c r="I70" i="3"/>
  <c r="I68" i="3"/>
  <c r="I58" i="3"/>
  <c r="I53" i="3"/>
  <c r="I43" i="3"/>
  <c r="I39" i="3"/>
  <c r="I461" i="3"/>
  <c r="I428" i="3"/>
  <c r="I420" i="3"/>
  <c r="I404" i="3"/>
  <c r="I403" i="3"/>
  <c r="I402" i="3"/>
  <c r="I395" i="3"/>
  <c r="I387" i="3"/>
  <c r="I384" i="3"/>
  <c r="I380" i="3"/>
  <c r="I368" i="3"/>
  <c r="I356" i="3"/>
  <c r="I355" i="3"/>
  <c r="I339" i="3"/>
  <c r="I338" i="3"/>
  <c r="I333" i="3"/>
  <c r="I331" i="3"/>
  <c r="I327" i="3"/>
  <c r="I326" i="3"/>
  <c r="I325" i="3"/>
  <c r="I320" i="3"/>
  <c r="I308" i="3"/>
  <c r="I307" i="3"/>
  <c r="I258" i="3"/>
  <c r="I255" i="3"/>
  <c r="I242" i="3"/>
  <c r="I236" i="3"/>
  <c r="I206" i="3"/>
  <c r="I205" i="3"/>
  <c r="I203" i="3"/>
  <c r="I201" i="3"/>
  <c r="I195" i="3"/>
  <c r="I191" i="3"/>
  <c r="I187" i="3"/>
  <c r="I178" i="3"/>
  <c r="I155" i="3"/>
  <c r="I149" i="3"/>
  <c r="I148" i="3"/>
  <c r="I146" i="3"/>
  <c r="I144" i="3"/>
  <c r="I136" i="3"/>
  <c r="I129" i="3"/>
  <c r="I115" i="3"/>
  <c r="I111" i="3"/>
  <c r="I107" i="3"/>
  <c r="I102" i="3"/>
  <c r="I101" i="3"/>
  <c r="I100" i="3"/>
  <c r="I96" i="3"/>
  <c r="I95" i="3"/>
  <c r="I94" i="3"/>
  <c r="I86" i="3"/>
  <c r="I71" i="3"/>
  <c r="I69" i="3"/>
  <c r="I67" i="3"/>
  <c r="I61" i="3"/>
  <c r="I56" i="3"/>
  <c r="I52" i="3"/>
  <c r="I51" i="3"/>
  <c r="I50" i="3"/>
  <c r="I49" i="3"/>
  <c r="I48" i="3"/>
  <c r="I46" i="3"/>
  <c r="I45" i="3"/>
  <c r="I44" i="3"/>
  <c r="J19" i="3"/>
  <c r="H19" i="3"/>
  <c r="G19" i="3"/>
  <c r="F19" i="3"/>
  <c r="E19" i="3"/>
  <c r="D19" i="3"/>
  <c r="J16" i="3"/>
  <c r="H16" i="3"/>
  <c r="G16" i="3"/>
  <c r="F16" i="3"/>
  <c r="E16" i="3"/>
  <c r="D16" i="3"/>
  <c r="R55" i="3"/>
  <c r="R60" i="3"/>
  <c r="R66" i="3"/>
  <c r="R77" i="3"/>
  <c r="R80" i="3"/>
  <c r="R82" i="3"/>
  <c r="R88" i="3"/>
  <c r="R106" i="3"/>
  <c r="R105" i="3"/>
  <c r="R104" i="3"/>
  <c r="R466" i="3"/>
  <c r="R457" i="3"/>
  <c r="R448" i="3"/>
  <c r="R447" i="3"/>
  <c r="R446" i="3"/>
  <c r="R445" i="3"/>
  <c r="R444" i="3"/>
  <c r="R439" i="3"/>
  <c r="R419" i="3"/>
  <c r="R415" i="3"/>
  <c r="R397" i="3"/>
  <c r="R390" i="3"/>
  <c r="R376" i="3"/>
  <c r="R375" i="3"/>
  <c r="R374" i="3"/>
  <c r="R365" i="3"/>
  <c r="R363" i="3"/>
  <c r="R360" i="3"/>
  <c r="R358" i="3"/>
  <c r="R353" i="3"/>
  <c r="R304" i="3"/>
  <c r="R299" i="3"/>
  <c r="R298" i="3"/>
  <c r="R297" i="3"/>
  <c r="R295" i="3"/>
  <c r="R294" i="3"/>
  <c r="R293" i="3"/>
  <c r="R292" i="3"/>
  <c r="R291" i="3"/>
  <c r="R288" i="3"/>
  <c r="R287" i="3"/>
  <c r="R283" i="3"/>
  <c r="R282" i="3"/>
  <c r="R281" i="3"/>
  <c r="R280" i="3"/>
  <c r="R279" i="3"/>
  <c r="R278" i="3"/>
  <c r="R277" i="3"/>
  <c r="R276" i="3"/>
  <c r="R275" i="3"/>
  <c r="R274" i="3"/>
  <c r="R270" i="3"/>
  <c r="R269" i="3"/>
  <c r="R268" i="3"/>
  <c r="R261" i="3"/>
  <c r="R260" i="3"/>
  <c r="R257" i="3"/>
  <c r="R252" i="3"/>
  <c r="R245" i="3"/>
  <c r="R241" i="3"/>
  <c r="R240" i="3"/>
  <c r="R230" i="3"/>
  <c r="R229" i="3"/>
  <c r="R228" i="3"/>
  <c r="R227" i="3"/>
  <c r="R226" i="3"/>
  <c r="R222" i="3"/>
  <c r="R221" i="3"/>
  <c r="R220" i="3"/>
  <c r="R219" i="3"/>
  <c r="R218" i="3"/>
  <c r="R216" i="3"/>
  <c r="R215" i="3"/>
  <c r="R214" i="3"/>
  <c r="R213" i="3"/>
  <c r="R212" i="3"/>
  <c r="R211" i="3"/>
  <c r="R210" i="3"/>
  <c r="R209" i="3"/>
  <c r="R194" i="3"/>
  <c r="R193" i="3"/>
  <c r="R186" i="3"/>
  <c r="R184" i="3"/>
  <c r="R180" i="3"/>
  <c r="R171" i="3"/>
  <c r="R170" i="3"/>
  <c r="R169" i="3"/>
  <c r="R132" i="3"/>
  <c r="R110" i="3"/>
  <c r="R109" i="3"/>
  <c r="R126" i="3"/>
  <c r="J12" i="3"/>
  <c r="H12" i="3"/>
  <c r="G12" i="3"/>
  <c r="F12" i="3"/>
  <c r="E12" i="3"/>
  <c r="D12" i="3"/>
  <c r="R20" i="3"/>
  <c r="R13" i="3"/>
  <c r="H457" i="3" l="1"/>
  <c r="I36" i="3" l="1"/>
  <c r="H126" i="3"/>
  <c r="I126" i="3" s="1"/>
  <c r="J126" i="3" s="1"/>
  <c r="I168" i="3"/>
  <c r="I179" i="3"/>
  <c r="I192" i="3"/>
  <c r="I208" i="3"/>
  <c r="I217" i="3"/>
  <c r="I225" i="3"/>
  <c r="H241" i="3"/>
  <c r="I241" i="3" s="1"/>
  <c r="J241" i="3" s="1"/>
  <c r="H240" i="3"/>
  <c r="I240" i="3" s="1"/>
  <c r="J240" i="3" s="1"/>
  <c r="I239" i="3"/>
  <c r="H245" i="3"/>
  <c r="I245" i="3" s="1"/>
  <c r="J245" i="3" s="1"/>
  <c r="I256" i="3"/>
  <c r="I267" i="3"/>
  <c r="I273" i="3"/>
  <c r="I286" i="3"/>
  <c r="I290" i="3"/>
  <c r="I296" i="3"/>
  <c r="H304" i="3"/>
  <c r="I304" i="3" s="1"/>
  <c r="J304" i="3" s="1"/>
  <c r="I359" i="3"/>
  <c r="I352" i="3"/>
  <c r="H363" i="3"/>
  <c r="I363" i="3" s="1"/>
  <c r="J363" i="3" s="1"/>
  <c r="K363" i="3" s="1"/>
  <c r="L363" i="3" s="1"/>
  <c r="M363" i="3" s="1"/>
  <c r="N363" i="3" s="1"/>
  <c r="I373" i="3"/>
  <c r="I389" i="3"/>
  <c r="I396" i="3"/>
  <c r="I443" i="3"/>
  <c r="I456" i="3"/>
  <c r="I465" i="3"/>
  <c r="I438" i="3"/>
  <c r="I414" i="3"/>
  <c r="H419" i="3"/>
  <c r="I419" i="3" s="1"/>
  <c r="J419" i="3" s="1"/>
  <c r="I418" i="3"/>
  <c r="H184" i="3"/>
  <c r="I184" i="3" s="1"/>
  <c r="J184" i="3" s="1"/>
  <c r="I183" i="3"/>
  <c r="I108" i="3"/>
  <c r="I103" i="3"/>
  <c r="I362" i="3" l="1"/>
  <c r="K362" i="3" s="1"/>
  <c r="L362" i="3" s="1"/>
  <c r="M362" i="3" s="1"/>
  <c r="N362" i="3" s="1"/>
  <c r="I303" i="3"/>
  <c r="I244" i="3"/>
  <c r="I125" i="3"/>
  <c r="I167" i="3" l="1"/>
  <c r="I233" i="3"/>
  <c r="K266" i="3"/>
  <c r="L266" i="3" s="1"/>
  <c r="M266" i="3" s="1"/>
  <c r="N266" i="3" s="1"/>
  <c r="K271" i="3"/>
  <c r="L271" i="3" s="1"/>
  <c r="M271" i="3" s="1"/>
  <c r="N271" i="3" s="1"/>
  <c r="I253" i="3"/>
  <c r="K253" i="3" s="1"/>
  <c r="L253" i="3" s="1"/>
  <c r="M253" i="3" s="1"/>
  <c r="N253" i="3" s="1"/>
  <c r="I130" i="3"/>
  <c r="K77" i="3"/>
  <c r="L77" i="3" s="1"/>
  <c r="M77" i="3" s="1"/>
  <c r="I78" i="3"/>
  <c r="K136" i="3"/>
  <c r="L136" i="3" s="1"/>
  <c r="M136" i="3" s="1"/>
  <c r="N136" i="3" s="1"/>
  <c r="K135" i="3"/>
  <c r="L135" i="3" s="1"/>
  <c r="M135" i="3" s="1"/>
  <c r="N135" i="3" s="1"/>
  <c r="K97" i="3"/>
  <c r="L97" i="3" s="1"/>
  <c r="M97" i="3" s="1"/>
  <c r="N97" i="3" s="1"/>
  <c r="H60" i="3"/>
  <c r="I60" i="3" s="1"/>
  <c r="J60" i="3" s="1"/>
  <c r="I59" i="3" l="1"/>
  <c r="K76" i="3"/>
  <c r="L76" i="3" s="1"/>
  <c r="M76" i="3" s="1"/>
  <c r="I81" i="3"/>
  <c r="K81" i="3" s="1"/>
  <c r="L81" i="3" s="1"/>
  <c r="M81" i="3" s="1"/>
  <c r="N81" i="3" s="1"/>
  <c r="O81" i="3" s="1"/>
  <c r="P81" i="3" s="1"/>
  <c r="I87" i="3"/>
  <c r="H42" i="3"/>
  <c r="I42" i="3" s="1"/>
  <c r="J42" i="3" s="1"/>
  <c r="H41" i="3"/>
  <c r="I41" i="3" s="1"/>
  <c r="J41" i="3" s="1"/>
  <c r="I40" i="3"/>
  <c r="I35" i="3"/>
  <c r="H34" i="3"/>
  <c r="I34" i="3" s="1"/>
  <c r="J34" i="3" s="1"/>
  <c r="H33" i="3"/>
  <c r="I33" i="3" s="1"/>
  <c r="J33" i="3" s="1"/>
  <c r="I32" i="3"/>
  <c r="H20" i="3"/>
  <c r="I20" i="3" s="1"/>
  <c r="J20" i="3" s="1"/>
  <c r="I19" i="3"/>
  <c r="I31" i="3" l="1"/>
  <c r="I30" i="3"/>
  <c r="I27" i="3"/>
  <c r="I21" i="3"/>
  <c r="I16" i="3"/>
  <c r="I15" i="3"/>
  <c r="I14" i="3"/>
  <c r="I11" i="3"/>
  <c r="I10" i="3" l="1"/>
  <c r="S466" i="3"/>
  <c r="H466" i="3"/>
  <c r="I466" i="3" s="1"/>
  <c r="Q465" i="3"/>
  <c r="Q464" i="3"/>
  <c r="Q463" i="3"/>
  <c r="K463" i="3"/>
  <c r="Q462" i="3"/>
  <c r="K462" i="3"/>
  <c r="Q461" i="3"/>
  <c r="K461" i="3"/>
  <c r="Q460" i="3"/>
  <c r="K460" i="3"/>
  <c r="Q459" i="3"/>
  <c r="K459" i="3"/>
  <c r="Q458" i="3"/>
  <c r="K458" i="3"/>
  <c r="S457" i="3"/>
  <c r="I457" i="3"/>
  <c r="Q456" i="3"/>
  <c r="Q455" i="3"/>
  <c r="K455" i="3"/>
  <c r="Q454" i="3"/>
  <c r="K454" i="3"/>
  <c r="Q453" i="3"/>
  <c r="K453" i="3"/>
  <c r="S452" i="3"/>
  <c r="K452" i="3"/>
  <c r="S451" i="3"/>
  <c r="K451" i="3"/>
  <c r="Q450" i="3"/>
  <c r="K450" i="3"/>
  <c r="Q449" i="3"/>
  <c r="S448" i="3"/>
  <c r="H448" i="3"/>
  <c r="I448" i="3" s="1"/>
  <c r="S447" i="3"/>
  <c r="H447" i="3"/>
  <c r="I447" i="3" s="1"/>
  <c r="S446" i="3"/>
  <c r="H446" i="3"/>
  <c r="I446" i="3" s="1"/>
  <c r="S445" i="3"/>
  <c r="H445" i="3"/>
  <c r="I445" i="3" s="1"/>
  <c r="S444" i="3"/>
  <c r="H444" i="3"/>
  <c r="I444" i="3" s="1"/>
  <c r="Q443" i="3"/>
  <c r="Q442" i="3"/>
  <c r="Q441" i="3"/>
  <c r="K441" i="3"/>
  <c r="Q440" i="3"/>
  <c r="S439" i="3"/>
  <c r="H439" i="3"/>
  <c r="I439" i="3" s="1"/>
  <c r="K439" i="3" s="1"/>
  <c r="Q438" i="3"/>
  <c r="Q437" i="3"/>
  <c r="K437" i="3"/>
  <c r="Q436" i="3"/>
  <c r="Q435" i="3"/>
  <c r="K435" i="3"/>
  <c r="S434" i="3"/>
  <c r="K434" i="3"/>
  <c r="S433" i="3"/>
  <c r="K433" i="3"/>
  <c r="Q432" i="3"/>
  <c r="K432" i="3"/>
  <c r="S431" i="3"/>
  <c r="K431" i="3"/>
  <c r="S430" i="3"/>
  <c r="K430" i="3"/>
  <c r="S429" i="3"/>
  <c r="K429" i="3"/>
  <c r="S428" i="3"/>
  <c r="K428" i="3"/>
  <c r="Q427" i="3"/>
  <c r="K427" i="3"/>
  <c r="Q426" i="3"/>
  <c r="K426" i="3"/>
  <c r="Q425" i="3"/>
  <c r="K425" i="3"/>
  <c r="S424" i="3"/>
  <c r="K424" i="3"/>
  <c r="S423" i="3"/>
  <c r="K423" i="3"/>
  <c r="Q422" i="3"/>
  <c r="K422" i="3"/>
  <c r="S421" i="3"/>
  <c r="K421" i="3"/>
  <c r="Q420" i="3"/>
  <c r="K420" i="3"/>
  <c r="S419" i="3"/>
  <c r="Q418" i="3"/>
  <c r="Q417" i="3"/>
  <c r="K417" i="3"/>
  <c r="Q416" i="3"/>
  <c r="K416" i="3"/>
  <c r="S415" i="3"/>
  <c r="H415" i="3"/>
  <c r="I415" i="3" s="1"/>
  <c r="Q414" i="3"/>
  <c r="S413" i="3"/>
  <c r="K413" i="3"/>
  <c r="S412" i="3"/>
  <c r="K412" i="3"/>
  <c r="S411" i="3"/>
  <c r="K411" i="3"/>
  <c r="Q410" i="3"/>
  <c r="K410" i="3"/>
  <c r="S409" i="3"/>
  <c r="K409" i="3"/>
  <c r="Q408" i="3"/>
  <c r="K408" i="3"/>
  <c r="Q407" i="3"/>
  <c r="K407" i="3"/>
  <c r="Q406" i="3"/>
  <c r="K406" i="3"/>
  <c r="Q405" i="3"/>
  <c r="K405" i="3"/>
  <c r="Q404" i="3"/>
  <c r="K404" i="3"/>
  <c r="Q403" i="3"/>
  <c r="K403" i="3"/>
  <c r="Q402" i="3"/>
  <c r="K402" i="3"/>
  <c r="Q401" i="3"/>
  <c r="K401" i="3"/>
  <c r="Q400" i="3"/>
  <c r="K400" i="3"/>
  <c r="Q399" i="3"/>
  <c r="K399" i="3"/>
  <c r="Q398" i="3"/>
  <c r="K398" i="3"/>
  <c r="S397" i="3"/>
  <c r="H397" i="3"/>
  <c r="I397" i="3" s="1"/>
  <c r="Q396" i="3"/>
  <c r="Q395" i="3"/>
  <c r="K395" i="3"/>
  <c r="Q394" i="3"/>
  <c r="S393" i="3"/>
  <c r="K393" i="3"/>
  <c r="Q392" i="3"/>
  <c r="K392" i="3"/>
  <c r="S391" i="3"/>
  <c r="K391" i="3"/>
  <c r="S390" i="3"/>
  <c r="H390" i="3"/>
  <c r="I390" i="3" s="1"/>
  <c r="Q389" i="3"/>
  <c r="Q388" i="3"/>
  <c r="K388" i="3"/>
  <c r="Q387" i="3"/>
  <c r="K387" i="3"/>
  <c r="S386" i="3"/>
  <c r="K386" i="3"/>
  <c r="Q385" i="3"/>
  <c r="Q384" i="3"/>
  <c r="K384" i="3"/>
  <c r="Q383" i="3"/>
  <c r="K383" i="3"/>
  <c r="S382" i="3"/>
  <c r="K382" i="3"/>
  <c r="Q381" i="3"/>
  <c r="K381" i="3"/>
  <c r="S380" i="3"/>
  <c r="K380" i="3"/>
  <c r="S379" i="3"/>
  <c r="K379" i="3"/>
  <c r="Q378" i="3"/>
  <c r="K378" i="3"/>
  <c r="Q377" i="3"/>
  <c r="K377" i="3"/>
  <c r="S376" i="3"/>
  <c r="H376" i="3"/>
  <c r="I376" i="3" s="1"/>
  <c r="S375" i="3"/>
  <c r="H375" i="3"/>
  <c r="I375" i="3" s="1"/>
  <c r="S374" i="3"/>
  <c r="H374" i="3"/>
  <c r="I374" i="3" s="1"/>
  <c r="Q373" i="3"/>
  <c r="S372" i="3"/>
  <c r="K372" i="3"/>
  <c r="Q371" i="3"/>
  <c r="K371" i="3"/>
  <c r="Q370" i="3"/>
  <c r="K370" i="3"/>
  <c r="Q369" i="3"/>
  <c r="K369" i="3"/>
  <c r="Q368" i="3"/>
  <c r="K368" i="3"/>
  <c r="Q367" i="3"/>
  <c r="K367" i="3"/>
  <c r="K366" i="3"/>
  <c r="S365" i="3"/>
  <c r="S363" i="3"/>
  <c r="Q362" i="3"/>
  <c r="Q361" i="3"/>
  <c r="K361" i="3"/>
  <c r="S360" i="3"/>
  <c r="H360" i="3"/>
  <c r="I360" i="3" s="1"/>
  <c r="Q359" i="3"/>
  <c r="S358" i="3"/>
  <c r="Q357" i="3"/>
  <c r="Q356" i="3"/>
  <c r="K356" i="3"/>
  <c r="S355" i="3"/>
  <c r="K355" i="3"/>
  <c r="S354" i="3"/>
  <c r="K354" i="3"/>
  <c r="S353" i="3"/>
  <c r="H353" i="3"/>
  <c r="I353" i="3" s="1"/>
  <c r="Q352" i="3"/>
  <c r="S351" i="3"/>
  <c r="K351" i="3"/>
  <c r="S350" i="3"/>
  <c r="K350" i="3"/>
  <c r="S349" i="3"/>
  <c r="K349" i="3"/>
  <c r="Q348" i="3"/>
  <c r="K348" i="3"/>
  <c r="Q347" i="3"/>
  <c r="K347" i="3"/>
  <c r="S346" i="3"/>
  <c r="K346" i="3"/>
  <c r="S345" i="3"/>
  <c r="K345" i="3"/>
  <c r="Q344" i="3"/>
  <c r="K344" i="3"/>
  <c r="Q343" i="3"/>
  <c r="K343" i="3"/>
  <c r="S342" i="3"/>
  <c r="K342" i="3"/>
  <c r="Q341" i="3"/>
  <c r="K341" i="3"/>
  <c r="Q340" i="3"/>
  <c r="K340" i="3"/>
  <c r="Q339" i="3"/>
  <c r="K339" i="3"/>
  <c r="Q338" i="3"/>
  <c r="K338" i="3"/>
  <c r="Q337" i="3"/>
  <c r="K337" i="3"/>
  <c r="Q336" i="3"/>
  <c r="K336" i="3"/>
  <c r="S335" i="3"/>
  <c r="K335" i="3"/>
  <c r="Q334" i="3"/>
  <c r="K334" i="3"/>
  <c r="S333" i="3"/>
  <c r="K333" i="3"/>
  <c r="S332" i="3"/>
  <c r="K332" i="3"/>
  <c r="S331" i="3"/>
  <c r="K331" i="3"/>
  <c r="Q330" i="3"/>
  <c r="K330" i="3"/>
  <c r="Q329" i="3"/>
  <c r="K329" i="3"/>
  <c r="S328" i="3"/>
  <c r="K328" i="3"/>
  <c r="S327" i="3"/>
  <c r="K327" i="3"/>
  <c r="S326" i="3"/>
  <c r="K326" i="3"/>
  <c r="Q325" i="3"/>
  <c r="K325" i="3"/>
  <c r="Q324" i="3"/>
  <c r="K324" i="3"/>
  <c r="S323" i="3"/>
  <c r="K323" i="3"/>
  <c r="S322" i="3"/>
  <c r="K322" i="3"/>
  <c r="Q321" i="3"/>
  <c r="K321" i="3"/>
  <c r="S320" i="3"/>
  <c r="K320" i="3"/>
  <c r="Q319" i="3"/>
  <c r="K319" i="3"/>
  <c r="Q318" i="3"/>
  <c r="K318" i="3"/>
  <c r="Q317" i="3"/>
  <c r="K317" i="3"/>
  <c r="Q316" i="3"/>
  <c r="K316" i="3"/>
  <c r="Q315" i="3"/>
  <c r="K315" i="3"/>
  <c r="S314" i="3"/>
  <c r="K314" i="3"/>
  <c r="S313" i="3"/>
  <c r="K313" i="3"/>
  <c r="Q312" i="3"/>
  <c r="K312" i="3"/>
  <c r="Q311" i="3"/>
  <c r="K311" i="3"/>
  <c r="Q310" i="3"/>
  <c r="K310" i="3"/>
  <c r="S309" i="3"/>
  <c r="K309" i="3"/>
  <c r="Q308" i="3"/>
  <c r="K308" i="3"/>
  <c r="Q307" i="3"/>
  <c r="K307" i="3"/>
  <c r="S306" i="3"/>
  <c r="K306" i="3"/>
  <c r="Q305" i="3"/>
  <c r="K305" i="3"/>
  <c r="S304" i="3"/>
  <c r="Q303" i="3"/>
  <c r="Q302" i="3"/>
  <c r="K302" i="3"/>
  <c r="S301" i="3"/>
  <c r="K301" i="3"/>
  <c r="Q300" i="3"/>
  <c r="K300" i="3"/>
  <c r="S299" i="3"/>
  <c r="H299" i="3"/>
  <c r="I299" i="3" s="1"/>
  <c r="S298" i="3"/>
  <c r="H298" i="3"/>
  <c r="I298" i="3" s="1"/>
  <c r="S297" i="3"/>
  <c r="H297" i="3"/>
  <c r="I297" i="3" s="1"/>
  <c r="Q296" i="3"/>
  <c r="S295" i="3"/>
  <c r="H295" i="3"/>
  <c r="I295" i="3" s="1"/>
  <c r="S294" i="3"/>
  <c r="H294" i="3"/>
  <c r="I294" i="3" s="1"/>
  <c r="S293" i="3"/>
  <c r="H293" i="3"/>
  <c r="I293" i="3" s="1"/>
  <c r="S292" i="3"/>
  <c r="H292" i="3"/>
  <c r="I292" i="3" s="1"/>
  <c r="S291" i="3"/>
  <c r="H291" i="3"/>
  <c r="I291" i="3" s="1"/>
  <c r="Q290" i="3"/>
  <c r="S289" i="3"/>
  <c r="S288" i="3"/>
  <c r="H288" i="3"/>
  <c r="I288" i="3" s="1"/>
  <c r="S287" i="3"/>
  <c r="H287" i="3"/>
  <c r="I287" i="3" s="1"/>
  <c r="S286" i="3"/>
  <c r="S285" i="3"/>
  <c r="K285" i="3"/>
  <c r="Q284" i="3"/>
  <c r="K284" i="3"/>
  <c r="S283" i="3"/>
  <c r="H283" i="3"/>
  <c r="I283" i="3" s="1"/>
  <c r="S282" i="3"/>
  <c r="H282" i="3"/>
  <c r="I282" i="3" s="1"/>
  <c r="S281" i="3"/>
  <c r="H281" i="3"/>
  <c r="I281" i="3" s="1"/>
  <c r="S280" i="3"/>
  <c r="H280" i="3"/>
  <c r="I280" i="3" s="1"/>
  <c r="S279" i="3"/>
  <c r="H279" i="3"/>
  <c r="I279" i="3" s="1"/>
  <c r="S278" i="3"/>
  <c r="H278" i="3"/>
  <c r="I278" i="3" s="1"/>
  <c r="S277" i="3"/>
  <c r="H277" i="3"/>
  <c r="I277" i="3" s="1"/>
  <c r="S276" i="3"/>
  <c r="H276" i="3"/>
  <c r="I276" i="3" s="1"/>
  <c r="S275" i="3"/>
  <c r="H275" i="3"/>
  <c r="I275" i="3" s="1"/>
  <c r="S274" i="3"/>
  <c r="H274" i="3"/>
  <c r="I274" i="3" s="1"/>
  <c r="Q273" i="3"/>
  <c r="S272" i="3"/>
  <c r="Q271" i="3"/>
  <c r="S270" i="3"/>
  <c r="J270" i="3"/>
  <c r="K270" i="3" s="1"/>
  <c r="S269" i="3"/>
  <c r="J269" i="3"/>
  <c r="K269" i="3" s="1"/>
  <c r="S268" i="3"/>
  <c r="J268" i="3"/>
  <c r="K268" i="3" s="1"/>
  <c r="Q267" i="3"/>
  <c r="Q266" i="3"/>
  <c r="S265" i="3"/>
  <c r="K265" i="3"/>
  <c r="Q264" i="3"/>
  <c r="S263" i="3"/>
  <c r="K263" i="3"/>
  <c r="S262" i="3"/>
  <c r="S261" i="3"/>
  <c r="S260" i="3"/>
  <c r="Q259" i="3"/>
  <c r="Q258" i="3"/>
  <c r="K258" i="3"/>
  <c r="S257" i="3"/>
  <c r="H257" i="3"/>
  <c r="I257" i="3" s="1"/>
  <c r="Q256" i="3"/>
  <c r="S255" i="3"/>
  <c r="S254" i="3"/>
  <c r="K254" i="3"/>
  <c r="Q253" i="3"/>
  <c r="S252" i="3"/>
  <c r="Q251" i="3"/>
  <c r="S250" i="3"/>
  <c r="K250" i="3"/>
  <c r="Q249" i="3"/>
  <c r="K249" i="3"/>
  <c r="Q248" i="3"/>
  <c r="K248" i="3"/>
  <c r="Q247" i="3"/>
  <c r="K247" i="3"/>
  <c r="Q246" i="3"/>
  <c r="K246" i="3"/>
  <c r="S245" i="3"/>
  <c r="Q244" i="3"/>
  <c r="S243" i="3"/>
  <c r="K243" i="3"/>
  <c r="S242" i="3"/>
  <c r="S241" i="3"/>
  <c r="S240" i="3"/>
  <c r="Q239" i="3"/>
  <c r="Q238" i="3"/>
  <c r="K238" i="3"/>
  <c r="Q237" i="3"/>
  <c r="Q236" i="3"/>
  <c r="K236" i="3"/>
  <c r="Q235" i="3"/>
  <c r="Q234" i="3"/>
  <c r="K234" i="3"/>
  <c r="Q233" i="3"/>
  <c r="K233" i="3"/>
  <c r="S232" i="3"/>
  <c r="K232" i="3"/>
  <c r="S231" i="3"/>
  <c r="K231" i="3"/>
  <c r="S230" i="3"/>
  <c r="S229" i="3"/>
  <c r="S228" i="3"/>
  <c r="S227" i="3"/>
  <c r="S226" i="3"/>
  <c r="Q225" i="3"/>
  <c r="Q224" i="3"/>
  <c r="Q223" i="3"/>
  <c r="K223" i="3"/>
  <c r="S222" i="3"/>
  <c r="S221" i="3"/>
  <c r="S220" i="3"/>
  <c r="S219" i="3"/>
  <c r="S218" i="3"/>
  <c r="Q217" i="3"/>
  <c r="S216" i="3"/>
  <c r="H216" i="3"/>
  <c r="I216" i="3" s="1"/>
  <c r="S215" i="3"/>
  <c r="H215" i="3"/>
  <c r="I215" i="3" s="1"/>
  <c r="S214" i="3"/>
  <c r="H214" i="3"/>
  <c r="I214" i="3" s="1"/>
  <c r="S213" i="3"/>
  <c r="H213" i="3"/>
  <c r="I213" i="3" s="1"/>
  <c r="S212" i="3"/>
  <c r="H212" i="3"/>
  <c r="I212" i="3" s="1"/>
  <c r="S211" i="3"/>
  <c r="H211" i="3"/>
  <c r="I211" i="3" s="1"/>
  <c r="S210" i="3"/>
  <c r="H210" i="3"/>
  <c r="I210" i="3" s="1"/>
  <c r="S209" i="3"/>
  <c r="H209" i="3"/>
  <c r="I209" i="3" s="1"/>
  <c r="Q208" i="3"/>
  <c r="S207" i="3"/>
  <c r="Q206" i="3"/>
  <c r="K206" i="3"/>
  <c r="S205" i="3"/>
  <c r="Q204" i="3"/>
  <c r="K204" i="3"/>
  <c r="Q203" i="3"/>
  <c r="Q202" i="3"/>
  <c r="K202" i="3"/>
  <c r="S201" i="3"/>
  <c r="Q200" i="3"/>
  <c r="K200" i="3"/>
  <c r="Q199" i="3"/>
  <c r="S198" i="3"/>
  <c r="K198" i="3"/>
  <c r="S197" i="3"/>
  <c r="Q196" i="3"/>
  <c r="K196" i="3"/>
  <c r="S195" i="3"/>
  <c r="S194" i="3"/>
  <c r="H194" i="3"/>
  <c r="I194" i="3" s="1"/>
  <c r="S193" i="3"/>
  <c r="H193" i="3"/>
  <c r="I193" i="3" s="1"/>
  <c r="Q192" i="3"/>
  <c r="Q191" i="3"/>
  <c r="K191" i="3"/>
  <c r="S190" i="3"/>
  <c r="Q189" i="3"/>
  <c r="S188" i="3"/>
  <c r="K188" i="3"/>
  <c r="S187" i="3"/>
  <c r="K187" i="3"/>
  <c r="Q185" i="3"/>
  <c r="S184" i="3"/>
  <c r="Q183" i="3"/>
  <c r="Q182" i="3"/>
  <c r="K182" i="3"/>
  <c r="S181" i="3"/>
  <c r="S180" i="3"/>
  <c r="H180" i="3"/>
  <c r="I180" i="3" s="1"/>
  <c r="Q179" i="3"/>
  <c r="S178" i="3"/>
  <c r="K178" i="3"/>
  <c r="S177" i="3"/>
  <c r="Q176" i="3"/>
  <c r="Q175" i="3"/>
  <c r="K175" i="3"/>
  <c r="Q174" i="3"/>
  <c r="Q173" i="3"/>
  <c r="K173" i="3"/>
  <c r="Q172" i="3"/>
  <c r="S171" i="3"/>
  <c r="H171" i="3"/>
  <c r="I171" i="3" s="1"/>
  <c r="S170" i="3"/>
  <c r="H170" i="3"/>
  <c r="I170" i="3" s="1"/>
  <c r="S169" i="3"/>
  <c r="H169" i="3"/>
  <c r="I169" i="3" s="1"/>
  <c r="Q168" i="3"/>
  <c r="Q167" i="3"/>
  <c r="K167" i="3"/>
  <c r="Q166" i="3"/>
  <c r="S165" i="3"/>
  <c r="K165" i="3"/>
  <c r="S164" i="3"/>
  <c r="S163" i="3"/>
  <c r="K163" i="3"/>
  <c r="S162" i="3"/>
  <c r="S161" i="3"/>
  <c r="K161" i="3"/>
  <c r="Q160" i="3"/>
  <c r="Q159" i="3"/>
  <c r="K159" i="3"/>
  <c r="S158" i="3"/>
  <c r="S157" i="3"/>
  <c r="Q156" i="3"/>
  <c r="S155" i="3"/>
  <c r="K155" i="3"/>
  <c r="S154" i="3"/>
  <c r="Q153" i="3"/>
  <c r="K153" i="3"/>
  <c r="Q152" i="3"/>
  <c r="Q151" i="3"/>
  <c r="K151" i="3"/>
  <c r="S150" i="3"/>
  <c r="Q149" i="3"/>
  <c r="K149" i="3"/>
  <c r="Q148" i="3"/>
  <c r="K148" i="3"/>
  <c r="Q147" i="3"/>
  <c r="K147" i="3"/>
  <c r="S146" i="3"/>
  <c r="K146" i="3"/>
  <c r="S145" i="3"/>
  <c r="K145" i="3"/>
  <c r="S144" i="3"/>
  <c r="K144" i="3"/>
  <c r="S143" i="3"/>
  <c r="K143" i="3"/>
  <c r="Q142" i="3"/>
  <c r="K142" i="3"/>
  <c r="Q141" i="3"/>
  <c r="K141" i="3"/>
  <c r="Q140" i="3"/>
  <c r="K140" i="3"/>
  <c r="S139" i="3"/>
  <c r="K139" i="3"/>
  <c r="S138" i="3"/>
  <c r="K138" i="3"/>
  <c r="S137" i="3"/>
  <c r="K137" i="3"/>
  <c r="S136" i="3"/>
  <c r="S135" i="3"/>
  <c r="Q134" i="3"/>
  <c r="K134" i="3"/>
  <c r="S133" i="3"/>
  <c r="K133" i="3"/>
  <c r="S132" i="3"/>
  <c r="Q131" i="3"/>
  <c r="Q130" i="3"/>
  <c r="K130" i="3"/>
  <c r="S129" i="3"/>
  <c r="Q128" i="3"/>
  <c r="K128" i="3"/>
  <c r="S127" i="3"/>
  <c r="K127" i="3"/>
  <c r="S126" i="3"/>
  <c r="Q125" i="3"/>
  <c r="Q124" i="3"/>
  <c r="K124" i="3"/>
  <c r="Q123" i="3"/>
  <c r="K123" i="3"/>
  <c r="Q122" i="3"/>
  <c r="K122" i="3"/>
  <c r="S121" i="3"/>
  <c r="K121" i="3"/>
  <c r="Q120" i="3"/>
  <c r="K120" i="3"/>
  <c r="S119" i="3"/>
  <c r="K119" i="3"/>
  <c r="S118" i="3"/>
  <c r="K118" i="3"/>
  <c r="Q117" i="3"/>
  <c r="K117" i="3"/>
  <c r="Q116" i="3"/>
  <c r="K116" i="3"/>
  <c r="Q115" i="3"/>
  <c r="K115" i="3"/>
  <c r="S114" i="3"/>
  <c r="K114" i="3"/>
  <c r="S113" i="3"/>
  <c r="K113" i="3"/>
  <c r="Q112" i="3"/>
  <c r="K112" i="3"/>
  <c r="S111" i="3"/>
  <c r="K111" i="3"/>
  <c r="S110" i="3"/>
  <c r="H110" i="3"/>
  <c r="I110" i="3" s="1"/>
  <c r="S109" i="3"/>
  <c r="H109" i="3"/>
  <c r="I109" i="3" s="1"/>
  <c r="Q108" i="3"/>
  <c r="S107" i="3"/>
  <c r="K107" i="3"/>
  <c r="S106" i="3"/>
  <c r="H106" i="3"/>
  <c r="I106" i="3" s="1"/>
  <c r="S105" i="3"/>
  <c r="H105" i="3"/>
  <c r="I105" i="3" s="1"/>
  <c r="S104" i="3"/>
  <c r="H104" i="3"/>
  <c r="I104" i="3" s="1"/>
  <c r="Q103" i="3"/>
  <c r="S102" i="3"/>
  <c r="K102" i="3"/>
  <c r="Q101" i="3"/>
  <c r="K101" i="3"/>
  <c r="Q100" i="3"/>
  <c r="K100" i="3"/>
  <c r="Q99" i="3"/>
  <c r="K99" i="3"/>
  <c r="Q98" i="3"/>
  <c r="K98" i="3"/>
  <c r="S97" i="3"/>
  <c r="Q96" i="3"/>
  <c r="K96" i="3"/>
  <c r="S95" i="3"/>
  <c r="Q94" i="3"/>
  <c r="K94" i="3"/>
  <c r="Q93" i="3"/>
  <c r="Q92" i="3"/>
  <c r="K92" i="3"/>
  <c r="Q91" i="3"/>
  <c r="S90" i="3"/>
  <c r="K90" i="3"/>
  <c r="Q89" i="3"/>
  <c r="S88" i="3"/>
  <c r="H88" i="3"/>
  <c r="I88" i="3" s="1"/>
  <c r="Q87" i="3"/>
  <c r="Q86" i="3"/>
  <c r="K86" i="3"/>
  <c r="Q85" i="3"/>
  <c r="K85" i="3"/>
  <c r="S84" i="3"/>
  <c r="K84" i="3"/>
  <c r="Q83" i="3"/>
  <c r="K83" i="3"/>
  <c r="S82" i="3"/>
  <c r="H82" i="3"/>
  <c r="I82" i="3" s="1"/>
  <c r="Q81" i="3"/>
  <c r="S80" i="3"/>
  <c r="Q79" i="3"/>
  <c r="Q78" i="3"/>
  <c r="K78" i="3"/>
  <c r="Q76" i="3"/>
  <c r="S75" i="3"/>
  <c r="K75" i="3"/>
  <c r="S74" i="3"/>
  <c r="S73" i="3"/>
  <c r="K73" i="3"/>
  <c r="Q72" i="3"/>
  <c r="Q71" i="3"/>
  <c r="K71" i="3"/>
  <c r="Q70" i="3"/>
  <c r="Q69" i="3"/>
  <c r="K69" i="3"/>
  <c r="Q68" i="3"/>
  <c r="Q67" i="3"/>
  <c r="K67" i="3"/>
  <c r="S66" i="3"/>
  <c r="Q65" i="3"/>
  <c r="Q64" i="3"/>
  <c r="S63" i="3"/>
  <c r="K63" i="3"/>
  <c r="Q62" i="3"/>
  <c r="Q61" i="3"/>
  <c r="K61" i="3"/>
  <c r="S60" i="3"/>
  <c r="Q59" i="3"/>
  <c r="Q58" i="3"/>
  <c r="K58" i="3"/>
  <c r="Q57" i="3"/>
  <c r="K57" i="3"/>
  <c r="Q56" i="3"/>
  <c r="K56" i="3"/>
  <c r="S55" i="3"/>
  <c r="H55" i="3"/>
  <c r="I55" i="3" s="1"/>
  <c r="Q54" i="3"/>
  <c r="Q53" i="3"/>
  <c r="K53" i="3"/>
  <c r="Q52" i="3"/>
  <c r="Q51" i="3"/>
  <c r="K51" i="3"/>
  <c r="S50" i="3"/>
  <c r="Q49" i="3"/>
  <c r="K49" i="3"/>
  <c r="Q48" i="3"/>
  <c r="S47" i="3"/>
  <c r="Q46" i="3"/>
  <c r="S45" i="3"/>
  <c r="K45" i="3"/>
  <c r="S44" i="3"/>
  <c r="S43" i="3"/>
  <c r="K43" i="3"/>
  <c r="S42" i="3"/>
  <c r="S41" i="3"/>
  <c r="Q40" i="3"/>
  <c r="Q39" i="3"/>
  <c r="K39" i="3"/>
  <c r="S38" i="3"/>
  <c r="H38" i="3"/>
  <c r="I38" i="3" s="1"/>
  <c r="S37" i="3"/>
  <c r="H37" i="3"/>
  <c r="I37" i="3" s="1"/>
  <c r="Q36" i="3"/>
  <c r="S35" i="3"/>
  <c r="K35" i="3"/>
  <c r="S34" i="3"/>
  <c r="S33" i="3"/>
  <c r="Q32" i="3"/>
  <c r="S31" i="3"/>
  <c r="K31" i="3"/>
  <c r="Q30" i="3"/>
  <c r="K30" i="3"/>
  <c r="H29" i="3"/>
  <c r="I29" i="3" s="1"/>
  <c r="H28" i="3"/>
  <c r="I28" i="3" s="1"/>
  <c r="Q27" i="3"/>
  <c r="S26" i="3"/>
  <c r="H26" i="3"/>
  <c r="I26" i="3" s="1"/>
  <c r="S25" i="3"/>
  <c r="H25" i="3"/>
  <c r="I25" i="3" s="1"/>
  <c r="S24" i="3"/>
  <c r="H24" i="3"/>
  <c r="I24" i="3" s="1"/>
  <c r="S23" i="3"/>
  <c r="H23" i="3"/>
  <c r="I23" i="3" s="1"/>
  <c r="S22" i="3"/>
  <c r="H22" i="3"/>
  <c r="I22" i="3" s="1"/>
  <c r="Q21" i="3"/>
  <c r="S20" i="3"/>
  <c r="Q19" i="3"/>
  <c r="S18" i="3"/>
  <c r="H18" i="3"/>
  <c r="I18" i="3" s="1"/>
  <c r="S17" i="3"/>
  <c r="H17" i="3"/>
  <c r="I17" i="3" s="1"/>
  <c r="Q16" i="3"/>
  <c r="S15" i="3"/>
  <c r="K15" i="3"/>
  <c r="S14" i="3"/>
  <c r="K14" i="3"/>
  <c r="S13" i="3"/>
  <c r="H13" i="3"/>
  <c r="I13" i="3" s="1"/>
  <c r="Q12" i="3"/>
  <c r="S11" i="3"/>
  <c r="K11" i="3"/>
  <c r="S10" i="3"/>
  <c r="K10" i="3"/>
  <c r="S449" i="3" l="1"/>
  <c r="R449" i="3"/>
  <c r="R81" i="3"/>
  <c r="S36" i="3"/>
  <c r="S39" i="3"/>
  <c r="S46" i="3"/>
  <c r="S48" i="3"/>
  <c r="S49" i="3"/>
  <c r="S52" i="3"/>
  <c r="S53" i="3"/>
  <c r="S59" i="3"/>
  <c r="S62" i="3"/>
  <c r="S65" i="3"/>
  <c r="S68" i="3"/>
  <c r="S69" i="3"/>
  <c r="S72" i="3"/>
  <c r="S76" i="3"/>
  <c r="S78" i="3"/>
  <c r="S81" i="3"/>
  <c r="S83" i="3"/>
  <c r="S85" i="3"/>
  <c r="S86" i="3"/>
  <c r="S89" i="3"/>
  <c r="S93" i="3"/>
  <c r="S94" i="3"/>
  <c r="S103" i="3"/>
  <c r="S125" i="3"/>
  <c r="S130" i="3"/>
  <c r="S134" i="3"/>
  <c r="S140" i="3"/>
  <c r="S141" i="3"/>
  <c r="S142" i="3"/>
  <c r="S147" i="3"/>
  <c r="S148" i="3"/>
  <c r="S149" i="3"/>
  <c r="S152" i="3"/>
  <c r="S153" i="3"/>
  <c r="S156" i="3"/>
  <c r="S160" i="3"/>
  <c r="S168" i="3"/>
  <c r="S174" i="3"/>
  <c r="S175" i="3"/>
  <c r="S182" i="3"/>
  <c r="S189" i="3"/>
  <c r="S192" i="3"/>
  <c r="S202" i="3"/>
  <c r="S206" i="3"/>
  <c r="S208" i="3"/>
  <c r="S223" i="3"/>
  <c r="S225" i="3"/>
  <c r="S235" i="3"/>
  <c r="S236" i="3"/>
  <c r="S239" i="3"/>
  <c r="S244" i="3"/>
  <c r="S251" i="3"/>
  <c r="S259" i="3"/>
  <c r="S264" i="3"/>
  <c r="S267" i="3"/>
  <c r="S271" i="3"/>
  <c r="S273" i="3"/>
  <c r="S284" i="3"/>
  <c r="S296" i="3"/>
  <c r="S300" i="3"/>
  <c r="S302" i="3"/>
  <c r="S305" i="3"/>
  <c r="S307" i="3"/>
  <c r="S308" i="3"/>
  <c r="S310" i="3"/>
  <c r="S311" i="3"/>
  <c r="S312" i="3"/>
  <c r="S315" i="3"/>
  <c r="S316" i="3"/>
  <c r="S317" i="3"/>
  <c r="S318" i="3"/>
  <c r="S319" i="3"/>
  <c r="S321" i="3"/>
  <c r="S324" i="3"/>
  <c r="S325" i="3"/>
  <c r="S329" i="3"/>
  <c r="S330" i="3"/>
  <c r="S334" i="3"/>
  <c r="S336" i="3"/>
  <c r="S337" i="3"/>
  <c r="S338" i="3"/>
  <c r="S339" i="3"/>
  <c r="S340" i="3"/>
  <c r="S341" i="3"/>
  <c r="S343" i="3"/>
  <c r="S344" i="3"/>
  <c r="S347" i="3"/>
  <c r="S348" i="3"/>
  <c r="S357" i="3"/>
  <c r="S362" i="3"/>
  <c r="S364" i="3"/>
  <c r="S366" i="3"/>
  <c r="S367" i="3"/>
  <c r="S368" i="3"/>
  <c r="S369" i="3"/>
  <c r="S370" i="3"/>
  <c r="S371" i="3"/>
  <c r="S385" i="3"/>
  <c r="S387" i="3"/>
  <c r="S388" i="3"/>
  <c r="S394" i="3"/>
  <c r="S395" i="3"/>
  <c r="S414" i="3"/>
  <c r="S416" i="3"/>
  <c r="S417" i="3"/>
  <c r="S420" i="3"/>
  <c r="S422" i="3"/>
  <c r="S425" i="3"/>
  <c r="S426" i="3"/>
  <c r="S427" i="3"/>
  <c r="S432" i="3"/>
  <c r="S435" i="3"/>
  <c r="S438" i="3"/>
  <c r="S442" i="3"/>
  <c r="S450" i="3"/>
  <c r="S453" i="3"/>
  <c r="S454" i="3"/>
  <c r="S455" i="3"/>
  <c r="S464" i="3"/>
  <c r="S40" i="3"/>
  <c r="S51" i="3"/>
  <c r="S54" i="3"/>
  <c r="S56" i="3"/>
  <c r="S57" i="3"/>
  <c r="S58" i="3"/>
  <c r="S61" i="3"/>
  <c r="S64" i="3"/>
  <c r="S67" i="3"/>
  <c r="S70" i="3"/>
  <c r="S71" i="3"/>
  <c r="S79" i="3"/>
  <c r="S87" i="3"/>
  <c r="S91" i="3"/>
  <c r="S92" i="3"/>
  <c r="S96" i="3"/>
  <c r="S98" i="3"/>
  <c r="S99" i="3"/>
  <c r="S100" i="3"/>
  <c r="S101" i="3"/>
  <c r="S108" i="3"/>
  <c r="S112" i="3"/>
  <c r="S115" i="3"/>
  <c r="S116" i="3"/>
  <c r="S117" i="3"/>
  <c r="S120" i="3"/>
  <c r="S122" i="3"/>
  <c r="S123" i="3"/>
  <c r="S124" i="3"/>
  <c r="S128" i="3"/>
  <c r="S131" i="3"/>
  <c r="S151" i="3"/>
  <c r="S159" i="3"/>
  <c r="S166" i="3"/>
  <c r="S167" i="3"/>
  <c r="S172" i="3"/>
  <c r="S173" i="3"/>
  <c r="S176" i="3"/>
  <c r="S179" i="3"/>
  <c r="S183" i="3"/>
  <c r="S185" i="3"/>
  <c r="S191" i="3"/>
  <c r="S196" i="3"/>
  <c r="S199" i="3"/>
  <c r="S200" i="3"/>
  <c r="S203" i="3"/>
  <c r="S204" i="3"/>
  <c r="S217" i="3"/>
  <c r="S224" i="3"/>
  <c r="S233" i="3"/>
  <c r="S234" i="3"/>
  <c r="S237" i="3"/>
  <c r="S238" i="3"/>
  <c r="S246" i="3"/>
  <c r="S247" i="3"/>
  <c r="S248" i="3"/>
  <c r="S249" i="3"/>
  <c r="S253" i="3"/>
  <c r="S256" i="3"/>
  <c r="S258" i="3"/>
  <c r="S266" i="3"/>
  <c r="S290" i="3"/>
  <c r="S303" i="3"/>
  <c r="S352" i="3"/>
  <c r="S356" i="3"/>
  <c r="S359" i="3"/>
  <c r="S361" i="3"/>
  <c r="S373" i="3"/>
  <c r="S377" i="3"/>
  <c r="S378" i="3"/>
  <c r="S381" i="3"/>
  <c r="S383" i="3"/>
  <c r="S384" i="3"/>
  <c r="S389" i="3"/>
  <c r="S392" i="3"/>
  <c r="S396" i="3"/>
  <c r="S398" i="3"/>
  <c r="S399" i="3"/>
  <c r="S400" i="3"/>
  <c r="S401" i="3"/>
  <c r="S402" i="3"/>
  <c r="S403" i="3"/>
  <c r="S404" i="3"/>
  <c r="S405" i="3"/>
  <c r="S406" i="3"/>
  <c r="S407" i="3"/>
  <c r="S408" i="3"/>
  <c r="S410" i="3"/>
  <c r="S418" i="3"/>
  <c r="S436" i="3"/>
  <c r="S437" i="3"/>
  <c r="S440" i="3"/>
  <c r="S441" i="3"/>
  <c r="S443" i="3"/>
  <c r="S456" i="3"/>
  <c r="S458" i="3"/>
  <c r="S459" i="3"/>
  <c r="S460" i="3"/>
  <c r="S461" i="3"/>
  <c r="S462" i="3"/>
  <c r="S463" i="3"/>
  <c r="S465" i="3"/>
  <c r="I47" i="3"/>
  <c r="K47" i="3" s="1"/>
  <c r="L47" i="3" s="1"/>
  <c r="M47" i="3" s="1"/>
  <c r="S12" i="3"/>
  <c r="S16" i="3"/>
  <c r="S19" i="3"/>
  <c r="S30" i="3"/>
  <c r="K129" i="3"/>
  <c r="K189" i="3"/>
  <c r="K235" i="3"/>
  <c r="L235" i="3" s="1"/>
  <c r="M235" i="3" s="1"/>
  <c r="K237" i="3"/>
  <c r="K242" i="3"/>
  <c r="L242" i="3" s="1"/>
  <c r="M242" i="3" s="1"/>
  <c r="K289" i="3"/>
  <c r="K394" i="3"/>
  <c r="K436" i="3"/>
  <c r="K440" i="3"/>
  <c r="K442" i="3"/>
  <c r="K464" i="3"/>
  <c r="S21" i="3"/>
  <c r="S27" i="3"/>
  <c r="S32" i="3"/>
  <c r="K44" i="3"/>
  <c r="L44" i="3" s="1"/>
  <c r="M44" i="3" s="1"/>
  <c r="K46" i="3"/>
  <c r="L46" i="3" s="1"/>
  <c r="M46" i="3" s="1"/>
  <c r="K48" i="3"/>
  <c r="L48" i="3" s="1"/>
  <c r="M48" i="3" s="1"/>
  <c r="K50" i="3"/>
  <c r="L50" i="3" s="1"/>
  <c r="M50" i="3" s="1"/>
  <c r="K52" i="3"/>
  <c r="L52" i="3" s="1"/>
  <c r="M52" i="3" s="1"/>
  <c r="K62" i="3"/>
  <c r="K64" i="3"/>
  <c r="L64" i="3" s="1"/>
  <c r="M64" i="3" s="1"/>
  <c r="K68" i="3"/>
  <c r="K70" i="3"/>
  <c r="L70" i="3" s="1"/>
  <c r="M70" i="3" s="1"/>
  <c r="K72" i="3"/>
  <c r="L72" i="3" s="1"/>
  <c r="M72" i="3" s="1"/>
  <c r="K74" i="3"/>
  <c r="L74" i="3" s="1"/>
  <c r="M74" i="3" s="1"/>
  <c r="K89" i="3"/>
  <c r="K91" i="3"/>
  <c r="K93" i="3"/>
  <c r="K95" i="3"/>
  <c r="K150" i="3"/>
  <c r="K152" i="3"/>
  <c r="K154" i="3"/>
  <c r="K156" i="3"/>
  <c r="K158" i="3"/>
  <c r="K160" i="3"/>
  <c r="K162" i="3"/>
  <c r="K164" i="3"/>
  <c r="K166" i="3"/>
  <c r="K172" i="3"/>
  <c r="L172" i="3" s="1"/>
  <c r="M172" i="3" s="1"/>
  <c r="K174" i="3"/>
  <c r="K177" i="3"/>
  <c r="K181" i="3"/>
  <c r="K190" i="3"/>
  <c r="K195" i="3"/>
  <c r="K197" i="3"/>
  <c r="K199" i="3"/>
  <c r="K201" i="3"/>
  <c r="K203" i="3"/>
  <c r="K205" i="3"/>
  <c r="K207" i="3"/>
  <c r="K224" i="3"/>
  <c r="L224" i="3" s="1"/>
  <c r="M224" i="3" s="1"/>
  <c r="K255" i="3"/>
  <c r="K262" i="3"/>
  <c r="L262" i="3" s="1"/>
  <c r="M262" i="3" s="1"/>
  <c r="K264" i="3"/>
  <c r="K272" i="3"/>
  <c r="L10" i="3"/>
  <c r="M10" i="3" s="1"/>
  <c r="L11" i="3"/>
  <c r="M11" i="3" s="1"/>
  <c r="J13" i="3"/>
  <c r="K13" i="3" s="1"/>
  <c r="L14" i="3"/>
  <c r="M14" i="3" s="1"/>
  <c r="L15" i="3"/>
  <c r="M15" i="3" s="1"/>
  <c r="J17" i="3"/>
  <c r="K17" i="3" s="1"/>
  <c r="J18" i="3"/>
  <c r="K18" i="3" s="1"/>
  <c r="K20" i="3"/>
  <c r="J22" i="3"/>
  <c r="K22" i="3" s="1"/>
  <c r="J23" i="3"/>
  <c r="K23" i="3" s="1"/>
  <c r="J24" i="3"/>
  <c r="K24" i="3" s="1"/>
  <c r="J25" i="3"/>
  <c r="K25" i="3" s="1"/>
  <c r="J26" i="3"/>
  <c r="K26" i="3" s="1"/>
  <c r="J28" i="3"/>
  <c r="K28" i="3" s="1"/>
  <c r="J29" i="3"/>
  <c r="K29" i="3" s="1"/>
  <c r="L30" i="3"/>
  <c r="M30" i="3" s="1"/>
  <c r="L31" i="3"/>
  <c r="M31" i="3" s="1"/>
  <c r="K33" i="3"/>
  <c r="K34" i="3"/>
  <c r="L35" i="3"/>
  <c r="M35" i="3" s="1"/>
  <c r="J37" i="3"/>
  <c r="K37" i="3" s="1"/>
  <c r="J38" i="3"/>
  <c r="K38" i="3" s="1"/>
  <c r="L39" i="3"/>
  <c r="M39" i="3" s="1"/>
  <c r="K41" i="3"/>
  <c r="K42" i="3"/>
  <c r="L43" i="3"/>
  <c r="M43" i="3" s="1"/>
  <c r="L45" i="3"/>
  <c r="M45" i="3" s="1"/>
  <c r="L49" i="3"/>
  <c r="M49" i="3" s="1"/>
  <c r="L51" i="3"/>
  <c r="M51" i="3" s="1"/>
  <c r="L53" i="3"/>
  <c r="M53" i="3" s="1"/>
  <c r="J55" i="3"/>
  <c r="K55" i="3" s="1"/>
  <c r="L56" i="3"/>
  <c r="M56" i="3" s="1"/>
  <c r="L57" i="3"/>
  <c r="M57" i="3" s="1"/>
  <c r="L58" i="3"/>
  <c r="M58" i="3" s="1"/>
  <c r="K60" i="3"/>
  <c r="L61" i="3"/>
  <c r="M61" i="3" s="1"/>
  <c r="L62" i="3"/>
  <c r="M62" i="3" s="1"/>
  <c r="L63" i="3"/>
  <c r="M63" i="3" s="1"/>
  <c r="K66" i="3"/>
  <c r="L67" i="3"/>
  <c r="M67" i="3" s="1"/>
  <c r="L68" i="3"/>
  <c r="M68" i="3" s="1"/>
  <c r="L69" i="3"/>
  <c r="M69" i="3" s="1"/>
  <c r="L71" i="3"/>
  <c r="M71" i="3" s="1"/>
  <c r="L73" i="3"/>
  <c r="M73" i="3" s="1"/>
  <c r="L75" i="3"/>
  <c r="M75" i="3" s="1"/>
  <c r="L78" i="3"/>
  <c r="M78" i="3" s="1"/>
  <c r="K80" i="3"/>
  <c r="J82" i="3"/>
  <c r="K82" i="3" s="1"/>
  <c r="L83" i="3"/>
  <c r="M83" i="3" s="1"/>
  <c r="L84" i="3"/>
  <c r="M84" i="3" s="1"/>
  <c r="L85" i="3"/>
  <c r="M85" i="3" s="1"/>
  <c r="L86" i="3"/>
  <c r="M86" i="3" s="1"/>
  <c r="J88" i="3"/>
  <c r="K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8" i="3"/>
  <c r="M98" i="3" s="1"/>
  <c r="L99" i="3"/>
  <c r="M99" i="3" s="1"/>
  <c r="L100" i="3"/>
  <c r="M100" i="3" s="1"/>
  <c r="L101" i="3"/>
  <c r="M101" i="3" s="1"/>
  <c r="L102" i="3"/>
  <c r="M102" i="3" s="1"/>
  <c r="J104" i="3"/>
  <c r="K104" i="3" s="1"/>
  <c r="J105" i="3"/>
  <c r="K105" i="3" s="1"/>
  <c r="J106" i="3"/>
  <c r="K106" i="3" s="1"/>
  <c r="L107" i="3"/>
  <c r="M107" i="3" s="1"/>
  <c r="J109" i="3"/>
  <c r="K109" i="3" s="1"/>
  <c r="J110" i="3"/>
  <c r="K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K126" i="3"/>
  <c r="L127" i="3"/>
  <c r="M127" i="3" s="1"/>
  <c r="L128" i="3"/>
  <c r="M128" i="3" s="1"/>
  <c r="L129" i="3"/>
  <c r="M129" i="3" s="1"/>
  <c r="L130" i="3"/>
  <c r="M130" i="3" s="1"/>
  <c r="K132" i="3"/>
  <c r="L133" i="3"/>
  <c r="M133" i="3" s="1"/>
  <c r="L134" i="3"/>
  <c r="M134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M160" i="3" s="1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J169" i="3"/>
  <c r="K169" i="3" s="1"/>
  <c r="J170" i="3"/>
  <c r="K170" i="3" s="1"/>
  <c r="J171" i="3"/>
  <c r="K171" i="3" s="1"/>
  <c r="L173" i="3"/>
  <c r="M173" i="3" s="1"/>
  <c r="L174" i="3"/>
  <c r="M174" i="3" s="1"/>
  <c r="L175" i="3"/>
  <c r="M175" i="3" s="1"/>
  <c r="L177" i="3"/>
  <c r="M177" i="3" s="1"/>
  <c r="L178" i="3"/>
  <c r="M178" i="3" s="1"/>
  <c r="J180" i="3"/>
  <c r="K180" i="3" s="1"/>
  <c r="L181" i="3"/>
  <c r="M181" i="3" s="1"/>
  <c r="L182" i="3"/>
  <c r="M182" i="3" s="1"/>
  <c r="K184" i="3"/>
  <c r="K186" i="3"/>
  <c r="L187" i="3"/>
  <c r="M187" i="3" s="1"/>
  <c r="L188" i="3"/>
  <c r="M188" i="3" s="1"/>
  <c r="L189" i="3"/>
  <c r="M189" i="3" s="1"/>
  <c r="L190" i="3"/>
  <c r="M190" i="3" s="1"/>
  <c r="L191" i="3"/>
  <c r="M191" i="3" s="1"/>
  <c r="J193" i="3"/>
  <c r="K193" i="3" s="1"/>
  <c r="J194" i="3"/>
  <c r="K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J209" i="3"/>
  <c r="K209" i="3" s="1"/>
  <c r="J210" i="3"/>
  <c r="K210" i="3" s="1"/>
  <c r="J211" i="3"/>
  <c r="K211" i="3" s="1"/>
  <c r="J212" i="3"/>
  <c r="K212" i="3" s="1"/>
  <c r="J213" i="3"/>
  <c r="K213" i="3" s="1"/>
  <c r="J214" i="3"/>
  <c r="K214" i="3" s="1"/>
  <c r="J215" i="3"/>
  <c r="K215" i="3" s="1"/>
  <c r="J216" i="3"/>
  <c r="K216" i="3" s="1"/>
  <c r="K218" i="3"/>
  <c r="K219" i="3"/>
  <c r="K220" i="3"/>
  <c r="K221" i="3"/>
  <c r="K222" i="3"/>
  <c r="L223" i="3"/>
  <c r="M223" i="3" s="1"/>
  <c r="K226" i="3"/>
  <c r="K227" i="3"/>
  <c r="K228" i="3"/>
  <c r="K229" i="3"/>
  <c r="K230" i="3"/>
  <c r="L231" i="3"/>
  <c r="M231" i="3" s="1"/>
  <c r="L232" i="3"/>
  <c r="M232" i="3" s="1"/>
  <c r="L233" i="3"/>
  <c r="M233" i="3" s="1"/>
  <c r="L234" i="3"/>
  <c r="M234" i="3" s="1"/>
  <c r="L236" i="3"/>
  <c r="M236" i="3" s="1"/>
  <c r="L237" i="3"/>
  <c r="M237" i="3" s="1"/>
  <c r="L238" i="3"/>
  <c r="M238" i="3" s="1"/>
  <c r="K240" i="3"/>
  <c r="K241" i="3"/>
  <c r="L243" i="3"/>
  <c r="M243" i="3" s="1"/>
  <c r="K245" i="3"/>
  <c r="L246" i="3"/>
  <c r="M246" i="3" s="1"/>
  <c r="L247" i="3"/>
  <c r="M247" i="3" s="1"/>
  <c r="L248" i="3"/>
  <c r="M248" i="3" s="1"/>
  <c r="L249" i="3"/>
  <c r="M249" i="3" s="1"/>
  <c r="L250" i="3"/>
  <c r="M250" i="3" s="1"/>
  <c r="K252" i="3"/>
  <c r="L254" i="3"/>
  <c r="M254" i="3" s="1"/>
  <c r="L255" i="3"/>
  <c r="M255" i="3" s="1"/>
  <c r="J257" i="3"/>
  <c r="K257" i="3" s="1"/>
  <c r="L258" i="3"/>
  <c r="M258" i="3" s="1"/>
  <c r="K260" i="3"/>
  <c r="K261" i="3"/>
  <c r="L263" i="3"/>
  <c r="M263" i="3" s="1"/>
  <c r="L264" i="3"/>
  <c r="M264" i="3" s="1"/>
  <c r="L265" i="3"/>
  <c r="M265" i="3" s="1"/>
  <c r="L268" i="3"/>
  <c r="M268" i="3" s="1"/>
  <c r="L269" i="3"/>
  <c r="M269" i="3" s="1"/>
  <c r="L270" i="3"/>
  <c r="M270" i="3" s="1"/>
  <c r="L272" i="3"/>
  <c r="M272" i="3" s="1"/>
  <c r="J274" i="3"/>
  <c r="K274" i="3" s="1"/>
  <c r="J275" i="3"/>
  <c r="K275" i="3" s="1"/>
  <c r="J276" i="3"/>
  <c r="K276" i="3" s="1"/>
  <c r="J277" i="3"/>
  <c r="K277" i="3" s="1"/>
  <c r="J278" i="3"/>
  <c r="K278" i="3" s="1"/>
  <c r="J279" i="3"/>
  <c r="K279" i="3" s="1"/>
  <c r="J280" i="3"/>
  <c r="K280" i="3" s="1"/>
  <c r="J281" i="3"/>
  <c r="K281" i="3" s="1"/>
  <c r="J282" i="3"/>
  <c r="K282" i="3" s="1"/>
  <c r="J283" i="3"/>
  <c r="K283" i="3" s="1"/>
  <c r="L284" i="3"/>
  <c r="M284" i="3" s="1"/>
  <c r="L285" i="3"/>
  <c r="M285" i="3" s="1"/>
  <c r="J287" i="3"/>
  <c r="K287" i="3" s="1"/>
  <c r="J288" i="3"/>
  <c r="K288" i="3" s="1"/>
  <c r="L289" i="3"/>
  <c r="M289" i="3" s="1"/>
  <c r="J291" i="3"/>
  <c r="K291" i="3" s="1"/>
  <c r="J292" i="3"/>
  <c r="K292" i="3" s="1"/>
  <c r="J293" i="3"/>
  <c r="K293" i="3" s="1"/>
  <c r="J294" i="3"/>
  <c r="K294" i="3" s="1"/>
  <c r="J295" i="3"/>
  <c r="K295" i="3" s="1"/>
  <c r="J297" i="3"/>
  <c r="K297" i="3" s="1"/>
  <c r="J298" i="3"/>
  <c r="K298" i="3" s="1"/>
  <c r="J299" i="3"/>
  <c r="K299" i="3" s="1"/>
  <c r="L300" i="3"/>
  <c r="M300" i="3" s="1"/>
  <c r="L301" i="3"/>
  <c r="M301" i="3" s="1"/>
  <c r="L302" i="3"/>
  <c r="M302" i="3" s="1"/>
  <c r="K304" i="3"/>
  <c r="L305" i="3"/>
  <c r="M305" i="3" s="1"/>
  <c r="L306" i="3"/>
  <c r="M306" i="3" s="1"/>
  <c r="L307" i="3"/>
  <c r="M307" i="3" s="1"/>
  <c r="L308" i="3"/>
  <c r="M308" i="3" s="1"/>
  <c r="L309" i="3"/>
  <c r="M309" i="3" s="1"/>
  <c r="L310" i="3"/>
  <c r="M310" i="3" s="1"/>
  <c r="L311" i="3"/>
  <c r="M311" i="3" s="1"/>
  <c r="L312" i="3"/>
  <c r="M312" i="3" s="1"/>
  <c r="L313" i="3"/>
  <c r="M313" i="3" s="1"/>
  <c r="L314" i="3"/>
  <c r="M314" i="3" s="1"/>
  <c r="L315" i="3"/>
  <c r="M315" i="3" s="1"/>
  <c r="L316" i="3"/>
  <c r="M316" i="3" s="1"/>
  <c r="L317" i="3"/>
  <c r="M317" i="3" s="1"/>
  <c r="L318" i="3"/>
  <c r="M318" i="3" s="1"/>
  <c r="L319" i="3"/>
  <c r="M319" i="3" s="1"/>
  <c r="L320" i="3"/>
  <c r="M320" i="3" s="1"/>
  <c r="L321" i="3"/>
  <c r="M321" i="3" s="1"/>
  <c r="L322" i="3"/>
  <c r="M322" i="3" s="1"/>
  <c r="L323" i="3"/>
  <c r="M323" i="3" s="1"/>
  <c r="L324" i="3"/>
  <c r="M324" i="3" s="1"/>
  <c r="L325" i="3"/>
  <c r="M325" i="3" s="1"/>
  <c r="L326" i="3"/>
  <c r="M326" i="3" s="1"/>
  <c r="L327" i="3"/>
  <c r="M327" i="3" s="1"/>
  <c r="L328" i="3"/>
  <c r="M328" i="3" s="1"/>
  <c r="L329" i="3"/>
  <c r="M329" i="3" s="1"/>
  <c r="L330" i="3"/>
  <c r="M330" i="3" s="1"/>
  <c r="L331" i="3"/>
  <c r="M331" i="3" s="1"/>
  <c r="L332" i="3"/>
  <c r="M332" i="3" s="1"/>
  <c r="L333" i="3"/>
  <c r="M333" i="3" s="1"/>
  <c r="L334" i="3"/>
  <c r="M334" i="3" s="1"/>
  <c r="L335" i="3"/>
  <c r="M335" i="3" s="1"/>
  <c r="L336" i="3"/>
  <c r="M336" i="3" s="1"/>
  <c r="L337" i="3"/>
  <c r="M337" i="3" s="1"/>
  <c r="L338" i="3"/>
  <c r="M338" i="3" s="1"/>
  <c r="L339" i="3"/>
  <c r="M339" i="3" s="1"/>
  <c r="L340" i="3"/>
  <c r="M340" i="3" s="1"/>
  <c r="L341" i="3"/>
  <c r="M341" i="3" s="1"/>
  <c r="L342" i="3"/>
  <c r="M342" i="3" s="1"/>
  <c r="L343" i="3"/>
  <c r="M343" i="3" s="1"/>
  <c r="L344" i="3"/>
  <c r="M344" i="3" s="1"/>
  <c r="L345" i="3"/>
  <c r="M345" i="3" s="1"/>
  <c r="L346" i="3"/>
  <c r="M346" i="3" s="1"/>
  <c r="L347" i="3"/>
  <c r="M347" i="3" s="1"/>
  <c r="L348" i="3"/>
  <c r="M348" i="3" s="1"/>
  <c r="L349" i="3"/>
  <c r="M349" i="3" s="1"/>
  <c r="L350" i="3"/>
  <c r="M350" i="3" s="1"/>
  <c r="L351" i="3"/>
  <c r="M351" i="3" s="1"/>
  <c r="J353" i="3"/>
  <c r="K353" i="3" s="1"/>
  <c r="L354" i="3"/>
  <c r="M354" i="3" s="1"/>
  <c r="L355" i="3"/>
  <c r="M355" i="3" s="1"/>
  <c r="L356" i="3"/>
  <c r="M356" i="3" s="1"/>
  <c r="K358" i="3"/>
  <c r="J360" i="3"/>
  <c r="K360" i="3" s="1"/>
  <c r="L361" i="3"/>
  <c r="M361" i="3" s="1"/>
  <c r="K365" i="3"/>
  <c r="L366" i="3"/>
  <c r="M366" i="3" s="1"/>
  <c r="L367" i="3"/>
  <c r="M367" i="3" s="1"/>
  <c r="L368" i="3"/>
  <c r="M368" i="3" s="1"/>
  <c r="L369" i="3"/>
  <c r="M369" i="3" s="1"/>
  <c r="L370" i="3"/>
  <c r="M370" i="3" s="1"/>
  <c r="L371" i="3"/>
  <c r="M371" i="3" s="1"/>
  <c r="L372" i="3"/>
  <c r="M372" i="3" s="1"/>
  <c r="J374" i="3"/>
  <c r="K374" i="3" s="1"/>
  <c r="J375" i="3"/>
  <c r="K375" i="3" s="1"/>
  <c r="J376" i="3"/>
  <c r="K376" i="3" s="1"/>
  <c r="L377" i="3"/>
  <c r="M377" i="3" s="1"/>
  <c r="L378" i="3"/>
  <c r="M378" i="3" s="1"/>
  <c r="L379" i="3"/>
  <c r="M379" i="3" s="1"/>
  <c r="L380" i="3"/>
  <c r="M380" i="3" s="1"/>
  <c r="L381" i="3"/>
  <c r="M381" i="3" s="1"/>
  <c r="L382" i="3"/>
  <c r="M382" i="3" s="1"/>
  <c r="L383" i="3"/>
  <c r="M383" i="3" s="1"/>
  <c r="L384" i="3"/>
  <c r="M384" i="3" s="1"/>
  <c r="L386" i="3"/>
  <c r="M386" i="3" s="1"/>
  <c r="L387" i="3"/>
  <c r="M387" i="3" s="1"/>
  <c r="L388" i="3"/>
  <c r="M388" i="3" s="1"/>
  <c r="J390" i="3"/>
  <c r="K390" i="3" s="1"/>
  <c r="L391" i="3"/>
  <c r="M391" i="3" s="1"/>
  <c r="L392" i="3"/>
  <c r="M392" i="3" s="1"/>
  <c r="L393" i="3"/>
  <c r="M393" i="3" s="1"/>
  <c r="L394" i="3"/>
  <c r="M394" i="3" s="1"/>
  <c r="L395" i="3"/>
  <c r="M395" i="3" s="1"/>
  <c r="J397" i="3"/>
  <c r="K397" i="3" s="1"/>
  <c r="L398" i="3"/>
  <c r="M398" i="3" s="1"/>
  <c r="L399" i="3"/>
  <c r="M399" i="3" s="1"/>
  <c r="L400" i="3"/>
  <c r="M400" i="3" s="1"/>
  <c r="L401" i="3"/>
  <c r="M401" i="3" s="1"/>
  <c r="L402" i="3"/>
  <c r="M402" i="3" s="1"/>
  <c r="L403" i="3"/>
  <c r="M403" i="3" s="1"/>
  <c r="L404" i="3"/>
  <c r="M404" i="3" s="1"/>
  <c r="L405" i="3"/>
  <c r="M405" i="3" s="1"/>
  <c r="L406" i="3"/>
  <c r="M406" i="3" s="1"/>
  <c r="L407" i="3"/>
  <c r="M407" i="3" s="1"/>
  <c r="L408" i="3"/>
  <c r="M408" i="3" s="1"/>
  <c r="L409" i="3"/>
  <c r="M409" i="3" s="1"/>
  <c r="L410" i="3"/>
  <c r="M410" i="3" s="1"/>
  <c r="L411" i="3"/>
  <c r="M411" i="3" s="1"/>
  <c r="L412" i="3"/>
  <c r="M412" i="3" s="1"/>
  <c r="L413" i="3"/>
  <c r="M413" i="3" s="1"/>
  <c r="J415" i="3"/>
  <c r="K415" i="3" s="1"/>
  <c r="L416" i="3"/>
  <c r="M416" i="3" s="1"/>
  <c r="L417" i="3"/>
  <c r="M417" i="3" s="1"/>
  <c r="K419" i="3"/>
  <c r="L420" i="3"/>
  <c r="M420" i="3" s="1"/>
  <c r="L421" i="3"/>
  <c r="M421" i="3" s="1"/>
  <c r="L422" i="3"/>
  <c r="M422" i="3" s="1"/>
  <c r="L423" i="3"/>
  <c r="M423" i="3" s="1"/>
  <c r="L424" i="3"/>
  <c r="M424" i="3" s="1"/>
  <c r="L425" i="3"/>
  <c r="M425" i="3" s="1"/>
  <c r="L426" i="3"/>
  <c r="M426" i="3" s="1"/>
  <c r="L427" i="3"/>
  <c r="M427" i="3" s="1"/>
  <c r="L428" i="3"/>
  <c r="M428" i="3" s="1"/>
  <c r="L429" i="3"/>
  <c r="M429" i="3" s="1"/>
  <c r="L430" i="3"/>
  <c r="M430" i="3" s="1"/>
  <c r="L431" i="3"/>
  <c r="M431" i="3" s="1"/>
  <c r="L432" i="3"/>
  <c r="M432" i="3" s="1"/>
  <c r="L433" i="3"/>
  <c r="M433" i="3" s="1"/>
  <c r="L434" i="3"/>
  <c r="M434" i="3" s="1"/>
  <c r="L435" i="3"/>
  <c r="M435" i="3" s="1"/>
  <c r="L436" i="3"/>
  <c r="M436" i="3" s="1"/>
  <c r="L437" i="3"/>
  <c r="M437" i="3" s="1"/>
  <c r="L439" i="3"/>
  <c r="M439" i="3" s="1"/>
  <c r="L440" i="3"/>
  <c r="M440" i="3" s="1"/>
  <c r="L441" i="3"/>
  <c r="M441" i="3" s="1"/>
  <c r="L442" i="3"/>
  <c r="M442" i="3" s="1"/>
  <c r="J444" i="3"/>
  <c r="K444" i="3" s="1"/>
  <c r="J445" i="3"/>
  <c r="K445" i="3" s="1"/>
  <c r="J446" i="3"/>
  <c r="K446" i="3" s="1"/>
  <c r="J447" i="3"/>
  <c r="K447" i="3" s="1"/>
  <c r="J448" i="3"/>
  <c r="K448" i="3" s="1"/>
  <c r="L450" i="3"/>
  <c r="M450" i="3" s="1"/>
  <c r="L451" i="3"/>
  <c r="M451" i="3" s="1"/>
  <c r="L452" i="3"/>
  <c r="M452" i="3" s="1"/>
  <c r="L453" i="3"/>
  <c r="M453" i="3" s="1"/>
  <c r="L454" i="3"/>
  <c r="M454" i="3" s="1"/>
  <c r="L455" i="3"/>
  <c r="M455" i="3" s="1"/>
  <c r="K457" i="3"/>
  <c r="L458" i="3"/>
  <c r="M458" i="3" s="1"/>
  <c r="L459" i="3"/>
  <c r="M459" i="3" s="1"/>
  <c r="L460" i="3"/>
  <c r="M460" i="3" s="1"/>
  <c r="L461" i="3"/>
  <c r="M461" i="3" s="1"/>
  <c r="L462" i="3"/>
  <c r="M462" i="3" s="1"/>
  <c r="L463" i="3"/>
  <c r="M463" i="3" s="1"/>
  <c r="L464" i="3"/>
  <c r="M464" i="3" s="1"/>
  <c r="J466" i="3"/>
  <c r="K466" i="3" s="1"/>
  <c r="K16" i="3"/>
  <c r="K19" i="3"/>
  <c r="K21" i="3"/>
  <c r="K27" i="3"/>
  <c r="K32" i="3"/>
  <c r="K40" i="3"/>
  <c r="K59" i="3"/>
  <c r="K65" i="3"/>
  <c r="K79" i="3"/>
  <c r="K87" i="3"/>
  <c r="K103" i="3"/>
  <c r="K108" i="3"/>
  <c r="K125" i="3"/>
  <c r="K131" i="3"/>
  <c r="K168" i="3"/>
  <c r="K176" i="3"/>
  <c r="K179" i="3"/>
  <c r="K183" i="3"/>
  <c r="K185" i="3"/>
  <c r="K192" i="3"/>
  <c r="K208" i="3"/>
  <c r="K217" i="3"/>
  <c r="K225" i="3"/>
  <c r="K239" i="3"/>
  <c r="K244" i="3"/>
  <c r="K251" i="3"/>
  <c r="K256" i="3"/>
  <c r="K259" i="3"/>
  <c r="K267" i="3"/>
  <c r="K273" i="3"/>
  <c r="K286" i="3"/>
  <c r="K290" i="3"/>
  <c r="K296" i="3"/>
  <c r="K303" i="3"/>
  <c r="K352" i="3"/>
  <c r="K357" i="3"/>
  <c r="K359" i="3"/>
  <c r="K364" i="3"/>
  <c r="K373" i="3"/>
  <c r="K385" i="3"/>
  <c r="K389" i="3"/>
  <c r="K396" i="3"/>
  <c r="K414" i="3"/>
  <c r="K418" i="3"/>
  <c r="K438" i="3"/>
  <c r="K443" i="3"/>
  <c r="H449" i="3"/>
  <c r="I449" i="3" s="1"/>
  <c r="K456" i="3"/>
  <c r="K465" i="3"/>
  <c r="L82" i="3" l="1"/>
  <c r="M82" i="3" s="1"/>
  <c r="I54" i="3"/>
  <c r="K54" i="3" s="1"/>
  <c r="L54" i="3" s="1"/>
  <c r="M54" i="3" s="1"/>
  <c r="K36" i="3"/>
  <c r="L36" i="3" s="1"/>
  <c r="M36" i="3" s="1"/>
  <c r="I12" i="3"/>
  <c r="K12" i="3" s="1"/>
  <c r="L12" i="3" s="1"/>
  <c r="M12" i="3" s="1"/>
  <c r="L465" i="3"/>
  <c r="M465" i="3" s="1"/>
  <c r="L456" i="3"/>
  <c r="M456" i="3" s="1"/>
  <c r="J449" i="3"/>
  <c r="K449" i="3" s="1"/>
  <c r="L443" i="3"/>
  <c r="M443" i="3" s="1"/>
  <c r="L438" i="3"/>
  <c r="M438" i="3" s="1"/>
  <c r="L418" i="3"/>
  <c r="M418" i="3" s="1"/>
  <c r="L414" i="3"/>
  <c r="M414" i="3" s="1"/>
  <c r="L396" i="3"/>
  <c r="M396" i="3" s="1"/>
  <c r="L389" i="3"/>
  <c r="M389" i="3" s="1"/>
  <c r="L385" i="3"/>
  <c r="M385" i="3" s="1"/>
  <c r="L373" i="3"/>
  <c r="M373" i="3" s="1"/>
  <c r="L364" i="3"/>
  <c r="M364" i="3" s="1"/>
  <c r="L359" i="3"/>
  <c r="M359" i="3" s="1"/>
  <c r="L357" i="3"/>
  <c r="M357" i="3" s="1"/>
  <c r="L352" i="3"/>
  <c r="M352" i="3" s="1"/>
  <c r="L303" i="3"/>
  <c r="M303" i="3" s="1"/>
  <c r="L296" i="3"/>
  <c r="M296" i="3" s="1"/>
  <c r="L290" i="3"/>
  <c r="M290" i="3" s="1"/>
  <c r="L286" i="3"/>
  <c r="M286" i="3" s="1"/>
  <c r="L273" i="3"/>
  <c r="M273" i="3" s="1"/>
  <c r="L267" i="3"/>
  <c r="M267" i="3" s="1"/>
  <c r="L259" i="3"/>
  <c r="M259" i="3" s="1"/>
  <c r="L256" i="3"/>
  <c r="M256" i="3" s="1"/>
  <c r="L251" i="3"/>
  <c r="M251" i="3" s="1"/>
  <c r="L244" i="3"/>
  <c r="M244" i="3" s="1"/>
  <c r="L239" i="3"/>
  <c r="M239" i="3" s="1"/>
  <c r="L225" i="3"/>
  <c r="M225" i="3" s="1"/>
  <c r="L217" i="3"/>
  <c r="M217" i="3" s="1"/>
  <c r="L208" i="3"/>
  <c r="M208" i="3" s="1"/>
  <c r="L192" i="3"/>
  <c r="M192" i="3" s="1"/>
  <c r="L185" i="3"/>
  <c r="M185" i="3" s="1"/>
  <c r="L183" i="3"/>
  <c r="M183" i="3" s="1"/>
  <c r="L179" i="3"/>
  <c r="M179" i="3" s="1"/>
  <c r="L176" i="3"/>
  <c r="M176" i="3" s="1"/>
  <c r="L168" i="3"/>
  <c r="M168" i="3" s="1"/>
  <c r="L131" i="3"/>
  <c r="M131" i="3" s="1"/>
  <c r="L125" i="3"/>
  <c r="M125" i="3" s="1"/>
  <c r="L108" i="3"/>
  <c r="M108" i="3" s="1"/>
  <c r="L103" i="3"/>
  <c r="M103" i="3" s="1"/>
  <c r="L87" i="3"/>
  <c r="M87" i="3" s="1"/>
  <c r="L79" i="3"/>
  <c r="M79" i="3" s="1"/>
  <c r="L65" i="3"/>
  <c r="M65" i="3" s="1"/>
  <c r="L59" i="3"/>
  <c r="M59" i="3" s="1"/>
  <c r="L40" i="3"/>
  <c r="M40" i="3" s="1"/>
  <c r="L32" i="3"/>
  <c r="M32" i="3" s="1"/>
  <c r="L27" i="3"/>
  <c r="M27" i="3" s="1"/>
  <c r="L21" i="3"/>
  <c r="M21" i="3" s="1"/>
  <c r="L19" i="3"/>
  <c r="M19" i="3" s="1"/>
  <c r="L16" i="3"/>
  <c r="M16" i="3" s="1"/>
  <c r="L466" i="3"/>
  <c r="M466" i="3" s="1"/>
  <c r="N464" i="3"/>
  <c r="O464" i="3" s="1"/>
  <c r="P464" i="3" s="1"/>
  <c r="R464" i="3" s="1"/>
  <c r="N463" i="3"/>
  <c r="O463" i="3" s="1"/>
  <c r="P463" i="3" s="1"/>
  <c r="R463" i="3" s="1"/>
  <c r="N462" i="3"/>
  <c r="O462" i="3" s="1"/>
  <c r="P462" i="3" s="1"/>
  <c r="R462" i="3" s="1"/>
  <c r="N461" i="3"/>
  <c r="O461" i="3" s="1"/>
  <c r="P461" i="3" s="1"/>
  <c r="R461" i="3" s="1"/>
  <c r="N460" i="3"/>
  <c r="O460" i="3" s="1"/>
  <c r="P460" i="3" s="1"/>
  <c r="R460" i="3" s="1"/>
  <c r="N459" i="3"/>
  <c r="O459" i="3" s="1"/>
  <c r="P459" i="3" s="1"/>
  <c r="R459" i="3" s="1"/>
  <c r="N458" i="3"/>
  <c r="O458" i="3" s="1"/>
  <c r="P458" i="3" s="1"/>
  <c r="R458" i="3" s="1"/>
  <c r="L457" i="3"/>
  <c r="M457" i="3" s="1"/>
  <c r="N455" i="3"/>
  <c r="O455" i="3" s="1"/>
  <c r="P455" i="3" s="1"/>
  <c r="R455" i="3" s="1"/>
  <c r="N454" i="3"/>
  <c r="O454" i="3" s="1"/>
  <c r="P454" i="3" s="1"/>
  <c r="R454" i="3" s="1"/>
  <c r="N453" i="3"/>
  <c r="O453" i="3" s="1"/>
  <c r="P453" i="3" s="1"/>
  <c r="R453" i="3" s="1"/>
  <c r="N452" i="3"/>
  <c r="O452" i="3" s="1"/>
  <c r="P452" i="3" s="1"/>
  <c r="R452" i="3" s="1"/>
  <c r="N451" i="3"/>
  <c r="O451" i="3" s="1"/>
  <c r="P451" i="3" s="1"/>
  <c r="R451" i="3" s="1"/>
  <c r="N450" i="3"/>
  <c r="O450" i="3" s="1"/>
  <c r="P450" i="3" s="1"/>
  <c r="R450" i="3" s="1"/>
  <c r="L448" i="3"/>
  <c r="M448" i="3" s="1"/>
  <c r="L447" i="3"/>
  <c r="M447" i="3" s="1"/>
  <c r="L446" i="3"/>
  <c r="M446" i="3" s="1"/>
  <c r="L445" i="3"/>
  <c r="M445" i="3" s="1"/>
  <c r="L444" i="3"/>
  <c r="M444" i="3" s="1"/>
  <c r="N442" i="3"/>
  <c r="O442" i="3" s="1"/>
  <c r="P442" i="3" s="1"/>
  <c r="R442" i="3" s="1"/>
  <c r="N441" i="3"/>
  <c r="O441" i="3" s="1"/>
  <c r="P441" i="3" s="1"/>
  <c r="R441" i="3" s="1"/>
  <c r="N440" i="3"/>
  <c r="O440" i="3" s="1"/>
  <c r="P440" i="3" s="1"/>
  <c r="R440" i="3" s="1"/>
  <c r="N439" i="3"/>
  <c r="O439" i="3" s="1"/>
  <c r="N437" i="3"/>
  <c r="O437" i="3" s="1"/>
  <c r="P437" i="3" s="1"/>
  <c r="R437" i="3" s="1"/>
  <c r="N436" i="3"/>
  <c r="O436" i="3" s="1"/>
  <c r="P436" i="3" s="1"/>
  <c r="R436" i="3" s="1"/>
  <c r="N435" i="3"/>
  <c r="O435" i="3" s="1"/>
  <c r="P435" i="3" s="1"/>
  <c r="R435" i="3" s="1"/>
  <c r="N434" i="3"/>
  <c r="O434" i="3" s="1"/>
  <c r="P434" i="3" s="1"/>
  <c r="R434" i="3" s="1"/>
  <c r="N433" i="3"/>
  <c r="O433" i="3" s="1"/>
  <c r="P433" i="3" s="1"/>
  <c r="R433" i="3" s="1"/>
  <c r="N432" i="3"/>
  <c r="O432" i="3" s="1"/>
  <c r="P432" i="3" s="1"/>
  <c r="R432" i="3" s="1"/>
  <c r="N431" i="3"/>
  <c r="O431" i="3" s="1"/>
  <c r="P431" i="3" s="1"/>
  <c r="R431" i="3" s="1"/>
  <c r="N430" i="3"/>
  <c r="O430" i="3" s="1"/>
  <c r="P430" i="3" s="1"/>
  <c r="R430" i="3" s="1"/>
  <c r="N429" i="3"/>
  <c r="O429" i="3" s="1"/>
  <c r="P429" i="3" s="1"/>
  <c r="R429" i="3" s="1"/>
  <c r="N428" i="3"/>
  <c r="O428" i="3" s="1"/>
  <c r="P428" i="3" s="1"/>
  <c r="R428" i="3" s="1"/>
  <c r="N427" i="3"/>
  <c r="O427" i="3" s="1"/>
  <c r="P427" i="3" s="1"/>
  <c r="R427" i="3" s="1"/>
  <c r="N426" i="3"/>
  <c r="O426" i="3" s="1"/>
  <c r="P426" i="3" s="1"/>
  <c r="R426" i="3" s="1"/>
  <c r="N425" i="3"/>
  <c r="O425" i="3" s="1"/>
  <c r="P425" i="3" s="1"/>
  <c r="R425" i="3" s="1"/>
  <c r="N424" i="3"/>
  <c r="O424" i="3" s="1"/>
  <c r="P424" i="3" s="1"/>
  <c r="R424" i="3" s="1"/>
  <c r="N423" i="3"/>
  <c r="O423" i="3" s="1"/>
  <c r="P423" i="3" s="1"/>
  <c r="R423" i="3" s="1"/>
  <c r="N422" i="3"/>
  <c r="O422" i="3" s="1"/>
  <c r="P422" i="3" s="1"/>
  <c r="R422" i="3" s="1"/>
  <c r="N421" i="3"/>
  <c r="O421" i="3" s="1"/>
  <c r="P421" i="3" s="1"/>
  <c r="R421" i="3" s="1"/>
  <c r="N420" i="3"/>
  <c r="O420" i="3" s="1"/>
  <c r="P420" i="3" s="1"/>
  <c r="R420" i="3" s="1"/>
  <c r="L419" i="3"/>
  <c r="M419" i="3" s="1"/>
  <c r="N417" i="3"/>
  <c r="O417" i="3" s="1"/>
  <c r="P417" i="3" s="1"/>
  <c r="R417" i="3" s="1"/>
  <c r="N416" i="3"/>
  <c r="O416" i="3" s="1"/>
  <c r="P416" i="3" s="1"/>
  <c r="R416" i="3" s="1"/>
  <c r="L415" i="3"/>
  <c r="M415" i="3" s="1"/>
  <c r="N413" i="3"/>
  <c r="O413" i="3" s="1"/>
  <c r="P413" i="3" s="1"/>
  <c r="R413" i="3" s="1"/>
  <c r="N412" i="3"/>
  <c r="O412" i="3" s="1"/>
  <c r="P412" i="3" s="1"/>
  <c r="R412" i="3" s="1"/>
  <c r="N411" i="3"/>
  <c r="O411" i="3" s="1"/>
  <c r="P411" i="3" s="1"/>
  <c r="R411" i="3" s="1"/>
  <c r="N410" i="3"/>
  <c r="O410" i="3" s="1"/>
  <c r="P410" i="3" s="1"/>
  <c r="R410" i="3" s="1"/>
  <c r="N409" i="3"/>
  <c r="O409" i="3" s="1"/>
  <c r="P409" i="3" s="1"/>
  <c r="R409" i="3" s="1"/>
  <c r="N408" i="3"/>
  <c r="O408" i="3" s="1"/>
  <c r="P408" i="3" s="1"/>
  <c r="R408" i="3" s="1"/>
  <c r="N407" i="3"/>
  <c r="O407" i="3" s="1"/>
  <c r="P407" i="3" s="1"/>
  <c r="R407" i="3" s="1"/>
  <c r="N406" i="3"/>
  <c r="O406" i="3" s="1"/>
  <c r="P406" i="3" s="1"/>
  <c r="R406" i="3" s="1"/>
  <c r="N405" i="3"/>
  <c r="O405" i="3" s="1"/>
  <c r="P405" i="3" s="1"/>
  <c r="R405" i="3" s="1"/>
  <c r="N404" i="3"/>
  <c r="O404" i="3" s="1"/>
  <c r="P404" i="3" s="1"/>
  <c r="R404" i="3" s="1"/>
  <c r="N403" i="3"/>
  <c r="O403" i="3" s="1"/>
  <c r="P403" i="3" s="1"/>
  <c r="R403" i="3" s="1"/>
  <c r="N402" i="3"/>
  <c r="O402" i="3" s="1"/>
  <c r="P402" i="3" s="1"/>
  <c r="R402" i="3" s="1"/>
  <c r="N401" i="3"/>
  <c r="O401" i="3" s="1"/>
  <c r="P401" i="3" s="1"/>
  <c r="R401" i="3" s="1"/>
  <c r="N400" i="3"/>
  <c r="O400" i="3" s="1"/>
  <c r="P400" i="3" s="1"/>
  <c r="R400" i="3" s="1"/>
  <c r="N399" i="3"/>
  <c r="O399" i="3" s="1"/>
  <c r="P399" i="3" s="1"/>
  <c r="R399" i="3" s="1"/>
  <c r="N398" i="3"/>
  <c r="O398" i="3" s="1"/>
  <c r="P398" i="3" s="1"/>
  <c r="R398" i="3" s="1"/>
  <c r="L397" i="3"/>
  <c r="M397" i="3" s="1"/>
  <c r="N395" i="3"/>
  <c r="O395" i="3" s="1"/>
  <c r="P395" i="3" s="1"/>
  <c r="R395" i="3" s="1"/>
  <c r="N394" i="3"/>
  <c r="O394" i="3" s="1"/>
  <c r="P394" i="3" s="1"/>
  <c r="R394" i="3" s="1"/>
  <c r="N393" i="3"/>
  <c r="O393" i="3" s="1"/>
  <c r="P393" i="3" s="1"/>
  <c r="R393" i="3" s="1"/>
  <c r="N392" i="3"/>
  <c r="O392" i="3" s="1"/>
  <c r="P392" i="3" s="1"/>
  <c r="R392" i="3" s="1"/>
  <c r="N391" i="3"/>
  <c r="O391" i="3" s="1"/>
  <c r="P391" i="3" s="1"/>
  <c r="R391" i="3" s="1"/>
  <c r="L390" i="3"/>
  <c r="M390" i="3" s="1"/>
  <c r="N388" i="3"/>
  <c r="O388" i="3" s="1"/>
  <c r="P388" i="3" s="1"/>
  <c r="R388" i="3" s="1"/>
  <c r="N387" i="3"/>
  <c r="O387" i="3" s="1"/>
  <c r="P387" i="3" s="1"/>
  <c r="R387" i="3" s="1"/>
  <c r="N386" i="3"/>
  <c r="O386" i="3" s="1"/>
  <c r="P386" i="3" s="1"/>
  <c r="R386" i="3" s="1"/>
  <c r="N384" i="3"/>
  <c r="O384" i="3" s="1"/>
  <c r="P384" i="3" s="1"/>
  <c r="R384" i="3" s="1"/>
  <c r="N383" i="3"/>
  <c r="O383" i="3" s="1"/>
  <c r="P383" i="3" s="1"/>
  <c r="R383" i="3" s="1"/>
  <c r="N382" i="3"/>
  <c r="O382" i="3" s="1"/>
  <c r="P382" i="3" s="1"/>
  <c r="R382" i="3" s="1"/>
  <c r="N381" i="3"/>
  <c r="O381" i="3" s="1"/>
  <c r="P381" i="3" s="1"/>
  <c r="R381" i="3" s="1"/>
  <c r="N380" i="3"/>
  <c r="O380" i="3" s="1"/>
  <c r="P380" i="3" s="1"/>
  <c r="R380" i="3" s="1"/>
  <c r="N379" i="3"/>
  <c r="O379" i="3" s="1"/>
  <c r="P379" i="3" s="1"/>
  <c r="R379" i="3" s="1"/>
  <c r="N378" i="3"/>
  <c r="O378" i="3" s="1"/>
  <c r="P378" i="3" s="1"/>
  <c r="R378" i="3" s="1"/>
  <c r="N377" i="3"/>
  <c r="O377" i="3" s="1"/>
  <c r="P377" i="3" s="1"/>
  <c r="R377" i="3" s="1"/>
  <c r="L376" i="3"/>
  <c r="M376" i="3" s="1"/>
  <c r="L375" i="3"/>
  <c r="M375" i="3" s="1"/>
  <c r="L374" i="3"/>
  <c r="M374" i="3" s="1"/>
  <c r="N372" i="3"/>
  <c r="O372" i="3" s="1"/>
  <c r="P372" i="3" s="1"/>
  <c r="R372" i="3" s="1"/>
  <c r="N371" i="3"/>
  <c r="O371" i="3" s="1"/>
  <c r="P371" i="3" s="1"/>
  <c r="R371" i="3" s="1"/>
  <c r="N370" i="3"/>
  <c r="O370" i="3" s="1"/>
  <c r="P370" i="3" s="1"/>
  <c r="R370" i="3" s="1"/>
  <c r="N369" i="3"/>
  <c r="O369" i="3" s="1"/>
  <c r="P369" i="3" s="1"/>
  <c r="R369" i="3" s="1"/>
  <c r="N368" i="3"/>
  <c r="O368" i="3" s="1"/>
  <c r="P368" i="3" s="1"/>
  <c r="R368" i="3" s="1"/>
  <c r="N367" i="3"/>
  <c r="O367" i="3" s="1"/>
  <c r="P367" i="3" s="1"/>
  <c r="R367" i="3" s="1"/>
  <c r="N366" i="3"/>
  <c r="O366" i="3" s="1"/>
  <c r="P366" i="3" s="1"/>
  <c r="R366" i="3" s="1"/>
  <c r="L365" i="3"/>
  <c r="M365" i="3" s="1"/>
  <c r="N361" i="3"/>
  <c r="O361" i="3" s="1"/>
  <c r="P361" i="3" s="1"/>
  <c r="R361" i="3" s="1"/>
  <c r="L360" i="3"/>
  <c r="M360" i="3" s="1"/>
  <c r="L358" i="3"/>
  <c r="M358" i="3" s="1"/>
  <c r="N356" i="3"/>
  <c r="O356" i="3" s="1"/>
  <c r="P356" i="3" s="1"/>
  <c r="R356" i="3" s="1"/>
  <c r="N355" i="3"/>
  <c r="O355" i="3" s="1"/>
  <c r="P355" i="3" s="1"/>
  <c r="R355" i="3" s="1"/>
  <c r="N354" i="3"/>
  <c r="O354" i="3" s="1"/>
  <c r="P354" i="3" s="1"/>
  <c r="R354" i="3" s="1"/>
  <c r="L353" i="3"/>
  <c r="M353" i="3" s="1"/>
  <c r="N351" i="3"/>
  <c r="O351" i="3" s="1"/>
  <c r="P351" i="3" s="1"/>
  <c r="R351" i="3" s="1"/>
  <c r="N350" i="3"/>
  <c r="O350" i="3" s="1"/>
  <c r="P350" i="3" s="1"/>
  <c r="R350" i="3" s="1"/>
  <c r="N349" i="3"/>
  <c r="O349" i="3" s="1"/>
  <c r="P349" i="3" s="1"/>
  <c r="R349" i="3" s="1"/>
  <c r="N348" i="3"/>
  <c r="O348" i="3" s="1"/>
  <c r="P348" i="3" s="1"/>
  <c r="R348" i="3" s="1"/>
  <c r="N347" i="3"/>
  <c r="O347" i="3" s="1"/>
  <c r="P347" i="3" s="1"/>
  <c r="R347" i="3" s="1"/>
  <c r="N346" i="3"/>
  <c r="O346" i="3" s="1"/>
  <c r="P346" i="3" s="1"/>
  <c r="R346" i="3" s="1"/>
  <c r="N345" i="3"/>
  <c r="O345" i="3" s="1"/>
  <c r="P345" i="3" s="1"/>
  <c r="R345" i="3" s="1"/>
  <c r="N344" i="3"/>
  <c r="O344" i="3" s="1"/>
  <c r="P344" i="3" s="1"/>
  <c r="R344" i="3" s="1"/>
  <c r="N343" i="3"/>
  <c r="O343" i="3" s="1"/>
  <c r="P343" i="3" s="1"/>
  <c r="R343" i="3" s="1"/>
  <c r="N342" i="3"/>
  <c r="O342" i="3" s="1"/>
  <c r="P342" i="3" s="1"/>
  <c r="R342" i="3" s="1"/>
  <c r="N341" i="3"/>
  <c r="O341" i="3" s="1"/>
  <c r="P341" i="3" s="1"/>
  <c r="R341" i="3" s="1"/>
  <c r="N340" i="3"/>
  <c r="O340" i="3" s="1"/>
  <c r="P340" i="3" s="1"/>
  <c r="R340" i="3" s="1"/>
  <c r="N339" i="3"/>
  <c r="O339" i="3" s="1"/>
  <c r="P339" i="3" s="1"/>
  <c r="R339" i="3" s="1"/>
  <c r="N338" i="3"/>
  <c r="O338" i="3" s="1"/>
  <c r="P338" i="3" s="1"/>
  <c r="R338" i="3" s="1"/>
  <c r="N337" i="3"/>
  <c r="O337" i="3" s="1"/>
  <c r="P337" i="3" s="1"/>
  <c r="R337" i="3" s="1"/>
  <c r="N336" i="3"/>
  <c r="O336" i="3" s="1"/>
  <c r="P336" i="3" s="1"/>
  <c r="R336" i="3" s="1"/>
  <c r="N335" i="3"/>
  <c r="O335" i="3" s="1"/>
  <c r="P335" i="3" s="1"/>
  <c r="R335" i="3" s="1"/>
  <c r="N334" i="3"/>
  <c r="O334" i="3" s="1"/>
  <c r="P334" i="3" s="1"/>
  <c r="R334" i="3" s="1"/>
  <c r="N333" i="3"/>
  <c r="O333" i="3" s="1"/>
  <c r="P333" i="3" s="1"/>
  <c r="R333" i="3" s="1"/>
  <c r="N332" i="3"/>
  <c r="O332" i="3" s="1"/>
  <c r="P332" i="3" s="1"/>
  <c r="R332" i="3" s="1"/>
  <c r="N331" i="3"/>
  <c r="O331" i="3" s="1"/>
  <c r="P331" i="3" s="1"/>
  <c r="R331" i="3" s="1"/>
  <c r="N330" i="3"/>
  <c r="O330" i="3" s="1"/>
  <c r="P330" i="3" s="1"/>
  <c r="R330" i="3" s="1"/>
  <c r="N329" i="3"/>
  <c r="O329" i="3" s="1"/>
  <c r="P329" i="3" s="1"/>
  <c r="R329" i="3" s="1"/>
  <c r="N328" i="3"/>
  <c r="O328" i="3" s="1"/>
  <c r="P328" i="3" s="1"/>
  <c r="R328" i="3" s="1"/>
  <c r="N327" i="3"/>
  <c r="O327" i="3" s="1"/>
  <c r="P327" i="3" s="1"/>
  <c r="R327" i="3" s="1"/>
  <c r="N326" i="3"/>
  <c r="O326" i="3" s="1"/>
  <c r="P326" i="3" s="1"/>
  <c r="R326" i="3" s="1"/>
  <c r="N325" i="3"/>
  <c r="O325" i="3" s="1"/>
  <c r="P325" i="3" s="1"/>
  <c r="R325" i="3" s="1"/>
  <c r="N324" i="3"/>
  <c r="O324" i="3" s="1"/>
  <c r="P324" i="3" s="1"/>
  <c r="R324" i="3" s="1"/>
  <c r="N323" i="3"/>
  <c r="O323" i="3" s="1"/>
  <c r="P323" i="3" s="1"/>
  <c r="R323" i="3" s="1"/>
  <c r="N322" i="3"/>
  <c r="O322" i="3" s="1"/>
  <c r="P322" i="3" s="1"/>
  <c r="R322" i="3" s="1"/>
  <c r="N321" i="3"/>
  <c r="O321" i="3" s="1"/>
  <c r="P321" i="3" s="1"/>
  <c r="R321" i="3" s="1"/>
  <c r="N320" i="3"/>
  <c r="O320" i="3" s="1"/>
  <c r="P320" i="3" s="1"/>
  <c r="R320" i="3" s="1"/>
  <c r="N319" i="3"/>
  <c r="O319" i="3" s="1"/>
  <c r="P319" i="3" s="1"/>
  <c r="R319" i="3" s="1"/>
  <c r="N318" i="3"/>
  <c r="O318" i="3" s="1"/>
  <c r="P318" i="3" s="1"/>
  <c r="R318" i="3" s="1"/>
  <c r="N317" i="3"/>
  <c r="O317" i="3" s="1"/>
  <c r="P317" i="3" s="1"/>
  <c r="R317" i="3" s="1"/>
  <c r="N316" i="3"/>
  <c r="O316" i="3" s="1"/>
  <c r="P316" i="3" s="1"/>
  <c r="R316" i="3" s="1"/>
  <c r="N315" i="3"/>
  <c r="O315" i="3" s="1"/>
  <c r="P315" i="3" s="1"/>
  <c r="R315" i="3" s="1"/>
  <c r="N314" i="3"/>
  <c r="O314" i="3" s="1"/>
  <c r="P314" i="3" s="1"/>
  <c r="R314" i="3" s="1"/>
  <c r="N313" i="3"/>
  <c r="O313" i="3" s="1"/>
  <c r="P313" i="3" s="1"/>
  <c r="R313" i="3" s="1"/>
  <c r="N312" i="3"/>
  <c r="O312" i="3" s="1"/>
  <c r="P312" i="3" s="1"/>
  <c r="R312" i="3" s="1"/>
  <c r="N311" i="3"/>
  <c r="O311" i="3" s="1"/>
  <c r="P311" i="3" s="1"/>
  <c r="R311" i="3" s="1"/>
  <c r="N310" i="3"/>
  <c r="O310" i="3" s="1"/>
  <c r="P310" i="3" s="1"/>
  <c r="R310" i="3" s="1"/>
  <c r="N309" i="3"/>
  <c r="O309" i="3" s="1"/>
  <c r="P309" i="3" s="1"/>
  <c r="R309" i="3" s="1"/>
  <c r="N308" i="3"/>
  <c r="O308" i="3" s="1"/>
  <c r="P308" i="3" s="1"/>
  <c r="R308" i="3" s="1"/>
  <c r="N307" i="3"/>
  <c r="O307" i="3" s="1"/>
  <c r="P307" i="3" s="1"/>
  <c r="R307" i="3" s="1"/>
  <c r="N306" i="3"/>
  <c r="O306" i="3" s="1"/>
  <c r="P306" i="3" s="1"/>
  <c r="R306" i="3" s="1"/>
  <c r="N305" i="3"/>
  <c r="O305" i="3" s="1"/>
  <c r="P305" i="3" s="1"/>
  <c r="R305" i="3" s="1"/>
  <c r="L304" i="3"/>
  <c r="M304" i="3" s="1"/>
  <c r="N302" i="3"/>
  <c r="O302" i="3" s="1"/>
  <c r="P302" i="3" s="1"/>
  <c r="R302" i="3" s="1"/>
  <c r="N301" i="3"/>
  <c r="O301" i="3" s="1"/>
  <c r="P301" i="3" s="1"/>
  <c r="R301" i="3" s="1"/>
  <c r="N300" i="3"/>
  <c r="O300" i="3" s="1"/>
  <c r="P300" i="3" s="1"/>
  <c r="R300" i="3" s="1"/>
  <c r="L299" i="3"/>
  <c r="M299" i="3" s="1"/>
  <c r="L298" i="3"/>
  <c r="M298" i="3" s="1"/>
  <c r="L297" i="3"/>
  <c r="M297" i="3" s="1"/>
  <c r="L295" i="3"/>
  <c r="M295" i="3" s="1"/>
  <c r="L294" i="3"/>
  <c r="M294" i="3" s="1"/>
  <c r="L293" i="3"/>
  <c r="M293" i="3" s="1"/>
  <c r="L292" i="3"/>
  <c r="M292" i="3" s="1"/>
  <c r="L291" i="3"/>
  <c r="M291" i="3" s="1"/>
  <c r="N289" i="3"/>
  <c r="O289" i="3" s="1"/>
  <c r="P289" i="3" s="1"/>
  <c r="R289" i="3" s="1"/>
  <c r="L288" i="3"/>
  <c r="M288" i="3" s="1"/>
  <c r="L287" i="3"/>
  <c r="M287" i="3" s="1"/>
  <c r="N285" i="3"/>
  <c r="O285" i="3" s="1"/>
  <c r="P285" i="3" s="1"/>
  <c r="R285" i="3" s="1"/>
  <c r="N284" i="3"/>
  <c r="O284" i="3" s="1"/>
  <c r="P284" i="3" s="1"/>
  <c r="R284" i="3" s="1"/>
  <c r="L283" i="3"/>
  <c r="M283" i="3" s="1"/>
  <c r="L282" i="3"/>
  <c r="M282" i="3" s="1"/>
  <c r="L281" i="3"/>
  <c r="M281" i="3" s="1"/>
  <c r="L280" i="3"/>
  <c r="M280" i="3" s="1"/>
  <c r="L279" i="3"/>
  <c r="M279" i="3" s="1"/>
  <c r="L278" i="3"/>
  <c r="M278" i="3" s="1"/>
  <c r="L277" i="3"/>
  <c r="M277" i="3" s="1"/>
  <c r="L276" i="3"/>
  <c r="M276" i="3" s="1"/>
  <c r="L275" i="3"/>
  <c r="M275" i="3" s="1"/>
  <c r="L274" i="3"/>
  <c r="M274" i="3" s="1"/>
  <c r="N272" i="3"/>
  <c r="O272" i="3" s="1"/>
  <c r="P272" i="3" s="1"/>
  <c r="R272" i="3" s="1"/>
  <c r="O271" i="3"/>
  <c r="P271" i="3" s="1"/>
  <c r="R271" i="3" s="1"/>
  <c r="N270" i="3"/>
  <c r="O270" i="3" s="1"/>
  <c r="N269" i="3"/>
  <c r="O269" i="3" s="1"/>
  <c r="N268" i="3"/>
  <c r="O268" i="3" s="1"/>
  <c r="O266" i="3"/>
  <c r="P266" i="3" s="1"/>
  <c r="R266" i="3" s="1"/>
  <c r="N265" i="3"/>
  <c r="O265" i="3" s="1"/>
  <c r="P265" i="3" s="1"/>
  <c r="R265" i="3" s="1"/>
  <c r="N264" i="3"/>
  <c r="O264" i="3" s="1"/>
  <c r="P264" i="3" s="1"/>
  <c r="R264" i="3" s="1"/>
  <c r="N263" i="3"/>
  <c r="O263" i="3" s="1"/>
  <c r="P263" i="3" s="1"/>
  <c r="R263" i="3" s="1"/>
  <c r="N262" i="3"/>
  <c r="O262" i="3" s="1"/>
  <c r="P262" i="3" s="1"/>
  <c r="R262" i="3" s="1"/>
  <c r="L261" i="3"/>
  <c r="M261" i="3" s="1"/>
  <c r="L260" i="3"/>
  <c r="M260" i="3" s="1"/>
  <c r="N258" i="3"/>
  <c r="O258" i="3" s="1"/>
  <c r="P258" i="3" s="1"/>
  <c r="R258" i="3" s="1"/>
  <c r="L257" i="3"/>
  <c r="M257" i="3" s="1"/>
  <c r="N255" i="3"/>
  <c r="O255" i="3" s="1"/>
  <c r="P255" i="3" s="1"/>
  <c r="R255" i="3" s="1"/>
  <c r="N254" i="3"/>
  <c r="O254" i="3" s="1"/>
  <c r="P254" i="3" s="1"/>
  <c r="R254" i="3" s="1"/>
  <c r="O253" i="3"/>
  <c r="P253" i="3" s="1"/>
  <c r="R253" i="3" s="1"/>
  <c r="L252" i="3"/>
  <c r="M252" i="3" s="1"/>
  <c r="N250" i="3"/>
  <c r="O250" i="3" s="1"/>
  <c r="P250" i="3" s="1"/>
  <c r="R250" i="3" s="1"/>
  <c r="N249" i="3"/>
  <c r="O249" i="3" s="1"/>
  <c r="P249" i="3" s="1"/>
  <c r="R249" i="3" s="1"/>
  <c r="N248" i="3"/>
  <c r="O248" i="3" s="1"/>
  <c r="P248" i="3" s="1"/>
  <c r="R248" i="3" s="1"/>
  <c r="N247" i="3"/>
  <c r="O247" i="3" s="1"/>
  <c r="P247" i="3" s="1"/>
  <c r="R247" i="3" s="1"/>
  <c r="N246" i="3"/>
  <c r="O246" i="3" s="1"/>
  <c r="P246" i="3" s="1"/>
  <c r="R246" i="3" s="1"/>
  <c r="L245" i="3"/>
  <c r="M245" i="3" s="1"/>
  <c r="N243" i="3"/>
  <c r="O243" i="3" s="1"/>
  <c r="P243" i="3" s="1"/>
  <c r="R243" i="3" s="1"/>
  <c r="N242" i="3"/>
  <c r="O242" i="3" s="1"/>
  <c r="P242" i="3" s="1"/>
  <c r="R242" i="3" s="1"/>
  <c r="L241" i="3"/>
  <c r="M241" i="3" s="1"/>
  <c r="L240" i="3"/>
  <c r="M240" i="3" s="1"/>
  <c r="N238" i="3"/>
  <c r="O238" i="3" s="1"/>
  <c r="P238" i="3" s="1"/>
  <c r="R238" i="3" s="1"/>
  <c r="N237" i="3"/>
  <c r="O237" i="3" s="1"/>
  <c r="P237" i="3" s="1"/>
  <c r="R237" i="3" s="1"/>
  <c r="N236" i="3"/>
  <c r="O236" i="3" s="1"/>
  <c r="P236" i="3" s="1"/>
  <c r="R236" i="3" s="1"/>
  <c r="N235" i="3"/>
  <c r="O235" i="3" s="1"/>
  <c r="P235" i="3" s="1"/>
  <c r="R235" i="3" s="1"/>
  <c r="N234" i="3"/>
  <c r="O234" i="3" s="1"/>
  <c r="P234" i="3" s="1"/>
  <c r="R234" i="3" s="1"/>
  <c r="N233" i="3"/>
  <c r="O233" i="3" s="1"/>
  <c r="P233" i="3" s="1"/>
  <c r="R233" i="3" s="1"/>
  <c r="N232" i="3"/>
  <c r="O232" i="3" s="1"/>
  <c r="P232" i="3" s="1"/>
  <c r="R232" i="3" s="1"/>
  <c r="N231" i="3"/>
  <c r="O231" i="3" s="1"/>
  <c r="P231" i="3" s="1"/>
  <c r="R231" i="3" s="1"/>
  <c r="L230" i="3"/>
  <c r="M230" i="3" s="1"/>
  <c r="L229" i="3"/>
  <c r="M229" i="3" s="1"/>
  <c r="L228" i="3"/>
  <c r="M228" i="3" s="1"/>
  <c r="L227" i="3"/>
  <c r="M227" i="3" s="1"/>
  <c r="L226" i="3"/>
  <c r="M226" i="3" s="1"/>
  <c r="N224" i="3"/>
  <c r="O224" i="3" s="1"/>
  <c r="P224" i="3" s="1"/>
  <c r="R224" i="3" s="1"/>
  <c r="N223" i="3"/>
  <c r="O223" i="3" s="1"/>
  <c r="P223" i="3" s="1"/>
  <c r="R223" i="3" s="1"/>
  <c r="L222" i="3"/>
  <c r="M222" i="3" s="1"/>
  <c r="L221" i="3"/>
  <c r="M221" i="3" s="1"/>
  <c r="L220" i="3"/>
  <c r="M220" i="3" s="1"/>
  <c r="L219" i="3"/>
  <c r="M219" i="3" s="1"/>
  <c r="L218" i="3"/>
  <c r="M218" i="3" s="1"/>
  <c r="L216" i="3"/>
  <c r="M216" i="3" s="1"/>
  <c r="L215" i="3"/>
  <c r="M215" i="3" s="1"/>
  <c r="L214" i="3"/>
  <c r="M214" i="3" s="1"/>
  <c r="L213" i="3"/>
  <c r="M213" i="3" s="1"/>
  <c r="L212" i="3"/>
  <c r="M212" i="3" s="1"/>
  <c r="L211" i="3"/>
  <c r="M211" i="3" s="1"/>
  <c r="L210" i="3"/>
  <c r="M210" i="3" s="1"/>
  <c r="L209" i="3"/>
  <c r="M209" i="3" s="1"/>
  <c r="N207" i="3"/>
  <c r="O207" i="3" s="1"/>
  <c r="P207" i="3" s="1"/>
  <c r="R207" i="3" s="1"/>
  <c r="N206" i="3"/>
  <c r="O206" i="3" s="1"/>
  <c r="P206" i="3" s="1"/>
  <c r="R206" i="3" s="1"/>
  <c r="N205" i="3"/>
  <c r="O205" i="3" s="1"/>
  <c r="P205" i="3" s="1"/>
  <c r="R205" i="3" s="1"/>
  <c r="N204" i="3"/>
  <c r="O204" i="3" s="1"/>
  <c r="P204" i="3" s="1"/>
  <c r="R204" i="3" s="1"/>
  <c r="N203" i="3"/>
  <c r="O203" i="3" s="1"/>
  <c r="P203" i="3" s="1"/>
  <c r="R203" i="3" s="1"/>
  <c r="N202" i="3"/>
  <c r="O202" i="3" s="1"/>
  <c r="P202" i="3" s="1"/>
  <c r="R202" i="3" s="1"/>
  <c r="N201" i="3"/>
  <c r="O201" i="3" s="1"/>
  <c r="P201" i="3" s="1"/>
  <c r="R201" i="3" s="1"/>
  <c r="N200" i="3"/>
  <c r="O200" i="3" s="1"/>
  <c r="P200" i="3" s="1"/>
  <c r="R200" i="3" s="1"/>
  <c r="N199" i="3"/>
  <c r="O199" i="3" s="1"/>
  <c r="P199" i="3" s="1"/>
  <c r="R199" i="3" s="1"/>
  <c r="N198" i="3"/>
  <c r="O198" i="3" s="1"/>
  <c r="P198" i="3" s="1"/>
  <c r="R198" i="3" s="1"/>
  <c r="N197" i="3"/>
  <c r="O197" i="3" s="1"/>
  <c r="P197" i="3" s="1"/>
  <c r="R197" i="3" s="1"/>
  <c r="N196" i="3"/>
  <c r="O196" i="3" s="1"/>
  <c r="P196" i="3" s="1"/>
  <c r="R196" i="3" s="1"/>
  <c r="N195" i="3"/>
  <c r="O195" i="3" s="1"/>
  <c r="P195" i="3" s="1"/>
  <c r="R195" i="3" s="1"/>
  <c r="L194" i="3"/>
  <c r="M194" i="3" s="1"/>
  <c r="L193" i="3"/>
  <c r="M193" i="3" s="1"/>
  <c r="N191" i="3"/>
  <c r="O191" i="3" s="1"/>
  <c r="P191" i="3" s="1"/>
  <c r="R191" i="3" s="1"/>
  <c r="N190" i="3"/>
  <c r="O190" i="3" s="1"/>
  <c r="P190" i="3" s="1"/>
  <c r="R190" i="3" s="1"/>
  <c r="N189" i="3"/>
  <c r="O189" i="3" s="1"/>
  <c r="P189" i="3" s="1"/>
  <c r="R189" i="3" s="1"/>
  <c r="N188" i="3"/>
  <c r="O188" i="3" s="1"/>
  <c r="P188" i="3" s="1"/>
  <c r="R188" i="3" s="1"/>
  <c r="N187" i="3"/>
  <c r="O187" i="3" s="1"/>
  <c r="P187" i="3" s="1"/>
  <c r="R187" i="3" s="1"/>
  <c r="L186" i="3"/>
  <c r="M186" i="3" s="1"/>
  <c r="L184" i="3"/>
  <c r="M184" i="3" s="1"/>
  <c r="N182" i="3"/>
  <c r="O182" i="3" s="1"/>
  <c r="P182" i="3" s="1"/>
  <c r="R182" i="3" s="1"/>
  <c r="N181" i="3"/>
  <c r="O181" i="3" s="1"/>
  <c r="P181" i="3" s="1"/>
  <c r="R181" i="3" s="1"/>
  <c r="L180" i="3"/>
  <c r="M180" i="3" s="1"/>
  <c r="N178" i="3"/>
  <c r="O178" i="3" s="1"/>
  <c r="P178" i="3" s="1"/>
  <c r="R178" i="3" s="1"/>
  <c r="N177" i="3"/>
  <c r="O177" i="3" s="1"/>
  <c r="P177" i="3" s="1"/>
  <c r="R177" i="3" s="1"/>
  <c r="N175" i="3"/>
  <c r="O175" i="3" s="1"/>
  <c r="P175" i="3" s="1"/>
  <c r="R175" i="3" s="1"/>
  <c r="N174" i="3"/>
  <c r="O174" i="3" s="1"/>
  <c r="P174" i="3" s="1"/>
  <c r="R174" i="3" s="1"/>
  <c r="N173" i="3"/>
  <c r="O173" i="3" s="1"/>
  <c r="P173" i="3" s="1"/>
  <c r="R173" i="3" s="1"/>
  <c r="N172" i="3"/>
  <c r="O172" i="3" s="1"/>
  <c r="P172" i="3" s="1"/>
  <c r="R172" i="3" s="1"/>
  <c r="L171" i="3"/>
  <c r="M171" i="3" s="1"/>
  <c r="L170" i="3"/>
  <c r="M170" i="3" s="1"/>
  <c r="L169" i="3"/>
  <c r="M169" i="3" s="1"/>
  <c r="N167" i="3"/>
  <c r="O167" i="3" s="1"/>
  <c r="P167" i="3" s="1"/>
  <c r="R167" i="3" s="1"/>
  <c r="N166" i="3"/>
  <c r="O166" i="3" s="1"/>
  <c r="P166" i="3" s="1"/>
  <c r="R166" i="3" s="1"/>
  <c r="N165" i="3"/>
  <c r="O165" i="3" s="1"/>
  <c r="P165" i="3" s="1"/>
  <c r="R165" i="3" s="1"/>
  <c r="N164" i="3"/>
  <c r="O164" i="3" s="1"/>
  <c r="P164" i="3" s="1"/>
  <c r="R164" i="3" s="1"/>
  <c r="N163" i="3"/>
  <c r="O163" i="3" s="1"/>
  <c r="P163" i="3" s="1"/>
  <c r="R163" i="3" s="1"/>
  <c r="N162" i="3"/>
  <c r="O162" i="3" s="1"/>
  <c r="P162" i="3" s="1"/>
  <c r="R162" i="3" s="1"/>
  <c r="N161" i="3"/>
  <c r="O161" i="3" s="1"/>
  <c r="P161" i="3" s="1"/>
  <c r="R161" i="3" s="1"/>
  <c r="N160" i="3"/>
  <c r="O160" i="3" s="1"/>
  <c r="P160" i="3" s="1"/>
  <c r="R160" i="3" s="1"/>
  <c r="N159" i="3"/>
  <c r="O159" i="3" s="1"/>
  <c r="P159" i="3" s="1"/>
  <c r="R159" i="3" s="1"/>
  <c r="N158" i="3"/>
  <c r="O158" i="3" s="1"/>
  <c r="P158" i="3" s="1"/>
  <c r="R158" i="3" s="1"/>
  <c r="N157" i="3"/>
  <c r="O157" i="3" s="1"/>
  <c r="P157" i="3" s="1"/>
  <c r="R157" i="3" s="1"/>
  <c r="N156" i="3"/>
  <c r="O156" i="3" s="1"/>
  <c r="P156" i="3" s="1"/>
  <c r="R156" i="3" s="1"/>
  <c r="N155" i="3"/>
  <c r="O155" i="3" s="1"/>
  <c r="P155" i="3" s="1"/>
  <c r="R155" i="3" s="1"/>
  <c r="N154" i="3"/>
  <c r="O154" i="3" s="1"/>
  <c r="P154" i="3" s="1"/>
  <c r="R154" i="3" s="1"/>
  <c r="N153" i="3"/>
  <c r="O153" i="3" s="1"/>
  <c r="P153" i="3" s="1"/>
  <c r="R153" i="3" s="1"/>
  <c r="N152" i="3"/>
  <c r="O152" i="3" s="1"/>
  <c r="P152" i="3" s="1"/>
  <c r="R152" i="3" s="1"/>
  <c r="N151" i="3"/>
  <c r="O151" i="3" s="1"/>
  <c r="P151" i="3" s="1"/>
  <c r="R151" i="3" s="1"/>
  <c r="N150" i="3"/>
  <c r="O150" i="3" s="1"/>
  <c r="P150" i="3" s="1"/>
  <c r="R150" i="3" s="1"/>
  <c r="N149" i="3"/>
  <c r="O149" i="3" s="1"/>
  <c r="P149" i="3" s="1"/>
  <c r="R149" i="3" s="1"/>
  <c r="N148" i="3"/>
  <c r="O148" i="3" s="1"/>
  <c r="P148" i="3" s="1"/>
  <c r="R148" i="3" s="1"/>
  <c r="N147" i="3"/>
  <c r="O147" i="3" s="1"/>
  <c r="P147" i="3" s="1"/>
  <c r="R147" i="3" s="1"/>
  <c r="N146" i="3"/>
  <c r="O146" i="3" s="1"/>
  <c r="P146" i="3" s="1"/>
  <c r="R146" i="3" s="1"/>
  <c r="N145" i="3"/>
  <c r="O145" i="3" s="1"/>
  <c r="P145" i="3" s="1"/>
  <c r="R145" i="3" s="1"/>
  <c r="N144" i="3"/>
  <c r="O144" i="3" s="1"/>
  <c r="P144" i="3" s="1"/>
  <c r="R144" i="3" s="1"/>
  <c r="N143" i="3"/>
  <c r="O143" i="3" s="1"/>
  <c r="P143" i="3" s="1"/>
  <c r="R143" i="3" s="1"/>
  <c r="N142" i="3"/>
  <c r="O142" i="3" s="1"/>
  <c r="P142" i="3" s="1"/>
  <c r="R142" i="3" s="1"/>
  <c r="N141" i="3"/>
  <c r="O141" i="3" s="1"/>
  <c r="P141" i="3" s="1"/>
  <c r="R141" i="3" s="1"/>
  <c r="N140" i="3"/>
  <c r="O140" i="3" s="1"/>
  <c r="P140" i="3" s="1"/>
  <c r="R140" i="3" s="1"/>
  <c r="N139" i="3"/>
  <c r="O139" i="3" s="1"/>
  <c r="P139" i="3" s="1"/>
  <c r="R139" i="3" s="1"/>
  <c r="N138" i="3"/>
  <c r="O138" i="3" s="1"/>
  <c r="P138" i="3" s="1"/>
  <c r="R138" i="3" s="1"/>
  <c r="N137" i="3"/>
  <c r="O137" i="3" s="1"/>
  <c r="P137" i="3" s="1"/>
  <c r="R137" i="3" s="1"/>
  <c r="O136" i="3"/>
  <c r="P136" i="3" s="1"/>
  <c r="R136" i="3" s="1"/>
  <c r="O135" i="3"/>
  <c r="P135" i="3" s="1"/>
  <c r="R135" i="3" s="1"/>
  <c r="N134" i="3"/>
  <c r="O134" i="3" s="1"/>
  <c r="P134" i="3" s="1"/>
  <c r="R134" i="3" s="1"/>
  <c r="N133" i="3"/>
  <c r="O133" i="3" s="1"/>
  <c r="P133" i="3" s="1"/>
  <c r="R133" i="3" s="1"/>
  <c r="L132" i="3"/>
  <c r="M132" i="3" s="1"/>
  <c r="N130" i="3"/>
  <c r="O130" i="3" s="1"/>
  <c r="P130" i="3" s="1"/>
  <c r="R130" i="3" s="1"/>
  <c r="N129" i="3"/>
  <c r="O129" i="3" s="1"/>
  <c r="P129" i="3" s="1"/>
  <c r="R129" i="3" s="1"/>
  <c r="N128" i="3"/>
  <c r="O128" i="3" s="1"/>
  <c r="P128" i="3" s="1"/>
  <c r="R128" i="3" s="1"/>
  <c r="N127" i="3"/>
  <c r="O127" i="3" s="1"/>
  <c r="P127" i="3" s="1"/>
  <c r="R127" i="3" s="1"/>
  <c r="L126" i="3"/>
  <c r="M126" i="3" s="1"/>
  <c r="N124" i="3"/>
  <c r="O124" i="3" s="1"/>
  <c r="P124" i="3" s="1"/>
  <c r="R124" i="3" s="1"/>
  <c r="N123" i="3"/>
  <c r="O123" i="3" s="1"/>
  <c r="P123" i="3" s="1"/>
  <c r="R123" i="3" s="1"/>
  <c r="N122" i="3"/>
  <c r="O122" i="3" s="1"/>
  <c r="P122" i="3" s="1"/>
  <c r="R122" i="3" s="1"/>
  <c r="N121" i="3"/>
  <c r="O121" i="3" s="1"/>
  <c r="P121" i="3" s="1"/>
  <c r="R121" i="3" s="1"/>
  <c r="N120" i="3"/>
  <c r="O120" i="3" s="1"/>
  <c r="P120" i="3" s="1"/>
  <c r="R120" i="3" s="1"/>
  <c r="N119" i="3"/>
  <c r="O119" i="3" s="1"/>
  <c r="P119" i="3" s="1"/>
  <c r="R119" i="3" s="1"/>
  <c r="N118" i="3"/>
  <c r="O118" i="3" s="1"/>
  <c r="P118" i="3" s="1"/>
  <c r="R118" i="3" s="1"/>
  <c r="N117" i="3"/>
  <c r="O117" i="3" s="1"/>
  <c r="P117" i="3" s="1"/>
  <c r="R117" i="3" s="1"/>
  <c r="N116" i="3"/>
  <c r="O116" i="3" s="1"/>
  <c r="P116" i="3" s="1"/>
  <c r="R116" i="3" s="1"/>
  <c r="N115" i="3"/>
  <c r="O115" i="3" s="1"/>
  <c r="P115" i="3" s="1"/>
  <c r="R115" i="3" s="1"/>
  <c r="N114" i="3"/>
  <c r="O114" i="3" s="1"/>
  <c r="P114" i="3" s="1"/>
  <c r="R114" i="3" s="1"/>
  <c r="N113" i="3"/>
  <c r="O113" i="3" s="1"/>
  <c r="P113" i="3" s="1"/>
  <c r="R113" i="3" s="1"/>
  <c r="N112" i="3"/>
  <c r="O112" i="3" s="1"/>
  <c r="P112" i="3" s="1"/>
  <c r="R112" i="3" s="1"/>
  <c r="N111" i="3"/>
  <c r="O111" i="3" s="1"/>
  <c r="P111" i="3" s="1"/>
  <c r="R111" i="3" s="1"/>
  <c r="L110" i="3"/>
  <c r="M110" i="3" s="1"/>
  <c r="L109" i="3"/>
  <c r="M109" i="3" s="1"/>
  <c r="N107" i="3"/>
  <c r="O107" i="3" s="1"/>
  <c r="P107" i="3" s="1"/>
  <c r="R107" i="3" s="1"/>
  <c r="L106" i="3"/>
  <c r="M106" i="3" s="1"/>
  <c r="L105" i="3"/>
  <c r="M105" i="3" s="1"/>
  <c r="L104" i="3"/>
  <c r="M104" i="3" s="1"/>
  <c r="N102" i="3"/>
  <c r="O102" i="3" s="1"/>
  <c r="P102" i="3" s="1"/>
  <c r="R102" i="3" s="1"/>
  <c r="N101" i="3"/>
  <c r="O101" i="3" s="1"/>
  <c r="P101" i="3" s="1"/>
  <c r="R101" i="3" s="1"/>
  <c r="N100" i="3"/>
  <c r="O100" i="3" s="1"/>
  <c r="P100" i="3" s="1"/>
  <c r="R100" i="3" s="1"/>
  <c r="N99" i="3"/>
  <c r="O99" i="3" s="1"/>
  <c r="P99" i="3" s="1"/>
  <c r="R99" i="3" s="1"/>
  <c r="N98" i="3"/>
  <c r="O98" i="3" s="1"/>
  <c r="P98" i="3" s="1"/>
  <c r="R98" i="3" s="1"/>
  <c r="O97" i="3"/>
  <c r="P97" i="3" s="1"/>
  <c r="R97" i="3" s="1"/>
  <c r="N96" i="3"/>
  <c r="O96" i="3" s="1"/>
  <c r="P96" i="3" s="1"/>
  <c r="R96" i="3" s="1"/>
  <c r="N95" i="3"/>
  <c r="O95" i="3" s="1"/>
  <c r="P95" i="3" s="1"/>
  <c r="R95" i="3" s="1"/>
  <c r="N94" i="3"/>
  <c r="O94" i="3" s="1"/>
  <c r="P94" i="3" s="1"/>
  <c r="R94" i="3" s="1"/>
  <c r="N93" i="3"/>
  <c r="O93" i="3" s="1"/>
  <c r="P93" i="3" s="1"/>
  <c r="R93" i="3" s="1"/>
  <c r="N92" i="3"/>
  <c r="O92" i="3" s="1"/>
  <c r="P92" i="3" s="1"/>
  <c r="R92" i="3" s="1"/>
  <c r="N91" i="3"/>
  <c r="O91" i="3" s="1"/>
  <c r="P91" i="3" s="1"/>
  <c r="R91" i="3" s="1"/>
  <c r="N90" i="3"/>
  <c r="O90" i="3" s="1"/>
  <c r="P90" i="3" s="1"/>
  <c r="R90" i="3" s="1"/>
  <c r="N89" i="3"/>
  <c r="O89" i="3" s="1"/>
  <c r="P89" i="3" s="1"/>
  <c r="R89" i="3" s="1"/>
  <c r="L88" i="3"/>
  <c r="M88" i="3" s="1"/>
  <c r="N86" i="3"/>
  <c r="O86" i="3" s="1"/>
  <c r="P86" i="3" s="1"/>
  <c r="R86" i="3" s="1"/>
  <c r="N85" i="3"/>
  <c r="O85" i="3" s="1"/>
  <c r="P85" i="3" s="1"/>
  <c r="R85" i="3" s="1"/>
  <c r="N84" i="3"/>
  <c r="O84" i="3" s="1"/>
  <c r="P84" i="3" s="1"/>
  <c r="R84" i="3" s="1"/>
  <c r="N83" i="3"/>
  <c r="O83" i="3" s="1"/>
  <c r="P83" i="3" s="1"/>
  <c r="R83" i="3" s="1"/>
  <c r="L80" i="3"/>
  <c r="M80" i="3" s="1"/>
  <c r="N78" i="3"/>
  <c r="O78" i="3" s="1"/>
  <c r="P78" i="3" s="1"/>
  <c r="R78" i="3" s="1"/>
  <c r="N75" i="3"/>
  <c r="O75" i="3" s="1"/>
  <c r="P75" i="3" s="1"/>
  <c r="R75" i="3" s="1"/>
  <c r="N74" i="3"/>
  <c r="O74" i="3" s="1"/>
  <c r="P74" i="3" s="1"/>
  <c r="R74" i="3" s="1"/>
  <c r="N73" i="3"/>
  <c r="O73" i="3" s="1"/>
  <c r="P73" i="3" s="1"/>
  <c r="R73" i="3" s="1"/>
  <c r="N72" i="3"/>
  <c r="O72" i="3" s="1"/>
  <c r="P72" i="3" s="1"/>
  <c r="R72" i="3" s="1"/>
  <c r="N71" i="3"/>
  <c r="O71" i="3" s="1"/>
  <c r="P71" i="3" s="1"/>
  <c r="R71" i="3" s="1"/>
  <c r="N70" i="3"/>
  <c r="O70" i="3" s="1"/>
  <c r="P70" i="3" s="1"/>
  <c r="R70" i="3" s="1"/>
  <c r="N69" i="3"/>
  <c r="O69" i="3" s="1"/>
  <c r="P69" i="3" s="1"/>
  <c r="R69" i="3" s="1"/>
  <c r="N68" i="3"/>
  <c r="O68" i="3" s="1"/>
  <c r="P68" i="3" s="1"/>
  <c r="R68" i="3" s="1"/>
  <c r="N67" i="3"/>
  <c r="O67" i="3" s="1"/>
  <c r="P67" i="3" s="1"/>
  <c r="R67" i="3" s="1"/>
  <c r="L66" i="3"/>
  <c r="M66" i="3" s="1"/>
  <c r="N64" i="3"/>
  <c r="O64" i="3" s="1"/>
  <c r="P64" i="3" s="1"/>
  <c r="R64" i="3" s="1"/>
  <c r="N63" i="3"/>
  <c r="O63" i="3" s="1"/>
  <c r="P63" i="3" s="1"/>
  <c r="R63" i="3" s="1"/>
  <c r="N62" i="3"/>
  <c r="O62" i="3" s="1"/>
  <c r="P62" i="3" s="1"/>
  <c r="R62" i="3" s="1"/>
  <c r="N61" i="3"/>
  <c r="O61" i="3" s="1"/>
  <c r="P61" i="3" s="1"/>
  <c r="R61" i="3" s="1"/>
  <c r="L60" i="3"/>
  <c r="M60" i="3" s="1"/>
  <c r="N58" i="3"/>
  <c r="O58" i="3" s="1"/>
  <c r="P58" i="3" s="1"/>
  <c r="R58" i="3" s="1"/>
  <c r="N57" i="3"/>
  <c r="O57" i="3" s="1"/>
  <c r="P57" i="3" s="1"/>
  <c r="R57" i="3" s="1"/>
  <c r="N56" i="3"/>
  <c r="O56" i="3" s="1"/>
  <c r="P56" i="3" s="1"/>
  <c r="R56" i="3" s="1"/>
  <c r="L55" i="3"/>
  <c r="M55" i="3" s="1"/>
  <c r="N53" i="3"/>
  <c r="O53" i="3" s="1"/>
  <c r="P53" i="3" s="1"/>
  <c r="R53" i="3" s="1"/>
  <c r="N52" i="3"/>
  <c r="O52" i="3" s="1"/>
  <c r="P52" i="3" s="1"/>
  <c r="R52" i="3" s="1"/>
  <c r="N51" i="3"/>
  <c r="O51" i="3" s="1"/>
  <c r="P51" i="3" s="1"/>
  <c r="R51" i="3" s="1"/>
  <c r="N50" i="3"/>
  <c r="O50" i="3" s="1"/>
  <c r="P50" i="3" s="1"/>
  <c r="R50" i="3" s="1"/>
  <c r="N49" i="3"/>
  <c r="O49" i="3" s="1"/>
  <c r="P49" i="3" s="1"/>
  <c r="R49" i="3" s="1"/>
  <c r="N48" i="3"/>
  <c r="O48" i="3" s="1"/>
  <c r="P48" i="3" s="1"/>
  <c r="R48" i="3" s="1"/>
  <c r="N47" i="3"/>
  <c r="O47" i="3" s="1"/>
  <c r="P47" i="3" s="1"/>
  <c r="R47" i="3" s="1"/>
  <c r="N46" i="3"/>
  <c r="O46" i="3" s="1"/>
  <c r="P46" i="3" s="1"/>
  <c r="R46" i="3" s="1"/>
  <c r="N45" i="3"/>
  <c r="O45" i="3" s="1"/>
  <c r="P45" i="3" s="1"/>
  <c r="R45" i="3" s="1"/>
  <c r="N44" i="3"/>
  <c r="O44" i="3" s="1"/>
  <c r="P44" i="3" s="1"/>
  <c r="R44" i="3" s="1"/>
  <c r="N43" i="3"/>
  <c r="O43" i="3" s="1"/>
  <c r="P43" i="3" s="1"/>
  <c r="R43" i="3" s="1"/>
  <c r="L42" i="3"/>
  <c r="M42" i="3" s="1"/>
  <c r="L41" i="3"/>
  <c r="M41" i="3" s="1"/>
  <c r="N39" i="3"/>
  <c r="O39" i="3" s="1"/>
  <c r="P39" i="3" s="1"/>
  <c r="R39" i="3" s="1"/>
  <c r="L38" i="3"/>
  <c r="M38" i="3" s="1"/>
  <c r="L37" i="3"/>
  <c r="M37" i="3" s="1"/>
  <c r="N35" i="3"/>
  <c r="O35" i="3" s="1"/>
  <c r="P35" i="3" s="1"/>
  <c r="R35" i="3" s="1"/>
  <c r="L34" i="3"/>
  <c r="M34" i="3" s="1"/>
  <c r="L33" i="3"/>
  <c r="M33" i="3" s="1"/>
  <c r="N31" i="3"/>
  <c r="O31" i="3" s="1"/>
  <c r="P31" i="3" s="1"/>
  <c r="R31" i="3" s="1"/>
  <c r="N30" i="3"/>
  <c r="O30" i="3" s="1"/>
  <c r="P30" i="3" s="1"/>
  <c r="R30" i="3" s="1"/>
  <c r="L29" i="3"/>
  <c r="M29" i="3" s="1"/>
  <c r="L28" i="3"/>
  <c r="M28" i="3" s="1"/>
  <c r="L26" i="3"/>
  <c r="M26" i="3" s="1"/>
  <c r="L25" i="3"/>
  <c r="M25" i="3" s="1"/>
  <c r="L24" i="3"/>
  <c r="M24" i="3" s="1"/>
  <c r="L23" i="3"/>
  <c r="M23" i="3" s="1"/>
  <c r="L22" i="3"/>
  <c r="M22" i="3" s="1"/>
  <c r="L20" i="3"/>
  <c r="M20" i="3" s="1"/>
  <c r="L18" i="3"/>
  <c r="M18" i="3" s="1"/>
  <c r="L17" i="3"/>
  <c r="M17" i="3" s="1"/>
  <c r="N15" i="3"/>
  <c r="O15" i="3" s="1"/>
  <c r="P15" i="3" s="1"/>
  <c r="R15" i="3" s="1"/>
  <c r="N14" i="3"/>
  <c r="O14" i="3" s="1"/>
  <c r="P14" i="3" s="1"/>
  <c r="R14" i="3" s="1"/>
  <c r="L13" i="3"/>
  <c r="M13" i="3" s="1"/>
  <c r="N11" i="3"/>
  <c r="O11" i="3" s="1"/>
  <c r="P11" i="3" s="1"/>
  <c r="R11" i="3" s="1"/>
  <c r="N10" i="3"/>
  <c r="O10" i="3" s="1"/>
  <c r="P10" i="3" s="1"/>
  <c r="R10" i="3" s="1"/>
  <c r="N82" i="3" l="1"/>
  <c r="O82" i="3" s="1"/>
  <c r="N13" i="3"/>
  <c r="O13" i="3" s="1"/>
  <c r="N17" i="3"/>
  <c r="O17" i="3" s="1"/>
  <c r="R17" i="3" s="1"/>
  <c r="N18" i="3"/>
  <c r="O18" i="3" s="1"/>
  <c r="R18" i="3" s="1"/>
  <c r="N20" i="3"/>
  <c r="O20" i="3" s="1"/>
  <c r="N22" i="3"/>
  <c r="O22" i="3" s="1"/>
  <c r="R22" i="3" s="1"/>
  <c r="N23" i="3"/>
  <c r="O23" i="3" s="1"/>
  <c r="R23" i="3" s="1"/>
  <c r="N24" i="3"/>
  <c r="O24" i="3" s="1"/>
  <c r="R24" i="3" s="1"/>
  <c r="N25" i="3"/>
  <c r="O25" i="3" s="1"/>
  <c r="R25" i="3" s="1"/>
  <c r="N26" i="3"/>
  <c r="O26" i="3" s="1"/>
  <c r="R26" i="3" s="1"/>
  <c r="N28" i="3"/>
  <c r="O28" i="3" s="1"/>
  <c r="R28" i="3" s="1"/>
  <c r="N29" i="3"/>
  <c r="O29" i="3" s="1"/>
  <c r="R29" i="3" s="1"/>
  <c r="N33" i="3"/>
  <c r="O33" i="3" s="1"/>
  <c r="R33" i="3" s="1"/>
  <c r="N34" i="3"/>
  <c r="O34" i="3" s="1"/>
  <c r="R34" i="3" s="1"/>
  <c r="N37" i="3"/>
  <c r="O37" i="3" s="1"/>
  <c r="R37" i="3" s="1"/>
  <c r="N38" i="3"/>
  <c r="O38" i="3" s="1"/>
  <c r="R38" i="3" s="1"/>
  <c r="N41" i="3"/>
  <c r="O41" i="3" s="1"/>
  <c r="R41" i="3" s="1"/>
  <c r="N42" i="3"/>
  <c r="O42" i="3" s="1"/>
  <c r="R42" i="3" s="1"/>
  <c r="N55" i="3"/>
  <c r="O55" i="3" s="1"/>
  <c r="N60" i="3"/>
  <c r="O60" i="3" s="1"/>
  <c r="N66" i="3"/>
  <c r="O66" i="3" s="1"/>
  <c r="N77" i="3"/>
  <c r="O77" i="3" s="1"/>
  <c r="N80" i="3"/>
  <c r="O80" i="3" s="1"/>
  <c r="N88" i="3"/>
  <c r="O88" i="3" s="1"/>
  <c r="N104" i="3"/>
  <c r="O104" i="3" s="1"/>
  <c r="N105" i="3"/>
  <c r="O105" i="3" s="1"/>
  <c r="N106" i="3"/>
  <c r="O106" i="3" s="1"/>
  <c r="N109" i="3"/>
  <c r="O109" i="3" s="1"/>
  <c r="N110" i="3"/>
  <c r="O110" i="3" s="1"/>
  <c r="N126" i="3"/>
  <c r="O126" i="3" s="1"/>
  <c r="N132" i="3"/>
  <c r="O132" i="3" s="1"/>
  <c r="N169" i="3"/>
  <c r="O169" i="3" s="1"/>
  <c r="N170" i="3"/>
  <c r="O170" i="3" s="1"/>
  <c r="N171" i="3"/>
  <c r="O171" i="3" s="1"/>
  <c r="N180" i="3"/>
  <c r="O180" i="3" s="1"/>
  <c r="N184" i="3"/>
  <c r="O184" i="3" s="1"/>
  <c r="N186" i="3"/>
  <c r="O186" i="3" s="1"/>
  <c r="N193" i="3"/>
  <c r="O193" i="3" s="1"/>
  <c r="N194" i="3"/>
  <c r="O194" i="3" s="1"/>
  <c r="N209" i="3"/>
  <c r="O209" i="3" s="1"/>
  <c r="N210" i="3"/>
  <c r="O210" i="3" s="1"/>
  <c r="N211" i="3"/>
  <c r="O211" i="3" s="1"/>
  <c r="N212" i="3"/>
  <c r="O212" i="3" s="1"/>
  <c r="N213" i="3"/>
  <c r="O213" i="3" s="1"/>
  <c r="N214" i="3"/>
  <c r="O214" i="3" s="1"/>
  <c r="N215" i="3"/>
  <c r="O215" i="3" s="1"/>
  <c r="N216" i="3"/>
  <c r="O216" i="3" s="1"/>
  <c r="N218" i="3"/>
  <c r="O218" i="3" s="1"/>
  <c r="N219" i="3"/>
  <c r="O219" i="3" s="1"/>
  <c r="N220" i="3"/>
  <c r="O220" i="3" s="1"/>
  <c r="N221" i="3"/>
  <c r="O221" i="3" s="1"/>
  <c r="N222" i="3"/>
  <c r="O222" i="3" s="1"/>
  <c r="N226" i="3"/>
  <c r="O226" i="3" s="1"/>
  <c r="N227" i="3"/>
  <c r="O227" i="3" s="1"/>
  <c r="N228" i="3"/>
  <c r="O228" i="3" s="1"/>
  <c r="N229" i="3"/>
  <c r="O229" i="3" s="1"/>
  <c r="N230" i="3"/>
  <c r="O230" i="3" s="1"/>
  <c r="N240" i="3"/>
  <c r="O240" i="3" s="1"/>
  <c r="N241" i="3"/>
  <c r="O241" i="3" s="1"/>
  <c r="N245" i="3"/>
  <c r="O245" i="3" s="1"/>
  <c r="N252" i="3"/>
  <c r="O252" i="3" s="1"/>
  <c r="N257" i="3"/>
  <c r="O257" i="3" s="1"/>
  <c r="N260" i="3"/>
  <c r="O260" i="3" s="1"/>
  <c r="N261" i="3"/>
  <c r="O261" i="3" s="1"/>
  <c r="N274" i="3"/>
  <c r="O274" i="3" s="1"/>
  <c r="N275" i="3"/>
  <c r="O275" i="3" s="1"/>
  <c r="N276" i="3"/>
  <c r="O276" i="3" s="1"/>
  <c r="N277" i="3"/>
  <c r="O277" i="3" s="1"/>
  <c r="N278" i="3"/>
  <c r="O278" i="3" s="1"/>
  <c r="N279" i="3"/>
  <c r="O279" i="3" s="1"/>
  <c r="N280" i="3"/>
  <c r="O280" i="3" s="1"/>
  <c r="N281" i="3"/>
  <c r="O281" i="3" s="1"/>
  <c r="N282" i="3"/>
  <c r="O282" i="3" s="1"/>
  <c r="N283" i="3"/>
  <c r="O283" i="3" s="1"/>
  <c r="N287" i="3"/>
  <c r="O287" i="3" s="1"/>
  <c r="N288" i="3"/>
  <c r="O288" i="3" s="1"/>
  <c r="N291" i="3"/>
  <c r="O291" i="3" s="1"/>
  <c r="N292" i="3"/>
  <c r="O292" i="3" s="1"/>
  <c r="N293" i="3"/>
  <c r="O293" i="3" s="1"/>
  <c r="N294" i="3"/>
  <c r="O294" i="3" s="1"/>
  <c r="N295" i="3"/>
  <c r="O295" i="3" s="1"/>
  <c r="N297" i="3"/>
  <c r="O297" i="3" s="1"/>
  <c r="N298" i="3"/>
  <c r="O298" i="3" s="1"/>
  <c r="N299" i="3"/>
  <c r="O299" i="3" s="1"/>
  <c r="N304" i="3"/>
  <c r="O304" i="3" s="1"/>
  <c r="N353" i="3"/>
  <c r="O353" i="3" s="1"/>
  <c r="N358" i="3"/>
  <c r="O358" i="3" s="1"/>
  <c r="N360" i="3"/>
  <c r="O360" i="3" s="1"/>
  <c r="O363" i="3"/>
  <c r="N365" i="3"/>
  <c r="O365" i="3" s="1"/>
  <c r="N374" i="3"/>
  <c r="O374" i="3" s="1"/>
  <c r="N375" i="3"/>
  <c r="O375" i="3" s="1"/>
  <c r="N376" i="3"/>
  <c r="O376" i="3" s="1"/>
  <c r="N390" i="3"/>
  <c r="O390" i="3" s="1"/>
  <c r="N397" i="3"/>
  <c r="O397" i="3" s="1"/>
  <c r="N415" i="3"/>
  <c r="O415" i="3" s="1"/>
  <c r="N419" i="3"/>
  <c r="O419" i="3" s="1"/>
  <c r="N444" i="3"/>
  <c r="O444" i="3" s="1"/>
  <c r="N445" i="3"/>
  <c r="O445" i="3" s="1"/>
  <c r="N446" i="3"/>
  <c r="O446" i="3" s="1"/>
  <c r="N447" i="3"/>
  <c r="O447" i="3" s="1"/>
  <c r="N448" i="3"/>
  <c r="O448" i="3" s="1"/>
  <c r="N457" i="3"/>
  <c r="O457" i="3" s="1"/>
  <c r="N466" i="3"/>
  <c r="O466" i="3" s="1"/>
  <c r="N12" i="3"/>
  <c r="O12" i="3" s="1"/>
  <c r="P12" i="3" s="1"/>
  <c r="R12" i="3" s="1"/>
  <c r="N16" i="3"/>
  <c r="O16" i="3" s="1"/>
  <c r="P16" i="3" s="1"/>
  <c r="R16" i="3" s="1"/>
  <c r="N19" i="3"/>
  <c r="O19" i="3" s="1"/>
  <c r="P19" i="3" s="1"/>
  <c r="R19" i="3" s="1"/>
  <c r="N21" i="3"/>
  <c r="O21" i="3" s="1"/>
  <c r="P21" i="3" s="1"/>
  <c r="R21" i="3" s="1"/>
  <c r="N27" i="3"/>
  <c r="O27" i="3" s="1"/>
  <c r="P27" i="3" s="1"/>
  <c r="R27" i="3" s="1"/>
  <c r="N32" i="3"/>
  <c r="O32" i="3" s="1"/>
  <c r="P32" i="3" s="1"/>
  <c r="R32" i="3" s="1"/>
  <c r="N36" i="3"/>
  <c r="O36" i="3" s="1"/>
  <c r="P36" i="3" s="1"/>
  <c r="R36" i="3" s="1"/>
  <c r="N40" i="3"/>
  <c r="O40" i="3" s="1"/>
  <c r="P40" i="3" s="1"/>
  <c r="R40" i="3" s="1"/>
  <c r="N54" i="3"/>
  <c r="O54" i="3" s="1"/>
  <c r="P54" i="3" s="1"/>
  <c r="R54" i="3" s="1"/>
  <c r="N59" i="3"/>
  <c r="O59" i="3" s="1"/>
  <c r="P59" i="3" s="1"/>
  <c r="R59" i="3" s="1"/>
  <c r="N65" i="3"/>
  <c r="O65" i="3" s="1"/>
  <c r="P65" i="3" s="1"/>
  <c r="R65" i="3" s="1"/>
  <c r="N76" i="3"/>
  <c r="O76" i="3" s="1"/>
  <c r="P76" i="3" s="1"/>
  <c r="R76" i="3" s="1"/>
  <c r="N79" i="3"/>
  <c r="O79" i="3" s="1"/>
  <c r="P79" i="3" s="1"/>
  <c r="R79" i="3" s="1"/>
  <c r="N87" i="3"/>
  <c r="O87" i="3" s="1"/>
  <c r="P87" i="3" s="1"/>
  <c r="R87" i="3" s="1"/>
  <c r="N103" i="3"/>
  <c r="O103" i="3" s="1"/>
  <c r="P103" i="3" s="1"/>
  <c r="R103" i="3" s="1"/>
  <c r="N108" i="3"/>
  <c r="O108" i="3" s="1"/>
  <c r="P108" i="3" s="1"/>
  <c r="R108" i="3" s="1"/>
  <c r="N125" i="3"/>
  <c r="O125" i="3" s="1"/>
  <c r="P125" i="3" s="1"/>
  <c r="R125" i="3" s="1"/>
  <c r="N131" i="3"/>
  <c r="O131" i="3" s="1"/>
  <c r="P131" i="3" s="1"/>
  <c r="R131" i="3" s="1"/>
  <c r="N168" i="3"/>
  <c r="O168" i="3" s="1"/>
  <c r="P168" i="3" s="1"/>
  <c r="R168" i="3" s="1"/>
  <c r="N176" i="3"/>
  <c r="O176" i="3" s="1"/>
  <c r="P176" i="3" s="1"/>
  <c r="R176" i="3" s="1"/>
  <c r="N179" i="3"/>
  <c r="O179" i="3" s="1"/>
  <c r="P179" i="3" s="1"/>
  <c r="R179" i="3" s="1"/>
  <c r="N183" i="3"/>
  <c r="O183" i="3" s="1"/>
  <c r="P183" i="3" s="1"/>
  <c r="R183" i="3" s="1"/>
  <c r="N185" i="3"/>
  <c r="O185" i="3" s="1"/>
  <c r="P185" i="3" s="1"/>
  <c r="R185" i="3" s="1"/>
  <c r="N192" i="3"/>
  <c r="O192" i="3" s="1"/>
  <c r="P192" i="3" s="1"/>
  <c r="R192" i="3" s="1"/>
  <c r="N208" i="3"/>
  <c r="O208" i="3" s="1"/>
  <c r="P208" i="3" s="1"/>
  <c r="R208" i="3" s="1"/>
  <c r="N217" i="3"/>
  <c r="O217" i="3" s="1"/>
  <c r="P217" i="3" s="1"/>
  <c r="R217" i="3" s="1"/>
  <c r="N225" i="3"/>
  <c r="O225" i="3" s="1"/>
  <c r="P225" i="3" s="1"/>
  <c r="R225" i="3" s="1"/>
  <c r="N239" i="3"/>
  <c r="O239" i="3" s="1"/>
  <c r="P239" i="3" s="1"/>
  <c r="R239" i="3" s="1"/>
  <c r="N244" i="3"/>
  <c r="O244" i="3" s="1"/>
  <c r="P244" i="3" s="1"/>
  <c r="R244" i="3" s="1"/>
  <c r="N251" i="3"/>
  <c r="O251" i="3" s="1"/>
  <c r="P251" i="3" s="1"/>
  <c r="R251" i="3" s="1"/>
  <c r="N256" i="3"/>
  <c r="O256" i="3" s="1"/>
  <c r="P256" i="3" s="1"/>
  <c r="R256" i="3" s="1"/>
  <c r="N259" i="3"/>
  <c r="O259" i="3" s="1"/>
  <c r="P259" i="3" s="1"/>
  <c r="R259" i="3" s="1"/>
  <c r="N267" i="3"/>
  <c r="O267" i="3" s="1"/>
  <c r="P267" i="3" s="1"/>
  <c r="R267" i="3" s="1"/>
  <c r="N273" i="3"/>
  <c r="O273" i="3" s="1"/>
  <c r="P273" i="3" s="1"/>
  <c r="R273" i="3" s="1"/>
  <c r="N286" i="3"/>
  <c r="O286" i="3" s="1"/>
  <c r="P286" i="3" s="1"/>
  <c r="R286" i="3" s="1"/>
  <c r="N290" i="3"/>
  <c r="O290" i="3" s="1"/>
  <c r="P290" i="3" s="1"/>
  <c r="R290" i="3" s="1"/>
  <c r="N296" i="3"/>
  <c r="O296" i="3" s="1"/>
  <c r="P296" i="3" s="1"/>
  <c r="R296" i="3" s="1"/>
  <c r="N303" i="3"/>
  <c r="O303" i="3" s="1"/>
  <c r="P303" i="3" s="1"/>
  <c r="R303" i="3" s="1"/>
  <c r="N352" i="3"/>
  <c r="O352" i="3" s="1"/>
  <c r="P352" i="3" s="1"/>
  <c r="R352" i="3" s="1"/>
  <c r="N357" i="3"/>
  <c r="O357" i="3" s="1"/>
  <c r="P357" i="3" s="1"/>
  <c r="R357" i="3" s="1"/>
  <c r="N359" i="3"/>
  <c r="O359" i="3" s="1"/>
  <c r="P359" i="3" s="1"/>
  <c r="R359" i="3" s="1"/>
  <c r="O362" i="3"/>
  <c r="P362" i="3" s="1"/>
  <c r="R362" i="3" s="1"/>
  <c r="N364" i="3"/>
  <c r="O364" i="3" s="1"/>
  <c r="P364" i="3" s="1"/>
  <c r="R364" i="3" s="1"/>
  <c r="N373" i="3"/>
  <c r="O373" i="3" s="1"/>
  <c r="P373" i="3" s="1"/>
  <c r="R373" i="3" s="1"/>
  <c r="N385" i="3"/>
  <c r="O385" i="3" s="1"/>
  <c r="P385" i="3" s="1"/>
  <c r="R385" i="3" s="1"/>
  <c r="N389" i="3"/>
  <c r="O389" i="3" s="1"/>
  <c r="P389" i="3" s="1"/>
  <c r="R389" i="3" s="1"/>
  <c r="N396" i="3"/>
  <c r="O396" i="3" s="1"/>
  <c r="P396" i="3" s="1"/>
  <c r="R396" i="3" s="1"/>
  <c r="N414" i="3"/>
  <c r="O414" i="3" s="1"/>
  <c r="P414" i="3" s="1"/>
  <c r="R414" i="3" s="1"/>
  <c r="N418" i="3"/>
  <c r="O418" i="3" s="1"/>
  <c r="P418" i="3" s="1"/>
  <c r="R418" i="3" s="1"/>
  <c r="N438" i="3"/>
  <c r="O438" i="3" s="1"/>
  <c r="P438" i="3" s="1"/>
  <c r="R438" i="3" s="1"/>
  <c r="N443" i="3"/>
  <c r="O443" i="3" s="1"/>
  <c r="P443" i="3" s="1"/>
  <c r="R443" i="3" s="1"/>
  <c r="L449" i="3"/>
  <c r="M449" i="3" s="1"/>
  <c r="N456" i="3"/>
  <c r="O456" i="3" s="1"/>
  <c r="P456" i="3" s="1"/>
  <c r="R456" i="3" s="1"/>
  <c r="N465" i="3"/>
  <c r="O465" i="3" s="1"/>
  <c r="P465" i="3" s="1"/>
  <c r="R465" i="3" s="1"/>
  <c r="N449" i="3" l="1"/>
  <c r="O449" i="3" s="1"/>
</calcChain>
</file>

<file path=xl/sharedStrings.xml><?xml version="1.0" encoding="utf-8"?>
<sst xmlns="http://schemas.openxmlformats.org/spreadsheetml/2006/main" count="1590" uniqueCount="902">
  <si>
    <t>Адреса</t>
  </si>
  <si>
    <t>№ з/п</t>
  </si>
  <si>
    <t>Бандери, 51/1</t>
  </si>
  <si>
    <t>Тип теплового лічильника</t>
  </si>
  <si>
    <t>Бажана, 16</t>
  </si>
  <si>
    <t>Б.Хмельницького, 6</t>
  </si>
  <si>
    <t xml:space="preserve">ULTRAHEAT  Ø 80 </t>
  </si>
  <si>
    <t>Бандери, 18/2</t>
  </si>
  <si>
    <t>Бандери, 16</t>
  </si>
  <si>
    <t>Бандери, 18/1</t>
  </si>
  <si>
    <t>Бандери, 20/1</t>
  </si>
  <si>
    <t>Бандери, 22</t>
  </si>
  <si>
    <t>ULTRAHEAT  Ø 65</t>
  </si>
  <si>
    <t>РоlluStatEX  Ø 65</t>
  </si>
  <si>
    <t>SHARKY  Ø 50</t>
  </si>
  <si>
    <t xml:space="preserve">ULTRAHEAT  Ø 40 </t>
  </si>
  <si>
    <t>ULTRAHEAT  Ø 50</t>
  </si>
  <si>
    <t>Бандери, 22/1</t>
  </si>
  <si>
    <t>SHARKY  Ø 25</t>
  </si>
  <si>
    <t>РоlluStat  Ø 40</t>
  </si>
  <si>
    <t xml:space="preserve">ULTRAHEAT  Ø 25 </t>
  </si>
  <si>
    <t>Бандери, 24</t>
  </si>
  <si>
    <t>Бандери, 5</t>
  </si>
  <si>
    <t>Бандери, 53</t>
  </si>
  <si>
    <t>SHARKY  Ø 40</t>
  </si>
  <si>
    <t>Бандери, 6</t>
  </si>
  <si>
    <t>Бандери, 9</t>
  </si>
  <si>
    <t xml:space="preserve">MULTIDATA Ø 40 </t>
  </si>
  <si>
    <t>Болбочана, 4</t>
  </si>
  <si>
    <t>Вайсера, 15</t>
  </si>
  <si>
    <t>Вайсера, 28</t>
  </si>
  <si>
    <t>Вайсера, 4</t>
  </si>
  <si>
    <t>Вайсера, 79</t>
  </si>
  <si>
    <t>Водопровідна, 20</t>
  </si>
  <si>
    <t>Водопровідна, 28/2</t>
  </si>
  <si>
    <t>SHARKY 775   Ø 50</t>
  </si>
  <si>
    <t>Водопровідна, 41</t>
  </si>
  <si>
    <t>Водоровідна, 42</t>
  </si>
  <si>
    <t>Водоровідна, 42/1</t>
  </si>
  <si>
    <t>Суперком-01 Ø 50</t>
  </si>
  <si>
    <t>Pollutherm Ø 40</t>
  </si>
  <si>
    <t>Водоровідна, 44/1</t>
  </si>
  <si>
    <t>Водоровідна, 45</t>
  </si>
  <si>
    <t xml:space="preserve">MULTICAL-UF Ø 25 </t>
  </si>
  <si>
    <t>Водоровідна, 57</t>
  </si>
  <si>
    <t>SHARKY VMT   Ø 65</t>
  </si>
  <si>
    <t>Водоровідна, 86</t>
  </si>
  <si>
    <t>Володимирська, 105</t>
  </si>
  <si>
    <t>Володимирська, 110</t>
  </si>
  <si>
    <t>ULTRAHEAT  Ø 40</t>
  </si>
  <si>
    <t>Володимирська, 65</t>
  </si>
  <si>
    <t>Володимирська, 71</t>
  </si>
  <si>
    <t>Володимирська, 78</t>
  </si>
  <si>
    <t>Володимирська, 80</t>
  </si>
  <si>
    <t>Володимирська, 83</t>
  </si>
  <si>
    <t>Володимирська, 87/1</t>
  </si>
  <si>
    <t xml:space="preserve">Г.Сковороди, 11/2 </t>
  </si>
  <si>
    <t>SHARKY  Ø 20</t>
  </si>
  <si>
    <t>SHARKY  Ø 32</t>
  </si>
  <si>
    <t>SHARKY  775   Ø 50</t>
  </si>
  <si>
    <t>SHARKY  Ø 65</t>
  </si>
  <si>
    <t>Г.Сковороди, 46</t>
  </si>
  <si>
    <t>Г.Сковороди, 8</t>
  </si>
  <si>
    <t>Г.Сковороди, 9</t>
  </si>
  <si>
    <t>Г.Сковороди, 9/1</t>
  </si>
  <si>
    <t>Г.Сковороди, 9/3</t>
  </si>
  <si>
    <t>Гагаріна, 1</t>
  </si>
  <si>
    <t>Гагаріна, 11</t>
  </si>
  <si>
    <t>Гагаріна, 13</t>
  </si>
  <si>
    <t>Гагаріна, 13/1</t>
  </si>
  <si>
    <t>Гагаріна, 18/1</t>
  </si>
  <si>
    <t>Гагаріна, 20</t>
  </si>
  <si>
    <t>Гагаріна, 23/1</t>
  </si>
  <si>
    <t>Гагаріна, 25</t>
  </si>
  <si>
    <t>Гагаріна, 32</t>
  </si>
  <si>
    <t>Гагаріна, 32/1</t>
  </si>
  <si>
    <t>Гагаріна, 34</t>
  </si>
  <si>
    <t>Суперком-01   Ø 40</t>
  </si>
  <si>
    <t>Гагаріна, 9</t>
  </si>
  <si>
    <t>Гайова, 8</t>
  </si>
  <si>
    <t>Гальчевського, 27/1</t>
  </si>
  <si>
    <t>Гальчевського, 27/2</t>
  </si>
  <si>
    <t>Гарнізонна, 2</t>
  </si>
  <si>
    <t>АКВА-МВТ-2М  Ø 50</t>
  </si>
  <si>
    <t>Гарнізонна, 4</t>
  </si>
  <si>
    <t xml:space="preserve">SONOHEAT-T  Ø 40 </t>
  </si>
  <si>
    <t>Гарнізонна, 6</t>
  </si>
  <si>
    <t>Гарнізонна, 6/1</t>
  </si>
  <si>
    <t>Гарнізонна, 6/2</t>
  </si>
  <si>
    <t>Гарнізонна, 8</t>
  </si>
  <si>
    <t>LQM-III(APATOR) Ø 50</t>
  </si>
  <si>
    <t>Гастелло, 10/1</t>
  </si>
  <si>
    <t>Гастелло, 10/2</t>
  </si>
  <si>
    <t>Гастелло, 10/3</t>
  </si>
  <si>
    <t>Гастелло, 10/4</t>
  </si>
  <si>
    <t>Гастелло, 10/5</t>
  </si>
  <si>
    <t>Гастелло, 14</t>
  </si>
  <si>
    <t>Гастелло, 16</t>
  </si>
  <si>
    <t>Гастелло, 18</t>
  </si>
  <si>
    <t>Гастелло, 6/1</t>
  </si>
  <si>
    <t xml:space="preserve">ULTRAHEAT  Ø 50 </t>
  </si>
  <si>
    <t>Гастелло, 20</t>
  </si>
  <si>
    <t>Героїв Майдану, 1</t>
  </si>
  <si>
    <t>Героїв Майдану, 2</t>
  </si>
  <si>
    <t xml:space="preserve">Героїв Майдану, 17/1  </t>
  </si>
  <si>
    <t>Героїв Майдану, 24</t>
  </si>
  <si>
    <t>Героїв Майдану, 42/1</t>
  </si>
  <si>
    <t>Героїв Майдану, 46</t>
  </si>
  <si>
    <t>Героїв Майдану, 46/1</t>
  </si>
  <si>
    <t>Героїв Майдану, 5А</t>
  </si>
  <si>
    <t>Герцена, 3</t>
  </si>
  <si>
    <t>Герцена, 5</t>
  </si>
  <si>
    <t>Горького, 20</t>
  </si>
  <si>
    <t xml:space="preserve">MULTIDATA  WR3 Ø 50 </t>
  </si>
  <si>
    <t>Госпітальна, 2</t>
  </si>
  <si>
    <t>Госпітальна, 6/1</t>
  </si>
  <si>
    <t>Госпітальна, 6/2</t>
  </si>
  <si>
    <t>Госпітальна, 6/3</t>
  </si>
  <si>
    <t>Гречка, 1</t>
  </si>
  <si>
    <t>SHARKY  775   Ø 65</t>
  </si>
  <si>
    <t>Гречка, 10/1</t>
  </si>
  <si>
    <t>SHARKY   Ø 80</t>
  </si>
  <si>
    <t>Гречка, 10/2</t>
  </si>
  <si>
    <t>Гречка, 10/3</t>
  </si>
  <si>
    <t>Гречка, 12</t>
  </si>
  <si>
    <t>Гречка, 12/1</t>
  </si>
  <si>
    <t>Гречка, 14</t>
  </si>
  <si>
    <t xml:space="preserve">Довженка, 12 </t>
  </si>
  <si>
    <t>Довженка, 14</t>
  </si>
  <si>
    <t xml:space="preserve">МВТ-2ММК Ø 50 </t>
  </si>
  <si>
    <t>Довженка, 16</t>
  </si>
  <si>
    <t>Довженка, 16/2</t>
  </si>
  <si>
    <t>Supercal-531 Ø 50</t>
  </si>
  <si>
    <t>Довженка, 5/1</t>
  </si>
  <si>
    <t>Довженка, 7</t>
  </si>
  <si>
    <t>Довженка, 10/1</t>
  </si>
  <si>
    <t xml:space="preserve">MULTIDATA  Ø 65 </t>
  </si>
  <si>
    <t>Довженка, 14/2</t>
  </si>
  <si>
    <t>Європейська, 3</t>
  </si>
  <si>
    <t>Завадського, 5</t>
  </si>
  <si>
    <t>Завадського, 64/2</t>
  </si>
  <si>
    <t>SHARKY  Ø 80</t>
  </si>
  <si>
    <t>Заводська, 26</t>
  </si>
  <si>
    <t>Заводська, 28</t>
  </si>
  <si>
    <t>Заводська, 29</t>
  </si>
  <si>
    <t>Заводська, 32</t>
  </si>
  <si>
    <t>Заводська, 38/1</t>
  </si>
  <si>
    <t>SHARKY  775   Ø 40</t>
  </si>
  <si>
    <t>Заводська, 61</t>
  </si>
  <si>
    <t>Заводська, 61/1</t>
  </si>
  <si>
    <t>Заводська, 61/2</t>
  </si>
  <si>
    <t>Заводська, 63</t>
  </si>
  <si>
    <t>Заводська, 63/1</t>
  </si>
  <si>
    <t>Залізняка, 10</t>
  </si>
  <si>
    <t xml:space="preserve">Горинь-1 Ø 65 </t>
  </si>
  <si>
    <t>SHARKY  Ø 100</t>
  </si>
  <si>
    <t>Залізняка, 14/2</t>
  </si>
  <si>
    <t>SHARKY  775   Ø 80</t>
  </si>
  <si>
    <t>Залізняка, 16</t>
  </si>
  <si>
    <t>ULTRAHEAT  Ø 100</t>
  </si>
  <si>
    <t>Залізняка, 20</t>
  </si>
  <si>
    <t>Залізняка, 20/1</t>
  </si>
  <si>
    <t>ПДВ</t>
  </si>
  <si>
    <t>Supercal-430  Ø 40</t>
  </si>
  <si>
    <t>Залізняка, 22</t>
  </si>
  <si>
    <t>Залізняка, 30</t>
  </si>
  <si>
    <t>Залізняка, 34</t>
  </si>
  <si>
    <t>CALMEX Ø 50</t>
  </si>
  <si>
    <t>Залізняка, 34/1</t>
  </si>
  <si>
    <t>INFOCAL 5                     (SONOMETER)Ø 40</t>
  </si>
  <si>
    <t>Залізняка, 36</t>
  </si>
  <si>
    <t>Зарічанська, 12</t>
  </si>
  <si>
    <t>Зарічанська, 14</t>
  </si>
  <si>
    <t>Зарічанська, 14/2</t>
  </si>
  <si>
    <t xml:space="preserve">Зарічанська, 14/1 </t>
  </si>
  <si>
    <t>Зарічанська, 14/3</t>
  </si>
  <si>
    <t>Зарічанська, 14/4</t>
  </si>
  <si>
    <t>Зарічанська, 16</t>
  </si>
  <si>
    <t xml:space="preserve">Зарічанська, 18/1 </t>
  </si>
  <si>
    <t xml:space="preserve">MULTIDATA Ø 65 </t>
  </si>
  <si>
    <t>Зарічанська, 18/1 А</t>
  </si>
  <si>
    <t>Зарічанська, 18/2</t>
  </si>
  <si>
    <t>Supercal-531 Ø 65</t>
  </si>
  <si>
    <t>Зарічанська, 2</t>
  </si>
  <si>
    <t>Зарічанська, 20/2</t>
  </si>
  <si>
    <t>Зарічанська, 22</t>
  </si>
  <si>
    <t>Зарічанська, 22/1</t>
  </si>
  <si>
    <t>Зарічанська, 22/2</t>
  </si>
  <si>
    <t>Зарічанська, 22/4</t>
  </si>
  <si>
    <t>Зарічанська, 24/2</t>
  </si>
  <si>
    <t>Зарічанська, 30</t>
  </si>
  <si>
    <t>SHARKY  VMT Ø 65</t>
  </si>
  <si>
    <t>Зарічанська, 32/1</t>
  </si>
  <si>
    <t>Зарічанська, 34/1</t>
  </si>
  <si>
    <t>Зарічанська, 36/2</t>
  </si>
  <si>
    <t>Зарічанська, 4</t>
  </si>
  <si>
    <t>Зарічанська, 40</t>
  </si>
  <si>
    <t>Зарічанська, 44</t>
  </si>
  <si>
    <t>Зарічанська, 50</t>
  </si>
  <si>
    <t>Зарічанська, 50/1</t>
  </si>
  <si>
    <t>Зарічанська, 52/2</t>
  </si>
  <si>
    <t>Зарічанська, 52/1</t>
  </si>
  <si>
    <t>Горинь-1    Ø 50</t>
  </si>
  <si>
    <t xml:space="preserve">MULTIDATA   Ø 40 </t>
  </si>
  <si>
    <t>Supercal-430   Ø 40</t>
  </si>
  <si>
    <t>Зарічанська, 6</t>
  </si>
  <si>
    <t>Зарічанська, 6/1</t>
  </si>
  <si>
    <t>Зарічанська, 6/2</t>
  </si>
  <si>
    <t>Зарічанська, 6/3</t>
  </si>
  <si>
    <t>Зарічанська, 6/4</t>
  </si>
  <si>
    <t>Зарічанська, 6/5</t>
  </si>
  <si>
    <t>SHARKY   Ø 65</t>
  </si>
  <si>
    <t>Зарічанська, 6/6</t>
  </si>
  <si>
    <t>Зарічанська, 8</t>
  </si>
  <si>
    <t>Зарічанська, 8/1</t>
  </si>
  <si>
    <t>Інститутська, 15/1</t>
  </si>
  <si>
    <t>SHARKY INT 8  Ø 50</t>
  </si>
  <si>
    <t>Кам`янецька, 101</t>
  </si>
  <si>
    <t>Кам`янецька, 118</t>
  </si>
  <si>
    <t>Кам`янецька, 120</t>
  </si>
  <si>
    <t>Кам`янецька, 122</t>
  </si>
  <si>
    <t>Кам`янецька, 124</t>
  </si>
  <si>
    <t>Кам`янецька, 13</t>
  </si>
  <si>
    <t>Кам`янецька, 147</t>
  </si>
  <si>
    <t>Кам`янецька, 149</t>
  </si>
  <si>
    <t>Кам`янецька, 157</t>
  </si>
  <si>
    <t>Кам`янецька, 169</t>
  </si>
  <si>
    <t>Supercal-430   Ø 50</t>
  </si>
  <si>
    <t xml:space="preserve">MULTIDATA WR  Ø 40 </t>
  </si>
  <si>
    <t>Кам`янецька, 38</t>
  </si>
  <si>
    <t>Кам`янецька, 45</t>
  </si>
  <si>
    <t>Кам`янецька, 47</t>
  </si>
  <si>
    <t>CALMEX-N2  Ø 32</t>
  </si>
  <si>
    <t>Кам`янецька, 50</t>
  </si>
  <si>
    <t>Кам`янецька, 54</t>
  </si>
  <si>
    <t>Кам`янецька, 56</t>
  </si>
  <si>
    <t>Кам`янецька, 60</t>
  </si>
  <si>
    <t>Кам`янецька, 52/1</t>
  </si>
  <si>
    <t>Кам`янецька, 52/2</t>
  </si>
  <si>
    <t>Кам`янецька, 60/2</t>
  </si>
  <si>
    <t>Кам`янецька, 64</t>
  </si>
  <si>
    <t>Кам`янецька, 65</t>
  </si>
  <si>
    <t>Кам`янецька, 68</t>
  </si>
  <si>
    <t>Кам`янецька, 69</t>
  </si>
  <si>
    <t>Кам`янецька, 71</t>
  </si>
  <si>
    <t>Кам`янецька, 72</t>
  </si>
  <si>
    <t>Кам`янецька, 75</t>
  </si>
  <si>
    <t>Кам`янецька, 78</t>
  </si>
  <si>
    <t>Кам`янецька, 80</t>
  </si>
  <si>
    <t>Кам`янецька, 82</t>
  </si>
  <si>
    <t>Кам`янецька, 84</t>
  </si>
  <si>
    <t>Кам`янецька, 86</t>
  </si>
  <si>
    <t>Кам`янецька, 99</t>
  </si>
  <si>
    <t>SHARKY Ø25</t>
  </si>
  <si>
    <t>Кам΄янецька, 126/3</t>
  </si>
  <si>
    <t>Кам΄янецька, 159</t>
  </si>
  <si>
    <t>SHARKY Ø40</t>
  </si>
  <si>
    <t>Кам΄янецька, 159/1</t>
  </si>
  <si>
    <t>SHARKY 775 Ø40</t>
  </si>
  <si>
    <t>SHARKY 775 Ø25</t>
  </si>
  <si>
    <t>ULTRAHEAT  Ø50</t>
  </si>
  <si>
    <t xml:space="preserve">ULTRAHEAT  Ø40 </t>
  </si>
  <si>
    <t>Кармелюка, 10</t>
  </si>
  <si>
    <t>ULTRAHEAT  Ø80</t>
  </si>
  <si>
    <t>Кармелюка, 12</t>
  </si>
  <si>
    <t>Supercal  Ø50</t>
  </si>
  <si>
    <t>Кармелюка, 12/1</t>
  </si>
  <si>
    <t>INFOCAL (SONOMETER) Ø40</t>
  </si>
  <si>
    <t>Кармелюка, 6/2</t>
  </si>
  <si>
    <t>Кармелюка, 8</t>
  </si>
  <si>
    <t>Кармелюка, 8/1</t>
  </si>
  <si>
    <t>Козацька, 54</t>
  </si>
  <si>
    <t>ULTRAHEAT  Ø65</t>
  </si>
  <si>
    <t>ULTRAHEAT  Ø25</t>
  </si>
  <si>
    <t xml:space="preserve">Козацька, 56/1 </t>
  </si>
  <si>
    <t>Козацька, 56/2</t>
  </si>
  <si>
    <t>Козацька, 56/3</t>
  </si>
  <si>
    <t>Козацька, 60</t>
  </si>
  <si>
    <t>ULTRAMETER Ø40</t>
  </si>
  <si>
    <t>Козацька, 60/1</t>
  </si>
  <si>
    <t>SHARKY 775 Ø65</t>
  </si>
  <si>
    <t>Козацька, 61/1</t>
  </si>
  <si>
    <t>Козацька, 61/2</t>
  </si>
  <si>
    <t>Козацька, 61/3</t>
  </si>
  <si>
    <t>ULTRAHEAT  Ø100</t>
  </si>
  <si>
    <t>Козацька, 65/1</t>
  </si>
  <si>
    <t>Коновальця, 12</t>
  </si>
  <si>
    <t>Кропивницького, 4</t>
  </si>
  <si>
    <t xml:space="preserve">ULTRAHEAT  Ø50 </t>
  </si>
  <si>
    <t>PolluStat Ø25</t>
  </si>
  <si>
    <t>Кропивницького, 6а</t>
  </si>
  <si>
    <t>Кропивницького, 8/1</t>
  </si>
  <si>
    <t>Купріна, 1</t>
  </si>
  <si>
    <t>Кутузова, 87</t>
  </si>
  <si>
    <t>Лікарняна, 1</t>
  </si>
  <si>
    <t>Supercal  Ø40</t>
  </si>
  <si>
    <t>Суперком-01 Ø32</t>
  </si>
  <si>
    <t>Лісогринівецька, 10/1</t>
  </si>
  <si>
    <t>Горинь-1 Ø65</t>
  </si>
  <si>
    <t>Лісогринівецька, 4</t>
  </si>
  <si>
    <t>М. Грушевського, 40</t>
  </si>
  <si>
    <t xml:space="preserve">CF-50  Ø50 </t>
  </si>
  <si>
    <t>М. Грушевського, 74</t>
  </si>
  <si>
    <t>М. Грушевського, 82</t>
  </si>
  <si>
    <t>М. Грушевського, 85</t>
  </si>
  <si>
    <t>М. Грушевського, 86</t>
  </si>
  <si>
    <t>М. Грушевського, 87/4</t>
  </si>
  <si>
    <t>М. Грушевського, 92</t>
  </si>
  <si>
    <t>М. Трембовецької, 14</t>
  </si>
  <si>
    <t>SHARKY Ø80</t>
  </si>
  <si>
    <t>М. Трембовецької, 23</t>
  </si>
  <si>
    <t>М. Трембовецької, 3</t>
  </si>
  <si>
    <t>М. Трембовецької, 49</t>
  </si>
  <si>
    <t>М. Трембовецької, 51/1</t>
  </si>
  <si>
    <t>SHARKY Ø50</t>
  </si>
  <si>
    <t>М. Трембовецької, 53/1</t>
  </si>
  <si>
    <t>SHARKY Ø65</t>
  </si>
  <si>
    <t>Майборського, 1</t>
  </si>
  <si>
    <t>ULTRAHEAT Ø65</t>
  </si>
  <si>
    <t>Майборського, 12</t>
  </si>
  <si>
    <t>Майборського, 13</t>
  </si>
  <si>
    <t>Майборського, 13/2</t>
  </si>
  <si>
    <t>Майборського, 14</t>
  </si>
  <si>
    <t>Майборського, 15</t>
  </si>
  <si>
    <t>Майборського, 15/1</t>
  </si>
  <si>
    <t>Майборського, 16</t>
  </si>
  <si>
    <t>Майборського, 2</t>
  </si>
  <si>
    <t>Майборського, 4</t>
  </si>
  <si>
    <t>ULTRAHEAT Ø50</t>
  </si>
  <si>
    <t>Майборського, 4/1</t>
  </si>
  <si>
    <t>Майборського, 6</t>
  </si>
  <si>
    <t>PolluStat Ø40</t>
  </si>
  <si>
    <t>Майборського, 8</t>
  </si>
  <si>
    <t>Миколи Мазура, 12/2</t>
  </si>
  <si>
    <t>Миколи Мазура, 18/1</t>
  </si>
  <si>
    <t>Миколи Мазура, 24</t>
  </si>
  <si>
    <t>CALMEX Ø50</t>
  </si>
  <si>
    <t>Миколи Мазура, 4</t>
  </si>
  <si>
    <t>П. Мирного, 21</t>
  </si>
  <si>
    <t>П. Мирного, 21/1</t>
  </si>
  <si>
    <t>ULTRAHEAT Ø80</t>
  </si>
  <si>
    <t>П. Мирного, 21/3</t>
  </si>
  <si>
    <t>П. Мирного, 21/4</t>
  </si>
  <si>
    <t>ULTRAHEAT Ø40</t>
  </si>
  <si>
    <t>П. Мирного, 25</t>
  </si>
  <si>
    <t>П. Мирного, 26/2</t>
  </si>
  <si>
    <t>П. Мирного, 26/3</t>
  </si>
  <si>
    <t>SHARKY Ø100</t>
  </si>
  <si>
    <t>П. Мирного, 28</t>
  </si>
  <si>
    <t>П. Мирного, 28/2</t>
  </si>
  <si>
    <t>П. Мирного, 28/3</t>
  </si>
  <si>
    <t>П. Мирного, 28/3 А</t>
  </si>
  <si>
    <t>П. Мирного, 30</t>
  </si>
  <si>
    <t>П. Мирного, 31</t>
  </si>
  <si>
    <t>METRONIC Ø40</t>
  </si>
  <si>
    <t>X-12 Ø50</t>
  </si>
  <si>
    <t>П. Мирного, 31/4</t>
  </si>
  <si>
    <t>П. Мирного, 31/5</t>
  </si>
  <si>
    <t>INFOCAL 5 (SONOCAL) Ø50</t>
  </si>
  <si>
    <t>П. Мирного, 32</t>
  </si>
  <si>
    <t>Multical Ø65</t>
  </si>
  <si>
    <t>П. Мирного, 32/2</t>
  </si>
  <si>
    <t>П. Мирного, 32/3</t>
  </si>
  <si>
    <t>П. Мирного, 33</t>
  </si>
  <si>
    <t>П. Мирного, 35</t>
  </si>
  <si>
    <t>Supercal  Ø25</t>
  </si>
  <si>
    <t>Суперком Ø40</t>
  </si>
  <si>
    <t>Перемоги, 1</t>
  </si>
  <si>
    <t>Перемоги, 10 А</t>
  </si>
  <si>
    <t>Перемоги, 11/1</t>
  </si>
  <si>
    <t>Перемоги, 13</t>
  </si>
  <si>
    <t>Перемоги, 13/1</t>
  </si>
  <si>
    <t>Перемоги, 2</t>
  </si>
  <si>
    <t>Перемоги, 3</t>
  </si>
  <si>
    <t xml:space="preserve">ULTRAHEAT  Ø65 </t>
  </si>
  <si>
    <t>Перемоги, 4</t>
  </si>
  <si>
    <t xml:space="preserve">SHARKY  Ø50 </t>
  </si>
  <si>
    <t>Перемоги, 4/1</t>
  </si>
  <si>
    <t>Перемоги, 6</t>
  </si>
  <si>
    <t>Перемоги, 6 А</t>
  </si>
  <si>
    <t xml:space="preserve">SHARKY  Ø40 </t>
  </si>
  <si>
    <t>Перемоги, 6/1</t>
  </si>
  <si>
    <t>Перемоги, 8</t>
  </si>
  <si>
    <t xml:space="preserve">SHARKY  Ø65 </t>
  </si>
  <si>
    <t>Перемоги, 8/1</t>
  </si>
  <si>
    <t>Перемоги, 8/2</t>
  </si>
  <si>
    <t>LQM-III (APATOR) Ø50</t>
  </si>
  <si>
    <t>Пересипкіна, 3</t>
  </si>
  <si>
    <t>Пилипчука, 36</t>
  </si>
  <si>
    <t>Пилипчука, 4</t>
  </si>
  <si>
    <t>SHARKY  Ø25</t>
  </si>
  <si>
    <t>Пилипчука, 59</t>
  </si>
  <si>
    <t>Пилипчука, 61</t>
  </si>
  <si>
    <t>Пилипчука, 67</t>
  </si>
  <si>
    <t>Північна, 121</t>
  </si>
  <si>
    <t>Північна, 2</t>
  </si>
  <si>
    <t>Пілотська, 1</t>
  </si>
  <si>
    <t>Пілотська, 117</t>
  </si>
  <si>
    <t>Пілотська, 117/1</t>
  </si>
  <si>
    <t>Пілотська, 39</t>
  </si>
  <si>
    <t>SHARKY  Ø80</t>
  </si>
  <si>
    <t>SHARKY  Ø40</t>
  </si>
  <si>
    <t>ULTRAHEAT  Ø40</t>
  </si>
  <si>
    <t>CALMEX Ø80</t>
  </si>
  <si>
    <t xml:space="preserve">SHARKY VMT  Ø65 </t>
  </si>
  <si>
    <t xml:space="preserve">SHARKY  Ø80 </t>
  </si>
  <si>
    <t>Суперком-01 Ø50</t>
  </si>
  <si>
    <t xml:space="preserve">SHARKY 775 Ø50 </t>
  </si>
  <si>
    <r>
      <t xml:space="preserve">ENERGY-INTE </t>
    </r>
    <r>
      <rPr>
        <sz val="10"/>
        <color theme="1"/>
        <rFont val="Arial"/>
        <family val="2"/>
        <charset val="204"/>
      </rPr>
      <t>Ø80</t>
    </r>
  </si>
  <si>
    <r>
      <t xml:space="preserve">MULNIDATA </t>
    </r>
    <r>
      <rPr>
        <sz val="10"/>
        <color theme="1"/>
        <rFont val="Arial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>50</t>
    </r>
  </si>
  <si>
    <t>Горинь-1 Ø50</t>
  </si>
  <si>
    <t>PolluStat Ø50</t>
  </si>
  <si>
    <t>Прибузька, 42/1</t>
  </si>
  <si>
    <t>Прибузька, 44</t>
  </si>
  <si>
    <r>
      <t xml:space="preserve">SHARKY   </t>
    </r>
    <r>
      <rPr>
        <sz val="10"/>
        <color theme="1"/>
        <rFont val="Arial Cyr"/>
        <charset val="204"/>
      </rPr>
      <t>Ø 80</t>
    </r>
  </si>
  <si>
    <t>Прибузька, 6</t>
  </si>
  <si>
    <t>ULTRAHEAT  Ø 80</t>
  </si>
  <si>
    <t>пров.Верхній Береговий, 8/1</t>
  </si>
  <si>
    <r>
      <t xml:space="preserve">SHARKY   </t>
    </r>
    <r>
      <rPr>
        <sz val="10"/>
        <color theme="1"/>
        <rFont val="Arial Cyr"/>
        <charset val="204"/>
      </rPr>
      <t>Ø 20</t>
    </r>
  </si>
  <si>
    <r>
      <t xml:space="preserve">SHARKY   </t>
    </r>
    <r>
      <rPr>
        <sz val="10"/>
        <color theme="1"/>
        <rFont val="Arial Cyr"/>
        <charset val="204"/>
      </rPr>
      <t>Ø 50</t>
    </r>
  </si>
  <si>
    <t>пров.Іподромний, 2</t>
  </si>
  <si>
    <t>пров.Кам'янецький, 4/1</t>
  </si>
  <si>
    <r>
      <t xml:space="preserve">SHARKY   </t>
    </r>
    <r>
      <rPr>
        <sz val="10"/>
        <color theme="1"/>
        <rFont val="Arial Cyr"/>
        <charset val="204"/>
      </rPr>
      <t>Ø 25</t>
    </r>
  </si>
  <si>
    <t>пров.Козацький, 47</t>
  </si>
  <si>
    <t>Supercal-430  Ø 32</t>
  </si>
  <si>
    <t>пров.Козацький, 47/1</t>
  </si>
  <si>
    <t>пров.Кутузова, 4</t>
  </si>
  <si>
    <t>пров.Лапушкіна, 21</t>
  </si>
  <si>
    <t>пров.Маяковського, 7</t>
  </si>
  <si>
    <t>пров.Незалежності, 3</t>
  </si>
  <si>
    <t>CALMEX Ø 25</t>
  </si>
  <si>
    <t>пров.Незалежності, 5</t>
  </si>
  <si>
    <t>GF-50 Ø 25</t>
  </si>
  <si>
    <t>пров.Незалежності, 7</t>
  </si>
  <si>
    <t>Горинь Ø 50</t>
  </si>
  <si>
    <t>Pollutherm Ø 50</t>
  </si>
  <si>
    <t>пров.Некрасова, 1</t>
  </si>
  <si>
    <r>
      <t xml:space="preserve">SHARKY   </t>
    </r>
    <r>
      <rPr>
        <sz val="10"/>
        <color theme="1"/>
        <rFont val="Arial Cyr"/>
        <charset val="204"/>
      </rPr>
      <t>Ø 65</t>
    </r>
  </si>
  <si>
    <t>пров.Некрасова, 3</t>
  </si>
  <si>
    <t>пров.Подільський, 4</t>
  </si>
  <si>
    <t>PolluStat EX Ø 40</t>
  </si>
  <si>
    <t>пров.Пушкіна, 4</t>
  </si>
  <si>
    <t>пров.Тракторний, 20</t>
  </si>
  <si>
    <t>пров.Шевченко, 1</t>
  </si>
  <si>
    <t>пров.Шевченко, 3</t>
  </si>
  <si>
    <t>Проскурівська,1,3,7</t>
  </si>
  <si>
    <t>Проскурівська, 109</t>
  </si>
  <si>
    <r>
      <t xml:space="preserve">SHARKY   </t>
    </r>
    <r>
      <rPr>
        <sz val="10"/>
        <color theme="1"/>
        <rFont val="Arial Cyr"/>
        <charset val="204"/>
      </rPr>
      <t>Ø 50 (2 ліч.)</t>
    </r>
  </si>
  <si>
    <t>Проскурівська, 21/31</t>
  </si>
  <si>
    <r>
      <t xml:space="preserve">SHARKY   </t>
    </r>
    <r>
      <rPr>
        <sz val="10"/>
        <color theme="1"/>
        <rFont val="Arial Cyr"/>
        <charset val="204"/>
      </rPr>
      <t>Ø40</t>
    </r>
  </si>
  <si>
    <t>Проскурівська, 49</t>
  </si>
  <si>
    <t>Проскурівська, 58</t>
  </si>
  <si>
    <t>Проскурівська, 60</t>
  </si>
  <si>
    <t>MULTIDATA WR3  Ø 50</t>
  </si>
  <si>
    <t>Проскурівська, 62</t>
  </si>
  <si>
    <t>Проскурівська, 65</t>
  </si>
  <si>
    <r>
      <t xml:space="preserve">SHARKY   </t>
    </r>
    <r>
      <rPr>
        <sz val="10"/>
        <color theme="1"/>
        <rFont val="Arial Cyr"/>
        <charset val="204"/>
      </rPr>
      <t>Ø65</t>
    </r>
  </si>
  <si>
    <t>Проскурівська, 71</t>
  </si>
  <si>
    <t>Проскурівська, 73</t>
  </si>
  <si>
    <t>Проскурівська, 85/1</t>
  </si>
  <si>
    <r>
      <t xml:space="preserve">SHARKY   </t>
    </r>
    <r>
      <rPr>
        <sz val="10"/>
        <color theme="1"/>
        <rFont val="Arial Cyr"/>
        <charset val="204"/>
      </rPr>
      <t>Ø50</t>
    </r>
  </si>
  <si>
    <t>Проскурівського підпілля, 115/1</t>
  </si>
  <si>
    <t>Проскурівського підпілля, 117</t>
  </si>
  <si>
    <t>Проскурівського підпілля, 127</t>
  </si>
  <si>
    <t>Проскурівського підпілля, 16</t>
  </si>
  <si>
    <t>MULTIDATA WR3  Ø 40</t>
  </si>
  <si>
    <t>Проскурівського підпілля, 46</t>
  </si>
  <si>
    <t>Проскурівського підпілля, 48</t>
  </si>
  <si>
    <t>Проскурівського підпілля, 52/1</t>
  </si>
  <si>
    <r>
      <t xml:space="preserve">SHARKY   </t>
    </r>
    <r>
      <rPr>
        <sz val="10"/>
        <color theme="1"/>
        <rFont val="Arial Cyr"/>
        <charset val="204"/>
      </rPr>
      <t>Ø25</t>
    </r>
  </si>
  <si>
    <t>Проскурівського підпілля, 82/1</t>
  </si>
  <si>
    <t>Проскурівського підпілля, 84/1</t>
  </si>
  <si>
    <r>
      <t xml:space="preserve">SHARKY 775 </t>
    </r>
    <r>
      <rPr>
        <sz val="10"/>
        <color theme="1"/>
        <rFont val="Arial Cyr"/>
        <charset val="204"/>
      </rPr>
      <t>Ø 40</t>
    </r>
  </si>
  <si>
    <t>пр.Миру, 42</t>
  </si>
  <si>
    <t xml:space="preserve">ULTRAHEAT  Ø 65 </t>
  </si>
  <si>
    <t>пр.Миру, 44</t>
  </si>
  <si>
    <t xml:space="preserve">АКВА-МВТ-2М Ø 65 </t>
  </si>
  <si>
    <t>пр.Миру, 46</t>
  </si>
  <si>
    <r>
      <t xml:space="preserve">SHARKY  </t>
    </r>
    <r>
      <rPr>
        <sz val="10"/>
        <color theme="1"/>
        <rFont val="Arial Cyr"/>
        <charset val="204"/>
      </rPr>
      <t>Ø 40 (2 ліч.)</t>
    </r>
  </si>
  <si>
    <t>пр.Миру, 57/2</t>
  </si>
  <si>
    <t>пр.Миру, 57/4</t>
  </si>
  <si>
    <r>
      <t xml:space="preserve">SHARKY  </t>
    </r>
    <r>
      <rPr>
        <sz val="10"/>
        <color theme="1"/>
        <rFont val="Arial Cyr"/>
        <charset val="204"/>
      </rPr>
      <t>Ø 50</t>
    </r>
  </si>
  <si>
    <t>пр.Миру, 61/1</t>
  </si>
  <si>
    <t>пр.Миру, 61/2</t>
  </si>
  <si>
    <r>
      <t xml:space="preserve">SHARKY  </t>
    </r>
    <r>
      <rPr>
        <sz val="10"/>
        <color theme="1"/>
        <rFont val="Arial Cyr"/>
        <charset val="204"/>
      </rPr>
      <t>Ø 65</t>
    </r>
  </si>
  <si>
    <t>ULTRAHEAT  Ø 25</t>
  </si>
  <si>
    <t>пр.Миру, 62/1</t>
  </si>
  <si>
    <r>
      <t xml:space="preserve">SHARKY 775  </t>
    </r>
    <r>
      <rPr>
        <sz val="10"/>
        <color theme="1"/>
        <rFont val="Arial Cyr"/>
        <charset val="204"/>
      </rPr>
      <t>Ø 50</t>
    </r>
  </si>
  <si>
    <t>пр.Миру, 62/2</t>
  </si>
  <si>
    <r>
      <t xml:space="preserve">SHARKY   </t>
    </r>
    <r>
      <rPr>
        <sz val="10"/>
        <color theme="1"/>
        <rFont val="Arial Cyr"/>
        <charset val="204"/>
      </rPr>
      <t>Ø 40</t>
    </r>
  </si>
  <si>
    <t>пр.Миру, 62/3</t>
  </si>
  <si>
    <t>пр.Миру, 62/4</t>
  </si>
  <si>
    <t>пр.Миру, 62А</t>
  </si>
  <si>
    <t>пр.Миру, 62Б</t>
  </si>
  <si>
    <t>пр.Миру, 64</t>
  </si>
  <si>
    <t>Supercal  Ø 50</t>
  </si>
  <si>
    <t>пр.Миру, 65</t>
  </si>
  <si>
    <t>пр.Миру, 65/1</t>
  </si>
  <si>
    <t>пр.Миру, 65/2</t>
  </si>
  <si>
    <r>
      <t xml:space="preserve">SHARKY VMT  </t>
    </r>
    <r>
      <rPr>
        <sz val="10"/>
        <color theme="1"/>
        <rFont val="Arial Cyr"/>
        <charset val="204"/>
      </rPr>
      <t>Ø 65</t>
    </r>
  </si>
  <si>
    <t>пр.Миру, 65/3</t>
  </si>
  <si>
    <t>пр.Миру, 65/4</t>
  </si>
  <si>
    <r>
      <t xml:space="preserve">SHARKY VMT  </t>
    </r>
    <r>
      <rPr>
        <sz val="10"/>
        <color theme="1"/>
        <rFont val="Arial Cyr"/>
        <charset val="204"/>
      </rPr>
      <t>Ø 50</t>
    </r>
  </si>
  <si>
    <t>пр.Миру, 66</t>
  </si>
  <si>
    <t>пр.Миру, 67</t>
  </si>
  <si>
    <t>пр.Миру, 68</t>
  </si>
  <si>
    <t>пр.Миру, 70</t>
  </si>
  <si>
    <t>пр.Миру, 70/2</t>
  </si>
  <si>
    <t>пр.Миру, 70/3</t>
  </si>
  <si>
    <t>пр.Миру, 71/1</t>
  </si>
  <si>
    <t>пр.Миру, 71/2</t>
  </si>
  <si>
    <t>пр.Миру, 71/3</t>
  </si>
  <si>
    <t>пр.Миру, 73</t>
  </si>
  <si>
    <t>Горинь Ø 25</t>
  </si>
  <si>
    <t>пр.Миру, 73/1</t>
  </si>
  <si>
    <t>пр.Миру, 76</t>
  </si>
  <si>
    <t>пр.Миру, 76/1</t>
  </si>
  <si>
    <t>пр.Миру, 76/2</t>
  </si>
  <si>
    <t>пр.Миру, 76/3</t>
  </si>
  <si>
    <t>пр.Миру, 76/4</t>
  </si>
  <si>
    <t>пр.Миру, 76/7</t>
  </si>
  <si>
    <t>пр.Миру, 78</t>
  </si>
  <si>
    <t>пр.Миру, 78/1</t>
  </si>
  <si>
    <t>пр.Миру, 78/2</t>
  </si>
  <si>
    <t>Pollustat EX Ø 50</t>
  </si>
  <si>
    <t>пр.Миру, 78/3</t>
  </si>
  <si>
    <t>пр.Миру, 78/4</t>
  </si>
  <si>
    <t>пр.Миру, 78/5</t>
  </si>
  <si>
    <t>пр.Миру, 80</t>
  </si>
  <si>
    <t>пр.Миру, 80/1</t>
  </si>
  <si>
    <t>пр.Миру, 80/2</t>
  </si>
  <si>
    <t>пр.Миру, 80/3</t>
  </si>
  <si>
    <t>пр.Миру, 80/4</t>
  </si>
  <si>
    <t xml:space="preserve">Pollutherm Ø 32 </t>
  </si>
  <si>
    <t>пр.Миру, 82</t>
  </si>
  <si>
    <t>пр.Миру, 84</t>
  </si>
  <si>
    <t>пр.Миру, 86</t>
  </si>
  <si>
    <t>пр.Миру, 88</t>
  </si>
  <si>
    <t xml:space="preserve">Pollutherm Ø 40 </t>
  </si>
  <si>
    <t>пр.Миру, 92/1</t>
  </si>
  <si>
    <t>пр.Миру, 92/2</t>
  </si>
  <si>
    <t>пр.Миру, 93</t>
  </si>
  <si>
    <t>МВТ-2М Ø 65</t>
  </si>
  <si>
    <t>Пушкіна, 11</t>
  </si>
  <si>
    <t>Пушкіна, 13</t>
  </si>
  <si>
    <t>Пушкіна, 7</t>
  </si>
  <si>
    <t>Пушкіна, 9</t>
  </si>
  <si>
    <t>Ракетників, 8</t>
  </si>
  <si>
    <t>Ранкова, 1</t>
  </si>
  <si>
    <t>Ранкова, 3</t>
  </si>
  <si>
    <t>Ранкова, 5</t>
  </si>
  <si>
    <t>Свободи, 14А</t>
  </si>
  <si>
    <t>Свободи, 16А</t>
  </si>
  <si>
    <t>Свободи, 19</t>
  </si>
  <si>
    <t>CF-50 Ø 65</t>
  </si>
  <si>
    <t>Свободи, 1А</t>
  </si>
  <si>
    <t>Свободи, 2</t>
  </si>
  <si>
    <t>Pollustat EX Ø 25</t>
  </si>
  <si>
    <r>
      <t xml:space="preserve">SHARKY 775  </t>
    </r>
    <r>
      <rPr>
        <sz val="10"/>
        <color theme="1"/>
        <rFont val="Arial Cyr"/>
        <charset val="204"/>
      </rPr>
      <t>Ø 65</t>
    </r>
  </si>
  <si>
    <r>
      <t xml:space="preserve">SHARKY </t>
    </r>
    <r>
      <rPr>
        <sz val="10"/>
        <color theme="1"/>
        <rFont val="Arial Cyr"/>
        <charset val="204"/>
      </rPr>
      <t>Ø 65</t>
    </r>
  </si>
  <si>
    <t>Свободи, 3</t>
  </si>
  <si>
    <t>Свободи, 3/1</t>
  </si>
  <si>
    <t>Свободи, 31/1</t>
  </si>
  <si>
    <t>Свободи, 3А</t>
  </si>
  <si>
    <t>Свободи, 46/1</t>
  </si>
  <si>
    <t>Свободи, 47</t>
  </si>
  <si>
    <t>Свободи, 48</t>
  </si>
  <si>
    <t>Свободи, 48/1</t>
  </si>
  <si>
    <r>
      <t xml:space="preserve">SHARKY  775  </t>
    </r>
    <r>
      <rPr>
        <sz val="10"/>
        <color theme="1"/>
        <rFont val="Arial Cyr"/>
        <charset val="204"/>
      </rPr>
      <t>Ø 40</t>
    </r>
  </si>
  <si>
    <t>Свободи, 51</t>
  </si>
  <si>
    <t>Свободи, 57</t>
  </si>
  <si>
    <t>Свободи, 5А</t>
  </si>
  <si>
    <t>Свободи, 6А</t>
  </si>
  <si>
    <t>Суперком 01 Ø 50</t>
  </si>
  <si>
    <t>Свободи, 75</t>
  </si>
  <si>
    <t>Свободи, 7А</t>
  </si>
  <si>
    <t xml:space="preserve">Свободи, 8Б </t>
  </si>
  <si>
    <t>Свободи, 8А</t>
  </si>
  <si>
    <t>Свободи, 95/2</t>
  </si>
  <si>
    <t>Свободи, 9А</t>
  </si>
  <si>
    <t>Свободи, 9Б</t>
  </si>
  <si>
    <t>Сіцінського, 16/1</t>
  </si>
  <si>
    <t>Сіцінського, 18</t>
  </si>
  <si>
    <t>Сіцінського, 18/1</t>
  </si>
  <si>
    <t>Сіцінського, 22</t>
  </si>
  <si>
    <t>Сіцінського, 24</t>
  </si>
  <si>
    <t>Соборна, 13</t>
  </si>
  <si>
    <t>Соборна, 15</t>
  </si>
  <si>
    <t>Соборна, 16</t>
  </si>
  <si>
    <r>
      <t xml:space="preserve">SHARKY  775  </t>
    </r>
    <r>
      <rPr>
        <sz val="10"/>
        <color theme="1"/>
        <rFont val="Arial Cyr"/>
        <charset val="204"/>
      </rPr>
      <t>Ø 65</t>
    </r>
  </si>
  <si>
    <t>Соборна, 17-19</t>
  </si>
  <si>
    <r>
      <t xml:space="preserve">SHARKY    </t>
    </r>
    <r>
      <rPr>
        <sz val="10"/>
        <color theme="1"/>
        <rFont val="Arial Cyr"/>
        <charset val="204"/>
      </rPr>
      <t>Ø 40</t>
    </r>
  </si>
  <si>
    <t>Соборна, 26</t>
  </si>
  <si>
    <r>
      <t xml:space="preserve">SHARKY    </t>
    </r>
    <r>
      <rPr>
        <sz val="10"/>
        <color theme="1"/>
        <rFont val="Arial Cyr"/>
        <charset val="204"/>
      </rPr>
      <t>Ø 25</t>
    </r>
  </si>
  <si>
    <t>Соборна, 27</t>
  </si>
  <si>
    <t>Соборна, 31</t>
  </si>
  <si>
    <r>
      <t xml:space="preserve">SHARKY    </t>
    </r>
    <r>
      <rPr>
        <sz val="10"/>
        <color theme="1"/>
        <rFont val="Arial Cyr"/>
        <charset val="204"/>
      </rPr>
      <t>Ø 50</t>
    </r>
  </si>
  <si>
    <t>Соборна, 33</t>
  </si>
  <si>
    <r>
      <t xml:space="preserve">SHARKY  775  </t>
    </r>
    <r>
      <rPr>
        <sz val="10"/>
        <color theme="1"/>
        <rFont val="Arial Cyr"/>
        <charset val="204"/>
      </rPr>
      <t>Ø 50</t>
    </r>
  </si>
  <si>
    <t>Соборна, 38/1</t>
  </si>
  <si>
    <t>Соборна, 43</t>
  </si>
  <si>
    <t>Соборна, 44/1</t>
  </si>
  <si>
    <t>Соборна, 56</t>
  </si>
  <si>
    <t>Соборна, 58</t>
  </si>
  <si>
    <t>Соборна, 6</t>
  </si>
  <si>
    <t>Соборна, 69</t>
  </si>
  <si>
    <t>Соборна, 71</t>
  </si>
  <si>
    <t>Соборна, 77</t>
  </si>
  <si>
    <t>Спортивна, 11</t>
  </si>
  <si>
    <t>Спортивна, 15</t>
  </si>
  <si>
    <t>Спортивна, 20</t>
  </si>
  <si>
    <t>Спортивна, 38</t>
  </si>
  <si>
    <t>Суперком 01-1  Ø 40</t>
  </si>
  <si>
    <r>
      <t xml:space="preserve">SHARKY VMT  </t>
    </r>
    <r>
      <rPr>
        <sz val="10"/>
        <color theme="1"/>
        <rFont val="Arial Cyr"/>
        <charset val="204"/>
      </rPr>
      <t>Ø 80</t>
    </r>
  </si>
  <si>
    <t>Спортивна, 41</t>
  </si>
  <si>
    <t>Pollustat  Ø 40</t>
  </si>
  <si>
    <t>Спортивна, 44</t>
  </si>
  <si>
    <t>Старокостянтинівське Шосе, 10</t>
  </si>
  <si>
    <r>
      <t xml:space="preserve">SHARKY    </t>
    </r>
    <r>
      <rPr>
        <sz val="10"/>
        <color theme="1"/>
        <rFont val="Arial Cyr"/>
        <charset val="204"/>
      </rPr>
      <t>Ø 65</t>
    </r>
  </si>
  <si>
    <t>Старокостянтинівське Шосе, 12</t>
  </si>
  <si>
    <t>Старокостянтинівське Шосе, 12/1</t>
  </si>
  <si>
    <t>ULTRAHEAT  Ø 32</t>
  </si>
  <si>
    <t>Старокостянтинівське Шосе, 14</t>
  </si>
  <si>
    <t>Старокостянтинівське Шосе, 14/1</t>
  </si>
  <si>
    <t>Старокостянтинівське Шосе, 16</t>
  </si>
  <si>
    <t>Старокостянтинівське Шосе, 17/1</t>
  </si>
  <si>
    <t>Старокостянтинівське Шосе, 22</t>
  </si>
  <si>
    <t>Старокостянтинівське Шосе, 24</t>
  </si>
  <si>
    <t>Старокостянтинівське Шосе, 6</t>
  </si>
  <si>
    <t>Старокостянтинівське Шосе, 7А</t>
  </si>
  <si>
    <r>
      <t xml:space="preserve">Горинь-1    </t>
    </r>
    <r>
      <rPr>
        <sz val="10"/>
        <color theme="1"/>
        <rFont val="Arial Cyr"/>
        <charset val="204"/>
      </rPr>
      <t>Ø 65</t>
    </r>
  </si>
  <si>
    <t>Старокостянтинівське Шосе, 8</t>
  </si>
  <si>
    <t>Старокостянтинівське Шосе, 8/1</t>
  </si>
  <si>
    <t>Староміська, 25</t>
  </si>
  <si>
    <t>Тернопільська, 3</t>
  </si>
  <si>
    <t>Тернопільська, 3/1</t>
  </si>
  <si>
    <t>Тернопільська, 3/2</t>
  </si>
  <si>
    <t>Трудова, 11</t>
  </si>
  <si>
    <t>Трудова, 13</t>
  </si>
  <si>
    <t>Pollustat  Ø 50</t>
  </si>
  <si>
    <t>Трудова, 14</t>
  </si>
  <si>
    <t>Трудова, 15</t>
  </si>
  <si>
    <t>Трудова, 15/1</t>
  </si>
  <si>
    <t>Трудова, 17</t>
  </si>
  <si>
    <t>Франка, 10</t>
  </si>
  <si>
    <t>MULTIDATAS1-U Ø 40</t>
  </si>
  <si>
    <t>Франка, 18</t>
  </si>
  <si>
    <t>Франка, 34</t>
  </si>
  <si>
    <t>Франка, 36/1</t>
  </si>
  <si>
    <t>Франка, 55</t>
  </si>
  <si>
    <t>Франка, 6</t>
  </si>
  <si>
    <t>Франка, 6/1</t>
  </si>
  <si>
    <t>Франка, 8/1</t>
  </si>
  <si>
    <t>Чорновола, 106</t>
  </si>
  <si>
    <t>Чорновола, 110</t>
  </si>
  <si>
    <t>Чорновола, 112</t>
  </si>
  <si>
    <t>Чорновола, 134/1</t>
  </si>
  <si>
    <t>Чорновола, 178</t>
  </si>
  <si>
    <t>Чорновола, 33</t>
  </si>
  <si>
    <t>Чорновола, 35</t>
  </si>
  <si>
    <t>Чорновола, 38</t>
  </si>
  <si>
    <t>Чорновола, 46</t>
  </si>
  <si>
    <t>Чорновола, 56</t>
  </si>
  <si>
    <t>Чорновола, 60</t>
  </si>
  <si>
    <t>Суперком - 01  Ø 65</t>
  </si>
  <si>
    <t>Чорновола, 62</t>
  </si>
  <si>
    <t>Чорновола, 95/1</t>
  </si>
  <si>
    <t>Шевченко, 101</t>
  </si>
  <si>
    <t>Шевченко, 103</t>
  </si>
  <si>
    <t>Шевченко, 3</t>
  </si>
  <si>
    <t>Шевченко, 34А</t>
  </si>
  <si>
    <t>Шевченко, 40</t>
  </si>
  <si>
    <t>Шевченко, 42</t>
  </si>
  <si>
    <t>Шевченко, 45</t>
  </si>
  <si>
    <t>Шевченко, 46/2</t>
  </si>
  <si>
    <t>Supercal-531  Ø 40</t>
  </si>
  <si>
    <t>Шевченко, 53</t>
  </si>
  <si>
    <t>Шевченко, 55</t>
  </si>
  <si>
    <t>Шевченко, 58</t>
  </si>
  <si>
    <t>Шевченко, 60</t>
  </si>
  <si>
    <t>Шевченко, 62</t>
  </si>
  <si>
    <t>Шевченко, 99</t>
  </si>
  <si>
    <t>LQM-III Ø 40</t>
  </si>
  <si>
    <t>THERMIFLU-T Ø 40</t>
  </si>
  <si>
    <t>Суперком - 01  Ø 40</t>
  </si>
  <si>
    <t>Суперком - 01 - 1  Ø 40</t>
  </si>
  <si>
    <t>Ярослава Мудрого, 2</t>
  </si>
  <si>
    <r>
      <t>INFOCAL5       (SONOMETER)</t>
    </r>
    <r>
      <rPr>
        <sz val="10"/>
        <color theme="1"/>
        <rFont val="Arial"/>
        <family val="2"/>
        <charset val="204"/>
      </rPr>
      <t>Ø</t>
    </r>
    <r>
      <rPr>
        <sz val="10"/>
        <color theme="1"/>
        <rFont val="Times New Roman"/>
        <family val="1"/>
        <charset val="204"/>
      </rPr>
      <t>50</t>
    </r>
  </si>
  <si>
    <t xml:space="preserve">SHARKY Ø65          </t>
  </si>
  <si>
    <t xml:space="preserve">ULTRAHEAT Ø50   </t>
  </si>
  <si>
    <t xml:space="preserve">Суперком Ø50       </t>
  </si>
  <si>
    <t>Народної Волі, 8</t>
  </si>
  <si>
    <t>Пілотська, 7</t>
  </si>
  <si>
    <t>Пілотська, 74</t>
  </si>
  <si>
    <t>Пілотська, 76</t>
  </si>
  <si>
    <t>PolluStat   Ø40</t>
  </si>
  <si>
    <t>Подільська, 10</t>
  </si>
  <si>
    <t>Повстанська, 40</t>
  </si>
  <si>
    <t>Повстанська, 42/2</t>
  </si>
  <si>
    <t>Подільська, 132</t>
  </si>
  <si>
    <t>Подільська, 147/1</t>
  </si>
  <si>
    <t>Подільська, 149</t>
  </si>
  <si>
    <t>Подільська, 159</t>
  </si>
  <si>
    <t>Подільська, 169</t>
  </si>
  <si>
    <t>Подільська, 17/1</t>
  </si>
  <si>
    <t>Подільська, 171</t>
  </si>
  <si>
    <t>Подільська, 25</t>
  </si>
  <si>
    <t>Подільська, 38</t>
  </si>
  <si>
    <t>Подільська, 51-53</t>
  </si>
  <si>
    <t>Подільська, 65</t>
  </si>
  <si>
    <t>Подільська, 9/1</t>
  </si>
  <si>
    <t>Попова, 1</t>
  </si>
  <si>
    <t>Попова, 13</t>
  </si>
  <si>
    <t>Попова, 15</t>
  </si>
  <si>
    <t>Попова, 2</t>
  </si>
  <si>
    <t>Попова, 3</t>
  </si>
  <si>
    <t>Попова, 4</t>
  </si>
  <si>
    <t>Попова, 5</t>
  </si>
  <si>
    <t>Попова, 6</t>
  </si>
  <si>
    <t>Попова, 7</t>
  </si>
  <si>
    <t>Попова, 9</t>
  </si>
  <si>
    <t>Прибузька, 10</t>
  </si>
  <si>
    <t>Прибузька, 12</t>
  </si>
  <si>
    <t>Прибузька, 14</t>
  </si>
  <si>
    <t>Прибузька, 18 Б</t>
  </si>
  <si>
    <t>Прибузька, 20</t>
  </si>
  <si>
    <t>Прибузька, 22</t>
  </si>
  <si>
    <t>MULTIDATA WR3 Ø25</t>
  </si>
  <si>
    <t xml:space="preserve">SHARKYØ25,  </t>
  </si>
  <si>
    <t>Прибузька, 36/1</t>
  </si>
  <si>
    <t>Прибузька, 34/1</t>
  </si>
  <si>
    <t>Прибузька, 32</t>
  </si>
  <si>
    <t>Прибузька, 30</t>
  </si>
  <si>
    <t>Прибузька, 26</t>
  </si>
  <si>
    <t xml:space="preserve">SHARKY 775   Ø65 </t>
  </si>
  <si>
    <t>Прибузька, 4</t>
  </si>
  <si>
    <t>Прибузька, 42</t>
  </si>
  <si>
    <t>пров.Жовтневий, 1                                         (пров.Прибузький, 1)</t>
  </si>
  <si>
    <t>ULTRAHEATØ 40(6ліч.),                             SHARKY  Ø 100 заг.</t>
  </si>
  <si>
    <t>ULTRAHEAT  Ø 40(3ліч.)</t>
  </si>
  <si>
    <t>ULTRAHEATØ 40 (2 ліч.)</t>
  </si>
  <si>
    <t>ULTRAHEATØ 50 (2 ліч.)</t>
  </si>
  <si>
    <t>MULTIDATA WR3 Ø 65</t>
  </si>
  <si>
    <t>CALMEX-UVKR-231Ø 50</t>
  </si>
  <si>
    <t>ULTRAHEAT Ø 40(2 ліч.)</t>
  </si>
  <si>
    <t xml:space="preserve">Озерна, 10/1 </t>
  </si>
  <si>
    <t>Керуючий справами виконавчого комітету</t>
  </si>
  <si>
    <t>Ю.Сабій</t>
  </si>
  <si>
    <t>"Хмельницьктеплокомуненерго"</t>
  </si>
  <si>
    <t xml:space="preserve">Бандери, 10/2 </t>
  </si>
  <si>
    <t xml:space="preserve">Бандери, 10/3 </t>
  </si>
  <si>
    <t xml:space="preserve">Бандери, 22/2 </t>
  </si>
  <si>
    <t>Бандери, 49</t>
  </si>
  <si>
    <t xml:space="preserve">Бандери, 8 </t>
  </si>
  <si>
    <t xml:space="preserve">Бандери, 10 </t>
  </si>
  <si>
    <t xml:space="preserve">Водопровідна, 39 </t>
  </si>
  <si>
    <t xml:space="preserve">Водоровідна, 43 </t>
  </si>
  <si>
    <t>Володимирська, 1</t>
  </si>
  <si>
    <t>Г.Сковороди, 11</t>
  </si>
  <si>
    <t xml:space="preserve">Г.Сковороди, 12 </t>
  </si>
  <si>
    <t xml:space="preserve">Г.Сковороди, 14 </t>
  </si>
  <si>
    <t xml:space="preserve">Г.Сковороди, 9/2 </t>
  </si>
  <si>
    <t xml:space="preserve">Гагаріна, 60 </t>
  </si>
  <si>
    <t>Володимирська, 79, Героїв Майдану, 40</t>
  </si>
  <si>
    <t>Гайова, 2</t>
  </si>
  <si>
    <t>Гастелло, 12/1</t>
  </si>
  <si>
    <t>Героїв АТО, 1  (Ціалковського,1)</t>
  </si>
  <si>
    <t>Героїв АТО, 10 (Ціалковського,10)</t>
  </si>
  <si>
    <t>Героїв АТО, 12 (Ціалковського,12)</t>
  </si>
  <si>
    <t>Героїв АТО, 14 (Ціалковського,14)</t>
  </si>
  <si>
    <t>Героїв АТО, 2 (Ціалковського,2)</t>
  </si>
  <si>
    <t>Героїв АТО, 3 (Ціалковського,3)</t>
  </si>
  <si>
    <t>Героїв АТО, 4 (Ціалковського,4)</t>
  </si>
  <si>
    <t>Героїв АТО, 5 (Ціалковського,5)</t>
  </si>
  <si>
    <t>Героїв АТО, 5/1 (Ціалковського,5/1)</t>
  </si>
  <si>
    <t>Героїв АТО, 5/1 А (Ціалковського,5/1 А)</t>
  </si>
  <si>
    <t>Героїв АТО, 5/2 (Ціалковського,5/2)</t>
  </si>
  <si>
    <t>Героїв АТО, 7 (Ціалковського,7)</t>
  </si>
  <si>
    <t>Героїв АТО, 9 (Ціалковського,9)</t>
  </si>
  <si>
    <t>Героїв АТО, 9/1 (Ціалковського,9/1)</t>
  </si>
  <si>
    <t>Довженка, 1</t>
  </si>
  <si>
    <t>Шевченко, 8</t>
  </si>
  <si>
    <t xml:space="preserve">Ю.Горбанчука, 4/1 </t>
  </si>
  <si>
    <t>Ю.Горбанчука, 6</t>
  </si>
  <si>
    <t xml:space="preserve">Ю.Горбанчука, 7 </t>
  </si>
  <si>
    <t xml:space="preserve">Довженка, 14/1 </t>
  </si>
  <si>
    <t xml:space="preserve">Довженка, 3 </t>
  </si>
  <si>
    <t xml:space="preserve">Довженка, 5 </t>
  </si>
  <si>
    <t xml:space="preserve">Завадського, 38 </t>
  </si>
  <si>
    <t xml:space="preserve">Залізняка, 12 </t>
  </si>
  <si>
    <t xml:space="preserve">Залізняка, 14 </t>
  </si>
  <si>
    <t xml:space="preserve">Залізняка, 18 </t>
  </si>
  <si>
    <t xml:space="preserve">Зарічанська, 18 </t>
  </si>
  <si>
    <t xml:space="preserve">Зарічанська, 18/2 </t>
  </si>
  <si>
    <t xml:space="preserve">Зарічанська, 20/1  </t>
  </si>
  <si>
    <t xml:space="preserve">Зарічанська, 24 </t>
  </si>
  <si>
    <t xml:space="preserve">Зарічанська, 32 </t>
  </si>
  <si>
    <t xml:space="preserve">Зарічанська, 36/1  </t>
  </si>
  <si>
    <t xml:space="preserve">Зарічанська, 36/3 </t>
  </si>
  <si>
    <t xml:space="preserve">Зарічанська, 38 </t>
  </si>
  <si>
    <t xml:space="preserve">Зарічанська, 48 </t>
  </si>
  <si>
    <t>Кам΄янецька, 99/1</t>
  </si>
  <si>
    <t xml:space="preserve">Кам΄янецька, 48 </t>
  </si>
  <si>
    <t>Кам΄янецька, 63</t>
  </si>
  <si>
    <t xml:space="preserve">Кам΄янецька, 67 </t>
  </si>
  <si>
    <t xml:space="preserve">Козацька, 54/1 </t>
  </si>
  <si>
    <t xml:space="preserve">Кропивницького, 6 </t>
  </si>
  <si>
    <t xml:space="preserve">Лікарняна, 3/1 </t>
  </si>
  <si>
    <t>Козацька, 62, Купріна,61</t>
  </si>
  <si>
    <t xml:space="preserve">Майборського, 11 </t>
  </si>
  <si>
    <t>Майборського, 13/1</t>
  </si>
  <si>
    <t xml:space="preserve">П. Мирного, 23 </t>
  </si>
  <si>
    <t xml:space="preserve">П. Мирного, 27 </t>
  </si>
  <si>
    <t xml:space="preserve">П. Мирного, 31/3 </t>
  </si>
  <si>
    <t xml:space="preserve">Народної Волі, 6 </t>
  </si>
  <si>
    <t xml:space="preserve">Перемоги, 10 Б </t>
  </si>
  <si>
    <t xml:space="preserve">Перемоги, 11 </t>
  </si>
  <si>
    <t xml:space="preserve">Перемоги, 12 </t>
  </si>
  <si>
    <t>Пілотська, 53</t>
  </si>
  <si>
    <t xml:space="preserve">Повстанська, 36 </t>
  </si>
  <si>
    <t>Повстанська, 38</t>
  </si>
  <si>
    <t xml:space="preserve">Подільська, 12 </t>
  </si>
  <si>
    <t>Гагаріна, 28, Гагаріна, 28/1</t>
  </si>
  <si>
    <t>Героїв Майдану, 17, Володимирська,77</t>
  </si>
  <si>
    <t xml:space="preserve">Прибузька, 16 </t>
  </si>
  <si>
    <t xml:space="preserve">Прибузька, 18 </t>
  </si>
  <si>
    <t>Прибузька, 2</t>
  </si>
  <si>
    <t xml:space="preserve">Прибузька, 24 </t>
  </si>
  <si>
    <t xml:space="preserve">Прибузька, 34 </t>
  </si>
  <si>
    <t xml:space="preserve">Прибузька, 36 </t>
  </si>
  <si>
    <t>пров Іподромний, 18</t>
  </si>
  <si>
    <t>пров.Незалежності, 9</t>
  </si>
  <si>
    <t xml:space="preserve">Проскурівська, 107 </t>
  </si>
  <si>
    <t xml:space="preserve">Проскурівська, 16 </t>
  </si>
  <si>
    <t>Проскурівського підпілля, 25</t>
  </si>
  <si>
    <t>Проскурівського підпілля, 127/1, 127/1А</t>
  </si>
  <si>
    <t xml:space="preserve">пр.Миру, 53/1 </t>
  </si>
  <si>
    <t xml:space="preserve">пр.Миру, 54 </t>
  </si>
  <si>
    <t xml:space="preserve">пр.Миру, 57/1 </t>
  </si>
  <si>
    <t xml:space="preserve">пр.Миру, 60 </t>
  </si>
  <si>
    <t xml:space="preserve">пр.Миру, 60/1 </t>
  </si>
  <si>
    <t xml:space="preserve">пр.Миру, 60/2 </t>
  </si>
  <si>
    <t xml:space="preserve">пр.Миру, 60/3 </t>
  </si>
  <si>
    <t xml:space="preserve">пр.Миру, 60/4 </t>
  </si>
  <si>
    <t xml:space="preserve">пр.Миру, 62 </t>
  </si>
  <si>
    <t xml:space="preserve">пр.Миру, 70/1 </t>
  </si>
  <si>
    <t xml:space="preserve">пр.Миру, 72 </t>
  </si>
  <si>
    <t>пр.Миру, 80/5</t>
  </si>
  <si>
    <t xml:space="preserve">пр.Миру, 92 </t>
  </si>
  <si>
    <t>пр.Миру, 95/2, 95/2А</t>
  </si>
  <si>
    <t>пр.Миру, 95/1, 95/1А</t>
  </si>
  <si>
    <t xml:space="preserve">Свободи, 13А </t>
  </si>
  <si>
    <t>Свободи, 11А</t>
  </si>
  <si>
    <t xml:space="preserve">Свободи, 18/1 </t>
  </si>
  <si>
    <t xml:space="preserve">Свободи, 22 </t>
  </si>
  <si>
    <t>Свободи, 4А</t>
  </si>
  <si>
    <t xml:space="preserve">Свободи, 7Б </t>
  </si>
  <si>
    <t>Соборна, 14/2, 12/1</t>
  </si>
  <si>
    <t xml:space="preserve">Спортивна, 40 </t>
  </si>
  <si>
    <t>Спортивна, 42</t>
  </si>
  <si>
    <t>Трудова, 40</t>
  </si>
  <si>
    <t xml:space="preserve">Чорновола, 182Б </t>
  </si>
  <si>
    <t>Шевченко, 6, 4</t>
  </si>
  <si>
    <t xml:space="preserve">Ю.Горбанчука, 4 </t>
  </si>
  <si>
    <t>Шевченко, 49, 47</t>
  </si>
  <si>
    <t>пр.Миру, 51/2</t>
  </si>
  <si>
    <t xml:space="preserve">Проскурівська, 85 </t>
  </si>
  <si>
    <t>пров.Жовтневий, 1А                                (пров.Прибузький, 1А)</t>
  </si>
  <si>
    <t>Подільська, 78</t>
  </si>
  <si>
    <t>Зарічанська, 14/1 А</t>
  </si>
  <si>
    <t>Зарічанська, 14/3 А</t>
  </si>
  <si>
    <t xml:space="preserve">Зарічанська, 12А </t>
  </si>
  <si>
    <t>Героїв АТО, 6 (Ціалковського,6)</t>
  </si>
  <si>
    <t>Свободи, 2А</t>
  </si>
  <si>
    <t>Свободи, 22А</t>
  </si>
  <si>
    <t xml:space="preserve">Старокостянтинівське Шосе, 3А/1                             </t>
  </si>
  <si>
    <t>Кіль-кість примі-щень</t>
  </si>
  <si>
    <t xml:space="preserve">Гастелло, 6/2 </t>
  </si>
  <si>
    <t xml:space="preserve">Кам`янецька, 52 </t>
  </si>
  <si>
    <t>Кам`янецька, 58</t>
  </si>
  <si>
    <t>Г.Сковороди, 9/3 А</t>
  </si>
  <si>
    <t xml:space="preserve">Старокостянтинівське Шосе, 3А                        </t>
  </si>
  <si>
    <t>Героїв АТО, 12/1 (Ціалковського,12/1)</t>
  </si>
  <si>
    <t>Розміри внесків на заміну вузлів комерційного обліку теплової енергії споживачів МКП "Хмельницьктеплокомуненерго"</t>
  </si>
  <si>
    <t xml:space="preserve">            Директор міського комунального підприємства                                                                            Скалій В.М.</t>
  </si>
  <si>
    <t>УСЬОГО витрат на заміну вузлів комерційного обліку (на 5 років), грн з ПДВ</t>
  </si>
  <si>
    <t xml:space="preserve">                            Розмір внеску за заміну ВКО на одне приміщення, грн./квартал/                                                з ПДВ</t>
  </si>
  <si>
    <t>УСЬОГО витрат на заміну вузлів комерційного обліку            (на 1 місяць), грн з ПДВ</t>
  </si>
  <si>
    <t xml:space="preserve">Додаток </t>
  </si>
  <si>
    <t>до рішення виконавчого комітету</t>
  </si>
  <si>
    <t>Хмельницької міської ради</t>
  </si>
  <si>
    <t>15% вартості вузлів комерцій-ного обліку для форму-вання обмінного фонду на 5 років</t>
  </si>
  <si>
    <t>Прямі мате-ріальні витрати   на 5 років</t>
  </si>
  <si>
    <t>Витрати на оплату праці   на 5 років</t>
  </si>
  <si>
    <t xml:space="preserve">Інші прямі витрати на 5 років </t>
  </si>
  <si>
    <t>Загально-виробничі витрати на 5 років</t>
  </si>
  <si>
    <t>Планова вироб-нича собівар-тість на 5 років</t>
  </si>
  <si>
    <t xml:space="preserve">Адміністра-тивні витрати на 5 років  </t>
  </si>
  <si>
    <t>Повна планова собівартість на 5 років</t>
  </si>
  <si>
    <t>Плановий прибуток на 5 років</t>
  </si>
  <si>
    <t>УСЬОГО планових витрат з ураху-ванням планового прибутку на 5 років</t>
  </si>
  <si>
    <t>від 27.02.2020р.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</si>
</sst>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7" fillId="2" borderId="0" xfId="0" applyFont="1" applyFill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/>
    <xf numFmtId="2" fontId="1" fillId="3" borderId="11" xfId="0" applyNumberFormat="1" applyFont="1" applyFill="1" applyBorder="1" applyAlignment="1">
      <alignment horizontal="right" vertical="center"/>
    </xf>
    <xf numFmtId="2" fontId="1" fillId="2" borderId="11" xfId="0" applyNumberFormat="1" applyFont="1" applyFill="1" applyBorder="1" applyAlignment="1">
      <alignment horizontal="right"/>
    </xf>
    <xf numFmtId="2" fontId="10" fillId="2" borderId="1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2" fontId="1" fillId="2" borderId="29" xfId="0" applyNumberFormat="1" applyFont="1" applyFill="1" applyBorder="1" applyAlignment="1">
      <alignment horizontal="center" vertical="center" wrapText="1"/>
    </xf>
    <xf numFmtId="2" fontId="7" fillId="2" borderId="29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2" fontId="1" fillId="2" borderId="10" xfId="0" applyNumberFormat="1" applyFont="1" applyFill="1" applyBorder="1"/>
    <xf numFmtId="0" fontId="1" fillId="0" borderId="37" xfId="0" applyFont="1" applyBorder="1"/>
    <xf numFmtId="2" fontId="5" fillId="2" borderId="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7" xfId="0" applyNumberFormat="1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2" fontId="5" fillId="2" borderId="5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wrapText="1"/>
    </xf>
    <xf numFmtId="2" fontId="5" fillId="2" borderId="38" xfId="0" applyNumberFormat="1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1" fontId="1" fillId="2" borderId="40" xfId="0" applyNumberFormat="1" applyFont="1" applyFill="1" applyBorder="1" applyAlignment="1">
      <alignment horizontal="center" vertical="center"/>
    </xf>
    <xf numFmtId="2" fontId="1" fillId="2" borderId="36" xfId="0" applyNumberFormat="1" applyFont="1" applyFill="1" applyBorder="1"/>
    <xf numFmtId="0" fontId="1" fillId="2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 wrapText="1"/>
    </xf>
    <xf numFmtId="2" fontId="1" fillId="2" borderId="43" xfId="0" applyNumberFormat="1" applyFont="1" applyFill="1" applyBorder="1" applyAlignment="1">
      <alignment horizontal="center" vertical="center" wrapText="1"/>
    </xf>
    <xf numFmtId="2" fontId="7" fillId="2" borderId="43" xfId="0" applyNumberFormat="1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horizontal="center" vertical="center"/>
    </xf>
    <xf numFmtId="2" fontId="5" fillId="2" borderId="44" xfId="0" applyNumberFormat="1" applyFont="1" applyFill="1" applyBorder="1" applyAlignment="1">
      <alignment horizontal="center" vertical="center"/>
    </xf>
    <xf numFmtId="1" fontId="1" fillId="2" borderId="45" xfId="0" applyNumberFormat="1" applyFont="1" applyFill="1" applyBorder="1" applyAlignment="1">
      <alignment horizontal="center"/>
    </xf>
    <xf numFmtId="2" fontId="6" fillId="2" borderId="41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/>
    <xf numFmtId="0" fontId="1" fillId="2" borderId="18" xfId="0" applyFont="1" applyFill="1" applyBorder="1" applyAlignment="1">
      <alignment horizontal="left"/>
    </xf>
    <xf numFmtId="2" fontId="1" fillId="2" borderId="36" xfId="0" applyNumberFormat="1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left"/>
    </xf>
    <xf numFmtId="1" fontId="1" fillId="2" borderId="45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wrapText="1"/>
    </xf>
    <xf numFmtId="0" fontId="4" fillId="2" borderId="46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 vertical="center"/>
    </xf>
    <xf numFmtId="1" fontId="1" fillId="2" borderId="48" xfId="0" applyNumberFormat="1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/>
    </xf>
    <xf numFmtId="0" fontId="4" fillId="2" borderId="49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2" fontId="7" fillId="2" borderId="36" xfId="0" applyNumberFormat="1" applyFont="1" applyFill="1" applyBorder="1" applyAlignment="1">
      <alignment horizontal="right" vertical="center"/>
    </xf>
    <xf numFmtId="2" fontId="7" fillId="2" borderId="42" xfId="0" applyNumberFormat="1" applyFont="1" applyFill="1" applyBorder="1" applyAlignment="1">
      <alignment horizontal="righ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36" xfId="0" applyNumberFormat="1" applyFont="1" applyFill="1" applyBorder="1" applyAlignment="1">
      <alignment horizontal="center" vertical="center" wrapText="1"/>
    </xf>
    <xf numFmtId="2" fontId="10" fillId="2" borderId="36" xfId="0" applyNumberFormat="1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left" vertical="center" wrapText="1"/>
    </xf>
    <xf numFmtId="2" fontId="1" fillId="2" borderId="43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 wrapText="1"/>
    </xf>
    <xf numFmtId="2" fontId="10" fillId="2" borderId="42" xfId="0" applyNumberFormat="1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2" fontId="1" fillId="2" borderId="43" xfId="0" applyNumberFormat="1" applyFont="1" applyFill="1" applyBorder="1" applyAlignment="1">
      <alignment horizontal="center" vertical="center"/>
    </xf>
    <xf numFmtId="2" fontId="5" fillId="2" borderId="44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2" fontId="6" fillId="2" borderId="16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right" vertical="center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2" fontId="5" fillId="2" borderId="52" xfId="0" applyNumberFormat="1" applyFont="1" applyFill="1" applyBorder="1" applyAlignment="1">
      <alignment horizontal="center" vertical="center" wrapText="1"/>
    </xf>
    <xf numFmtId="1" fontId="1" fillId="2" borderId="53" xfId="0" applyNumberFormat="1" applyFont="1" applyFill="1" applyBorder="1" applyAlignment="1">
      <alignment horizontal="center" vertical="center"/>
    </xf>
    <xf numFmtId="2" fontId="6" fillId="2" borderId="50" xfId="0" applyNumberFormat="1" applyFont="1" applyFill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right" vertical="center"/>
    </xf>
    <xf numFmtId="2" fontId="5" fillId="2" borderId="51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" fontId="1" fillId="2" borderId="3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 wrapText="1"/>
    </xf>
    <xf numFmtId="1" fontId="7" fillId="2" borderId="35" xfId="0" applyNumberFormat="1" applyFont="1" applyFill="1" applyBorder="1" applyAlignment="1">
      <alignment horizontal="center" vertical="center" wrapText="1"/>
    </xf>
    <xf numFmtId="1" fontId="7" fillId="2" borderId="32" xfId="0" applyNumberFormat="1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right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/>
    </xf>
    <xf numFmtId="2" fontId="7" fillId="2" borderId="51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2" fontId="5" fillId="2" borderId="51" xfId="0" applyNumberFormat="1" applyFont="1" applyFill="1" applyBorder="1" applyAlignment="1">
      <alignment horizontal="center" vertical="center"/>
    </xf>
    <xf numFmtId="2" fontId="5" fillId="2" borderId="52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right" vertical="center"/>
    </xf>
    <xf numFmtId="1" fontId="1" fillId="2" borderId="34" xfId="0" applyNumberFormat="1" applyFont="1" applyFill="1" applyBorder="1" applyAlignment="1">
      <alignment horizontal="center" vertical="center" wrapText="1"/>
    </xf>
    <xf numFmtId="1" fontId="1" fillId="2" borderId="35" xfId="0" applyNumberFormat="1" applyFont="1" applyFill="1" applyBorder="1" applyAlignment="1">
      <alignment horizontal="center" vertical="center" wrapText="1"/>
    </xf>
    <xf numFmtId="1" fontId="1" fillId="2" borderId="32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10" fillId="2" borderId="36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2" fontId="1" fillId="2" borderId="38" xfId="0" applyNumberFormat="1" applyFont="1" applyFill="1" applyBorder="1" applyAlignment="1">
      <alignment horizontal="center" vertical="center"/>
    </xf>
    <xf numFmtId="2" fontId="7" fillId="2" borderId="38" xfId="0" applyNumberFormat="1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left" vertical="center" wrapText="1"/>
    </xf>
    <xf numFmtId="2" fontId="5" fillId="2" borderId="38" xfId="0" applyNumberFormat="1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2" fontId="5" fillId="2" borderId="38" xfId="0" applyNumberFormat="1" applyFont="1" applyFill="1" applyBorder="1" applyAlignment="1">
      <alignment horizontal="center" vertical="center"/>
    </xf>
    <xf numFmtId="2" fontId="10" fillId="2" borderId="42" xfId="0" applyNumberFormat="1" applyFont="1" applyFill="1" applyBorder="1" applyAlignment="1">
      <alignment horizontal="right" vertical="center"/>
    </xf>
    <xf numFmtId="0" fontId="1" fillId="2" borderId="51" xfId="0" applyFont="1" applyFill="1" applyBorder="1" applyAlignment="1">
      <alignment horizontal="center" vertical="center"/>
    </xf>
    <xf numFmtId="2" fontId="1" fillId="2" borderId="51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84"/>
  <sheetViews>
    <sheetView tabSelected="1" topLeftCell="C1" zoomScaleNormal="100" workbookViewId="0">
      <selection activeCell="P5" sqref="P5"/>
    </sheetView>
  </sheetViews>
  <sheetFormatPr defaultRowHeight="15" x14ac:dyDescent="0.25"/>
  <cols>
    <col min="1" max="1" width="6.7109375" customWidth="1"/>
    <col min="2" max="2" width="27.28515625" customWidth="1"/>
    <col min="3" max="3" width="20.140625" customWidth="1"/>
    <col min="4" max="4" width="11.140625" customWidth="1"/>
    <col min="5" max="7" width="9.140625" customWidth="1"/>
    <col min="8" max="8" width="11.7109375" customWidth="1"/>
    <col min="9" max="9" width="9.85546875" customWidth="1"/>
    <col min="10" max="10" width="11.42578125" customWidth="1"/>
    <col min="11" max="11" width="12.85546875" customWidth="1"/>
    <col min="12" max="12" width="10.85546875" customWidth="1"/>
    <col min="13" max="13" width="11.5703125" customWidth="1"/>
    <col min="14" max="14" width="9.140625" customWidth="1"/>
    <col min="15" max="15" width="12.42578125" style="12" customWidth="1"/>
    <col min="16" max="16" width="14" style="12" customWidth="1"/>
    <col min="17" max="17" width="9.28515625" customWidth="1"/>
    <col min="18" max="18" width="17.7109375" customWidth="1"/>
    <col min="19" max="19" width="0" hidden="1" customWidth="1"/>
  </cols>
  <sheetData>
    <row r="2" spans="1:19" ht="15.75" x14ac:dyDescent="0.25">
      <c r="P2" s="4" t="s">
        <v>888</v>
      </c>
      <c r="Q2" s="4"/>
      <c r="R2" s="1"/>
    </row>
    <row r="3" spans="1:19" ht="15.75" x14ac:dyDescent="0.25">
      <c r="P3" s="4" t="s">
        <v>889</v>
      </c>
      <c r="Q3" s="4"/>
      <c r="R3" s="1"/>
    </row>
    <row r="4" spans="1:19" ht="15.75" x14ac:dyDescent="0.25">
      <c r="P4" s="4" t="s">
        <v>890</v>
      </c>
      <c r="Q4" s="4"/>
      <c r="R4" s="1"/>
    </row>
    <row r="5" spans="1:19" ht="15.75" x14ac:dyDescent="0.25">
      <c r="P5" s="4" t="s">
        <v>901</v>
      </c>
      <c r="Q5" s="4"/>
      <c r="R5" s="1"/>
    </row>
    <row r="6" spans="1:19" ht="18.75" x14ac:dyDescent="0.3">
      <c r="A6" s="6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1"/>
    </row>
    <row r="7" spans="1:19" ht="18.75" x14ac:dyDescent="0.3">
      <c r="A7" s="211" t="s">
        <v>883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1"/>
    </row>
    <row r="8" spans="1:19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12"/>
      <c r="P8" s="212"/>
      <c r="Q8" s="212"/>
      <c r="R8" s="212"/>
      <c r="S8" s="1"/>
    </row>
    <row r="9" spans="1:19" ht="174" thickBot="1" x14ac:dyDescent="0.3">
      <c r="A9" s="21" t="s">
        <v>1</v>
      </c>
      <c r="B9" s="44" t="s">
        <v>0</v>
      </c>
      <c r="C9" s="24" t="s">
        <v>3</v>
      </c>
      <c r="D9" s="18" t="s">
        <v>891</v>
      </c>
      <c r="E9" s="19" t="s">
        <v>892</v>
      </c>
      <c r="F9" s="19" t="s">
        <v>893</v>
      </c>
      <c r="G9" s="20" t="s">
        <v>894</v>
      </c>
      <c r="H9" s="18" t="s">
        <v>895</v>
      </c>
      <c r="I9" s="18" t="s">
        <v>896</v>
      </c>
      <c r="J9" s="18" t="s">
        <v>897</v>
      </c>
      <c r="K9" s="18" t="s">
        <v>898</v>
      </c>
      <c r="L9" s="18" t="s">
        <v>899</v>
      </c>
      <c r="M9" s="18" t="s">
        <v>900</v>
      </c>
      <c r="N9" s="20" t="s">
        <v>162</v>
      </c>
      <c r="O9" s="47" t="s">
        <v>885</v>
      </c>
      <c r="P9" s="20" t="s">
        <v>887</v>
      </c>
      <c r="Q9" s="62" t="s">
        <v>876</v>
      </c>
      <c r="R9" s="52" t="s">
        <v>886</v>
      </c>
      <c r="S9" s="72"/>
    </row>
    <row r="10" spans="1:19" ht="15.75" x14ac:dyDescent="0.25">
      <c r="A10" s="94">
        <v>1</v>
      </c>
      <c r="B10" s="98" t="s">
        <v>5</v>
      </c>
      <c r="C10" s="25" t="s">
        <v>6</v>
      </c>
      <c r="D10" s="86">
        <v>2639</v>
      </c>
      <c r="E10" s="86">
        <v>21</v>
      </c>
      <c r="F10" s="86">
        <v>580.29999999999995</v>
      </c>
      <c r="G10" s="86">
        <v>127.67</v>
      </c>
      <c r="H10" s="82">
        <v>195.01</v>
      </c>
      <c r="I10" s="84">
        <f>E10+F10+G10+H10+D10</f>
        <v>3562.98</v>
      </c>
      <c r="J10" s="86">
        <v>12.67</v>
      </c>
      <c r="K10" s="84">
        <f t="shared" ref="K10:K73" si="0">I10+J10</f>
        <v>3575.65</v>
      </c>
      <c r="L10" s="84">
        <f>ROUND(K10*3%,2)</f>
        <v>107.27</v>
      </c>
      <c r="M10" s="75">
        <f>K10+L10</f>
        <v>3682.92</v>
      </c>
      <c r="N10" s="75">
        <f>ROUND(M10*20%,2)</f>
        <v>736.58</v>
      </c>
      <c r="O10" s="77">
        <f>M10+N10</f>
        <v>4419.5</v>
      </c>
      <c r="P10" s="75">
        <f>ROUND(O10/5/12,2)</f>
        <v>73.66</v>
      </c>
      <c r="Q10" s="105">
        <v>144</v>
      </c>
      <c r="R10" s="79">
        <f>ROUND(P10*3/Q10,2)</f>
        <v>1.53</v>
      </c>
      <c r="S10" s="71">
        <f>ROUND(452.88/Q10,2)</f>
        <v>3.15</v>
      </c>
    </row>
    <row r="11" spans="1:19" ht="15.75" x14ac:dyDescent="0.25">
      <c r="A11" s="22">
        <v>2</v>
      </c>
      <c r="B11" s="99" t="s">
        <v>4</v>
      </c>
      <c r="C11" s="26" t="s">
        <v>15</v>
      </c>
      <c r="D11" s="103">
        <v>1962.25</v>
      </c>
      <c r="E11" s="103">
        <v>18.079999999999998</v>
      </c>
      <c r="F11" s="103">
        <v>532.22</v>
      </c>
      <c r="G11" s="103">
        <v>117.09</v>
      </c>
      <c r="H11" s="11">
        <v>175.99</v>
      </c>
      <c r="I11" s="5">
        <f>E11+F11+G11+H11+D11</f>
        <v>2805.63</v>
      </c>
      <c r="J11" s="103">
        <v>11.41</v>
      </c>
      <c r="K11" s="5">
        <f t="shared" si="0"/>
        <v>2817.04</v>
      </c>
      <c r="L11" s="5">
        <f>ROUND(K11*3%,2)</f>
        <v>84.51</v>
      </c>
      <c r="M11" s="15">
        <f>K11+L11</f>
        <v>2901.55</v>
      </c>
      <c r="N11" s="15">
        <f>ROUND(M11*20%,2)</f>
        <v>580.30999999999995</v>
      </c>
      <c r="O11" s="100">
        <f>M11+N11</f>
        <v>3481.86</v>
      </c>
      <c r="P11" s="75">
        <f>ROUND(O11/5/12,2)</f>
        <v>58.03</v>
      </c>
      <c r="Q11" s="63">
        <v>101</v>
      </c>
      <c r="R11" s="79">
        <f>ROUND(P11*3/Q11,2)</f>
        <v>1.72</v>
      </c>
      <c r="S11" s="48">
        <f>ROUND(441.63/Q11,2)</f>
        <v>4.37</v>
      </c>
    </row>
    <row r="12" spans="1:19" ht="15.75" customHeight="1" x14ac:dyDescent="0.25">
      <c r="A12" s="213">
        <v>3</v>
      </c>
      <c r="B12" s="215" t="s">
        <v>749</v>
      </c>
      <c r="C12" s="27" t="s">
        <v>15</v>
      </c>
      <c r="D12" s="175">
        <f>1962.25*2</f>
        <v>3924.5</v>
      </c>
      <c r="E12" s="190">
        <f>18.08*2</f>
        <v>36.159999999999997</v>
      </c>
      <c r="F12" s="190">
        <f>532.22*2</f>
        <v>1064.44</v>
      </c>
      <c r="G12" s="190">
        <f>117.09*2</f>
        <v>234.18</v>
      </c>
      <c r="H12" s="167">
        <f>175.99*2</f>
        <v>351.98</v>
      </c>
      <c r="I12" s="169">
        <f>E12+F12+G12+H12+D12</f>
        <v>5611.26</v>
      </c>
      <c r="J12" s="190">
        <f>11.41*2</f>
        <v>22.82</v>
      </c>
      <c r="K12" s="169">
        <f t="shared" si="0"/>
        <v>5634.08</v>
      </c>
      <c r="L12" s="169">
        <f t="shared" ref="L12:L13" si="1">ROUND(K12*3%,2)</f>
        <v>169.02</v>
      </c>
      <c r="M12" s="173">
        <f t="shared" ref="M12:M13" si="2">K12+L12</f>
        <v>5803.1</v>
      </c>
      <c r="N12" s="173">
        <f t="shared" ref="N12:N13" si="3">ROUND(M12*20%,2)</f>
        <v>1160.6199999999999</v>
      </c>
      <c r="O12" s="178">
        <f t="shared" ref="O12:O13" si="4">M12+N12</f>
        <v>6963.72</v>
      </c>
      <c r="P12" s="173">
        <f>ROUND(O12/5/12,2)</f>
        <v>116.06</v>
      </c>
      <c r="Q12" s="192">
        <f>36+36</f>
        <v>72</v>
      </c>
      <c r="R12" s="182">
        <f t="shared" ref="R12:R15" si="5">ROUND(P12*3/Q12,2)</f>
        <v>4.84</v>
      </c>
      <c r="S12" s="209">
        <f>ROUND(441.63*2/Q12,2)</f>
        <v>12.27</v>
      </c>
    </row>
    <row r="13" spans="1:19" ht="15.75" customHeight="1" x14ac:dyDescent="0.25">
      <c r="A13" s="214"/>
      <c r="B13" s="216"/>
      <c r="C13" s="28" t="s">
        <v>15</v>
      </c>
      <c r="D13" s="177"/>
      <c r="E13" s="199"/>
      <c r="F13" s="199"/>
      <c r="G13" s="199"/>
      <c r="H13" s="168">
        <f>ROUND((E13+F13+G13)*11.7%,2)</f>
        <v>0</v>
      </c>
      <c r="I13" s="170">
        <f>E13+F13+G13+H13</f>
        <v>0</v>
      </c>
      <c r="J13" s="199">
        <f t="shared" ref="J13" si="6">ROUND(I13*11.6%,2)</f>
        <v>0</v>
      </c>
      <c r="K13" s="170">
        <f t="shared" si="0"/>
        <v>0</v>
      </c>
      <c r="L13" s="170">
        <f t="shared" si="1"/>
        <v>0</v>
      </c>
      <c r="M13" s="174">
        <f t="shared" si="2"/>
        <v>0</v>
      </c>
      <c r="N13" s="174">
        <f t="shared" si="3"/>
        <v>0</v>
      </c>
      <c r="O13" s="179">
        <f t="shared" si="4"/>
        <v>0</v>
      </c>
      <c r="P13" s="174"/>
      <c r="Q13" s="194"/>
      <c r="R13" s="183" t="e">
        <f t="shared" si="5"/>
        <v>#DIV/0!</v>
      </c>
      <c r="S13" s="209" t="e">
        <f t="shared" ref="S13:S66" si="7">ROUND(512.79/Q13,2)</f>
        <v>#DIV/0!</v>
      </c>
    </row>
    <row r="14" spans="1:19" s="12" customFormat="1" ht="20.25" customHeight="1" x14ac:dyDescent="0.25">
      <c r="A14" s="22">
        <v>4</v>
      </c>
      <c r="B14" s="99" t="s">
        <v>750</v>
      </c>
      <c r="C14" s="26" t="s">
        <v>16</v>
      </c>
      <c r="D14" s="103">
        <v>2210.63</v>
      </c>
      <c r="E14" s="103">
        <v>18.079999999999998</v>
      </c>
      <c r="F14" s="103">
        <v>532.22</v>
      </c>
      <c r="G14" s="103">
        <v>117.09</v>
      </c>
      <c r="H14" s="11">
        <v>175.99</v>
      </c>
      <c r="I14" s="5">
        <f>E14+F14+G14+H14+D14</f>
        <v>3054.01</v>
      </c>
      <c r="J14" s="103">
        <v>11.41</v>
      </c>
      <c r="K14" s="5">
        <f t="shared" si="0"/>
        <v>3065.42</v>
      </c>
      <c r="L14" s="5">
        <f>ROUND(K14*3%,2)</f>
        <v>91.96</v>
      </c>
      <c r="M14" s="15">
        <f>K14+L14</f>
        <v>3157.38</v>
      </c>
      <c r="N14" s="15">
        <f>ROUND(M14*20%,2)</f>
        <v>631.48</v>
      </c>
      <c r="O14" s="100">
        <f>M14+N14</f>
        <v>3788.86</v>
      </c>
      <c r="P14" s="15">
        <f>ROUND(O14/5/12,2)</f>
        <v>63.15</v>
      </c>
      <c r="Q14" s="63">
        <v>73</v>
      </c>
      <c r="R14" s="102">
        <f t="shared" si="5"/>
        <v>2.6</v>
      </c>
      <c r="S14" s="48">
        <f>ROUND(441.63/Q14,2)</f>
        <v>6.05</v>
      </c>
    </row>
    <row r="15" spans="1:19" s="12" customFormat="1" ht="18.75" customHeight="1" x14ac:dyDescent="0.25">
      <c r="A15" s="22">
        <v>5</v>
      </c>
      <c r="B15" s="99" t="s">
        <v>7</v>
      </c>
      <c r="C15" s="26" t="s">
        <v>15</v>
      </c>
      <c r="D15" s="103">
        <v>1962.25</v>
      </c>
      <c r="E15" s="103">
        <v>18.079999999999998</v>
      </c>
      <c r="F15" s="103">
        <v>532.22</v>
      </c>
      <c r="G15" s="103">
        <v>117.09</v>
      </c>
      <c r="H15" s="11">
        <v>175.99</v>
      </c>
      <c r="I15" s="5">
        <f>E15+F15+G15+H15+D15</f>
        <v>2805.63</v>
      </c>
      <c r="J15" s="103">
        <v>11.41</v>
      </c>
      <c r="K15" s="5">
        <f t="shared" si="0"/>
        <v>2817.04</v>
      </c>
      <c r="L15" s="5">
        <f>ROUND(K15*3%,2)</f>
        <v>84.51</v>
      </c>
      <c r="M15" s="15">
        <f>K15+L15</f>
        <v>2901.55</v>
      </c>
      <c r="N15" s="15">
        <f>ROUND(M15*20%,2)</f>
        <v>580.30999999999995</v>
      </c>
      <c r="O15" s="100">
        <f>M15+N15</f>
        <v>3481.86</v>
      </c>
      <c r="P15" s="15">
        <f>ROUND(O15/5/12,2)</f>
        <v>58.03</v>
      </c>
      <c r="Q15" s="63">
        <v>61</v>
      </c>
      <c r="R15" s="102">
        <f t="shared" si="5"/>
        <v>2.85</v>
      </c>
      <c r="S15" s="48">
        <f>ROUND(441.63/Q15,2)</f>
        <v>7.24</v>
      </c>
    </row>
    <row r="16" spans="1:19" s="12" customFormat="1" ht="15.75" customHeight="1" x14ac:dyDescent="0.25">
      <c r="A16" s="213">
        <v>6</v>
      </c>
      <c r="B16" s="215" t="s">
        <v>751</v>
      </c>
      <c r="C16" s="27" t="s">
        <v>15</v>
      </c>
      <c r="D16" s="175">
        <f>1962.25*3</f>
        <v>5886.75</v>
      </c>
      <c r="E16" s="190">
        <f>18.08*3</f>
        <v>54.239999999999995</v>
      </c>
      <c r="F16" s="190">
        <f>532.22*3</f>
        <v>1596.66</v>
      </c>
      <c r="G16" s="190">
        <f>117.09*3</f>
        <v>351.27</v>
      </c>
      <c r="H16" s="167">
        <f>175.99*3</f>
        <v>527.97</v>
      </c>
      <c r="I16" s="169">
        <f>E16+F16+G16+H16+D16</f>
        <v>8416.89</v>
      </c>
      <c r="J16" s="190">
        <f>11.41*3</f>
        <v>34.230000000000004</v>
      </c>
      <c r="K16" s="169">
        <f t="shared" si="0"/>
        <v>8451.119999999999</v>
      </c>
      <c r="L16" s="169">
        <f t="shared" ref="L16:L29" si="8">ROUND(K16*3%,2)</f>
        <v>253.53</v>
      </c>
      <c r="M16" s="173">
        <f t="shared" ref="M16:M29" si="9">K16+L16</f>
        <v>8704.65</v>
      </c>
      <c r="N16" s="173">
        <f t="shared" ref="N16:N29" si="10">ROUND(M16*20%,2)</f>
        <v>1740.93</v>
      </c>
      <c r="O16" s="178">
        <f t="shared" ref="O16:O29" si="11">M16+N16</f>
        <v>10445.58</v>
      </c>
      <c r="P16" s="173">
        <f>ROUND(O16/5/12,2)</f>
        <v>174.09</v>
      </c>
      <c r="Q16" s="192">
        <f>35+33+36+3</f>
        <v>107</v>
      </c>
      <c r="R16" s="182">
        <f>ROUND(P16*3/Q16,2)</f>
        <v>4.88</v>
      </c>
      <c r="S16" s="166">
        <f>ROUND(441.63*3/Q16,2)</f>
        <v>12.38</v>
      </c>
    </row>
    <row r="17" spans="1:19" s="12" customFormat="1" ht="15.75" customHeight="1" x14ac:dyDescent="0.25">
      <c r="A17" s="217"/>
      <c r="B17" s="218"/>
      <c r="C17" s="29" t="s">
        <v>49</v>
      </c>
      <c r="D17" s="176"/>
      <c r="E17" s="200"/>
      <c r="F17" s="200"/>
      <c r="G17" s="200"/>
      <c r="H17" s="171">
        <f>ROUND((E17+F17+G17)*11.7%,2)</f>
        <v>0</v>
      </c>
      <c r="I17" s="172">
        <f>E17+F17+G17+H17</f>
        <v>0</v>
      </c>
      <c r="J17" s="200">
        <f t="shared" ref="J17:J29" si="12">ROUND(I17*11.6%,2)</f>
        <v>0</v>
      </c>
      <c r="K17" s="172">
        <f t="shared" si="0"/>
        <v>0</v>
      </c>
      <c r="L17" s="172">
        <f t="shared" si="8"/>
        <v>0</v>
      </c>
      <c r="M17" s="191">
        <f t="shared" si="9"/>
        <v>0</v>
      </c>
      <c r="N17" s="191">
        <f t="shared" si="10"/>
        <v>0</v>
      </c>
      <c r="O17" s="187">
        <f t="shared" si="11"/>
        <v>0</v>
      </c>
      <c r="P17" s="191"/>
      <c r="Q17" s="193"/>
      <c r="R17" s="189" t="e">
        <f t="shared" ref="R17:R42" si="13">ROUND(O17/Q17/4,2)</f>
        <v>#DIV/0!</v>
      </c>
      <c r="S17" s="166" t="e">
        <f t="shared" si="7"/>
        <v>#DIV/0!</v>
      </c>
    </row>
    <row r="18" spans="1:19" s="12" customFormat="1" ht="15.75" customHeight="1" x14ac:dyDescent="0.25">
      <c r="A18" s="214"/>
      <c r="B18" s="216"/>
      <c r="C18" s="30" t="s">
        <v>49</v>
      </c>
      <c r="D18" s="177"/>
      <c r="E18" s="199"/>
      <c r="F18" s="199"/>
      <c r="G18" s="199"/>
      <c r="H18" s="168">
        <f>ROUND((E18+F18+G18)*11.7%,2)</f>
        <v>0</v>
      </c>
      <c r="I18" s="170">
        <f>E18+F18+G18+H18</f>
        <v>0</v>
      </c>
      <c r="J18" s="199">
        <f t="shared" si="12"/>
        <v>0</v>
      </c>
      <c r="K18" s="170">
        <f t="shared" si="0"/>
        <v>0</v>
      </c>
      <c r="L18" s="170">
        <f t="shared" si="8"/>
        <v>0</v>
      </c>
      <c r="M18" s="174">
        <f t="shared" si="9"/>
        <v>0</v>
      </c>
      <c r="N18" s="174">
        <f t="shared" si="10"/>
        <v>0</v>
      </c>
      <c r="O18" s="179">
        <f t="shared" si="11"/>
        <v>0</v>
      </c>
      <c r="P18" s="174"/>
      <c r="Q18" s="194"/>
      <c r="R18" s="183" t="e">
        <f t="shared" si="13"/>
        <v>#DIV/0!</v>
      </c>
      <c r="S18" s="166" t="e">
        <f t="shared" si="7"/>
        <v>#DIV/0!</v>
      </c>
    </row>
    <row r="19" spans="1:19" ht="15" customHeight="1" x14ac:dyDescent="0.25">
      <c r="A19" s="213">
        <v>7</v>
      </c>
      <c r="B19" s="215" t="s">
        <v>752</v>
      </c>
      <c r="C19" s="27" t="s">
        <v>15</v>
      </c>
      <c r="D19" s="175">
        <f>1962.25*2</f>
        <v>3924.5</v>
      </c>
      <c r="E19" s="190">
        <f>18.08*2</f>
        <v>36.159999999999997</v>
      </c>
      <c r="F19" s="190">
        <f>532.22*2</f>
        <v>1064.44</v>
      </c>
      <c r="G19" s="190">
        <f>117.09*2</f>
        <v>234.18</v>
      </c>
      <c r="H19" s="167">
        <f>175.99*2</f>
        <v>351.98</v>
      </c>
      <c r="I19" s="169">
        <f>E19+F19+G19+H19+D19</f>
        <v>5611.26</v>
      </c>
      <c r="J19" s="190">
        <f>11.41*2</f>
        <v>22.82</v>
      </c>
      <c r="K19" s="169">
        <f t="shared" si="0"/>
        <v>5634.08</v>
      </c>
      <c r="L19" s="169">
        <f t="shared" si="8"/>
        <v>169.02</v>
      </c>
      <c r="M19" s="173">
        <f t="shared" si="9"/>
        <v>5803.1</v>
      </c>
      <c r="N19" s="173">
        <f t="shared" si="10"/>
        <v>1160.6199999999999</v>
      </c>
      <c r="O19" s="178">
        <f t="shared" si="11"/>
        <v>6963.72</v>
      </c>
      <c r="P19" s="173">
        <f>ROUND(O19/5/12,2)</f>
        <v>116.06</v>
      </c>
      <c r="Q19" s="192">
        <f>39+37+4</f>
        <v>80</v>
      </c>
      <c r="R19" s="182">
        <f t="shared" ref="R19:R20" si="14">ROUND(P19*3/Q19,2)</f>
        <v>4.3499999999999996</v>
      </c>
      <c r="S19" s="209">
        <f>ROUND(441.63*2/Q19,2)</f>
        <v>11.04</v>
      </c>
    </row>
    <row r="20" spans="1:19" ht="15" customHeight="1" x14ac:dyDescent="0.25">
      <c r="A20" s="214"/>
      <c r="B20" s="216"/>
      <c r="C20" s="28" t="s">
        <v>15</v>
      </c>
      <c r="D20" s="177"/>
      <c r="E20" s="199"/>
      <c r="F20" s="199"/>
      <c r="G20" s="199"/>
      <c r="H20" s="168">
        <f>ROUND((E20+F20+G20)*11.7%,2)</f>
        <v>0</v>
      </c>
      <c r="I20" s="170">
        <f>E20+F20+G20+H20</f>
        <v>0</v>
      </c>
      <c r="J20" s="199">
        <f t="shared" ref="J20" si="15">ROUND(I20*11.6%,2)</f>
        <v>0</v>
      </c>
      <c r="K20" s="170">
        <f t="shared" si="0"/>
        <v>0</v>
      </c>
      <c r="L20" s="170">
        <f t="shared" si="8"/>
        <v>0</v>
      </c>
      <c r="M20" s="174">
        <f t="shared" si="9"/>
        <v>0</v>
      </c>
      <c r="N20" s="174">
        <f t="shared" si="10"/>
        <v>0</v>
      </c>
      <c r="O20" s="179">
        <f t="shared" si="11"/>
        <v>0</v>
      </c>
      <c r="P20" s="174"/>
      <c r="Q20" s="194"/>
      <c r="R20" s="183" t="e">
        <f t="shared" si="14"/>
        <v>#DIV/0!</v>
      </c>
      <c r="S20" s="209" t="e">
        <f t="shared" si="7"/>
        <v>#DIV/0!</v>
      </c>
    </row>
    <row r="21" spans="1:19" ht="15.75" customHeight="1" x14ac:dyDescent="0.25">
      <c r="A21" s="213">
        <v>8</v>
      </c>
      <c r="B21" s="215" t="s">
        <v>753</v>
      </c>
      <c r="C21" s="27" t="s">
        <v>15</v>
      </c>
      <c r="D21" s="175">
        <f>1962.25*6</f>
        <v>11773.5</v>
      </c>
      <c r="E21" s="190">
        <f>18.08*6</f>
        <v>108.47999999999999</v>
      </c>
      <c r="F21" s="190">
        <f>532.22*6</f>
        <v>3193.32</v>
      </c>
      <c r="G21" s="190">
        <f>117.09*6</f>
        <v>702.54</v>
      </c>
      <c r="H21" s="167">
        <f>175.99*6</f>
        <v>1055.94</v>
      </c>
      <c r="I21" s="169">
        <f>E21+F21+G21+H21+D21</f>
        <v>16833.78</v>
      </c>
      <c r="J21" s="190">
        <f>11.41*6</f>
        <v>68.460000000000008</v>
      </c>
      <c r="K21" s="169">
        <f t="shared" si="0"/>
        <v>16902.239999999998</v>
      </c>
      <c r="L21" s="169">
        <f t="shared" si="8"/>
        <v>507.07</v>
      </c>
      <c r="M21" s="173">
        <f t="shared" si="9"/>
        <v>17409.309999999998</v>
      </c>
      <c r="N21" s="173">
        <f t="shared" si="10"/>
        <v>3481.86</v>
      </c>
      <c r="O21" s="178">
        <f t="shared" si="11"/>
        <v>20891.169999999998</v>
      </c>
      <c r="P21" s="173">
        <f>ROUND(O21/5/12,2)</f>
        <v>348.19</v>
      </c>
      <c r="Q21" s="192">
        <f>37+36+34+36+36+36+2</f>
        <v>217</v>
      </c>
      <c r="R21" s="182">
        <f>ROUND(P21*3/Q21,2)</f>
        <v>4.8099999999999996</v>
      </c>
      <c r="S21" s="166">
        <f>ROUND(441.63*6/Q21,2)</f>
        <v>12.21</v>
      </c>
    </row>
    <row r="22" spans="1:19" ht="15.75" customHeight="1" x14ac:dyDescent="0.25">
      <c r="A22" s="217"/>
      <c r="B22" s="218"/>
      <c r="C22" s="29" t="s">
        <v>49</v>
      </c>
      <c r="D22" s="176"/>
      <c r="E22" s="200"/>
      <c r="F22" s="200"/>
      <c r="G22" s="200"/>
      <c r="H22" s="171">
        <f>ROUND((E22+F22+G22)*11.7%,2)</f>
        <v>0</v>
      </c>
      <c r="I22" s="172">
        <f>E22+F22+G22+H22</f>
        <v>0</v>
      </c>
      <c r="J22" s="200">
        <f t="shared" si="12"/>
        <v>0</v>
      </c>
      <c r="K22" s="172">
        <f t="shared" si="0"/>
        <v>0</v>
      </c>
      <c r="L22" s="172">
        <f t="shared" si="8"/>
        <v>0</v>
      </c>
      <c r="M22" s="191">
        <f t="shared" si="9"/>
        <v>0</v>
      </c>
      <c r="N22" s="191">
        <f t="shared" si="10"/>
        <v>0</v>
      </c>
      <c r="O22" s="187">
        <f t="shared" si="11"/>
        <v>0</v>
      </c>
      <c r="P22" s="191"/>
      <c r="Q22" s="193"/>
      <c r="R22" s="189" t="e">
        <f t="shared" si="13"/>
        <v>#DIV/0!</v>
      </c>
      <c r="S22" s="166" t="e">
        <f t="shared" si="7"/>
        <v>#DIV/0!</v>
      </c>
    </row>
    <row r="23" spans="1:19" ht="15.75" customHeight="1" x14ac:dyDescent="0.25">
      <c r="A23" s="217"/>
      <c r="B23" s="218"/>
      <c r="C23" s="29" t="s">
        <v>49</v>
      </c>
      <c r="D23" s="176"/>
      <c r="E23" s="200"/>
      <c r="F23" s="200"/>
      <c r="G23" s="200"/>
      <c r="H23" s="171">
        <f>ROUND((E23+F23+G23)*11.7%,2)</f>
        <v>0</v>
      </c>
      <c r="I23" s="172">
        <f>E23+F23+G23+H23</f>
        <v>0</v>
      </c>
      <c r="J23" s="200">
        <f t="shared" si="12"/>
        <v>0</v>
      </c>
      <c r="K23" s="172">
        <f t="shared" si="0"/>
        <v>0</v>
      </c>
      <c r="L23" s="172">
        <f t="shared" si="8"/>
        <v>0</v>
      </c>
      <c r="M23" s="191">
        <f t="shared" si="9"/>
        <v>0</v>
      </c>
      <c r="N23" s="191">
        <f t="shared" si="10"/>
        <v>0</v>
      </c>
      <c r="O23" s="187">
        <f t="shared" si="11"/>
        <v>0</v>
      </c>
      <c r="P23" s="191"/>
      <c r="Q23" s="193"/>
      <c r="R23" s="189" t="e">
        <f t="shared" si="13"/>
        <v>#DIV/0!</v>
      </c>
      <c r="S23" s="166" t="e">
        <f t="shared" si="7"/>
        <v>#DIV/0!</v>
      </c>
    </row>
    <row r="24" spans="1:19" ht="15.75" customHeight="1" x14ac:dyDescent="0.25">
      <c r="A24" s="217"/>
      <c r="B24" s="218"/>
      <c r="C24" s="29" t="s">
        <v>49</v>
      </c>
      <c r="D24" s="176"/>
      <c r="E24" s="200"/>
      <c r="F24" s="200"/>
      <c r="G24" s="200"/>
      <c r="H24" s="171">
        <f>ROUND((E24+F24+G24)*11.7%,2)</f>
        <v>0</v>
      </c>
      <c r="I24" s="172">
        <f>E24+F24+G24+H24</f>
        <v>0</v>
      </c>
      <c r="J24" s="200">
        <f t="shared" si="12"/>
        <v>0</v>
      </c>
      <c r="K24" s="172">
        <f t="shared" si="0"/>
        <v>0</v>
      </c>
      <c r="L24" s="172">
        <f t="shared" si="8"/>
        <v>0</v>
      </c>
      <c r="M24" s="191">
        <f t="shared" si="9"/>
        <v>0</v>
      </c>
      <c r="N24" s="191">
        <f t="shared" si="10"/>
        <v>0</v>
      </c>
      <c r="O24" s="187">
        <f t="shared" si="11"/>
        <v>0</v>
      </c>
      <c r="P24" s="191"/>
      <c r="Q24" s="193"/>
      <c r="R24" s="189" t="e">
        <f t="shared" si="13"/>
        <v>#DIV/0!</v>
      </c>
      <c r="S24" s="166" t="e">
        <f t="shared" si="7"/>
        <v>#DIV/0!</v>
      </c>
    </row>
    <row r="25" spans="1:19" ht="15.75" customHeight="1" x14ac:dyDescent="0.25">
      <c r="A25" s="217"/>
      <c r="B25" s="218"/>
      <c r="C25" s="29" t="s">
        <v>49</v>
      </c>
      <c r="D25" s="176"/>
      <c r="E25" s="200"/>
      <c r="F25" s="200"/>
      <c r="G25" s="200"/>
      <c r="H25" s="171">
        <f>ROUND((E25+F25+G25)*11.7%,2)</f>
        <v>0</v>
      </c>
      <c r="I25" s="172">
        <f>E25+F25+G25+H25</f>
        <v>0</v>
      </c>
      <c r="J25" s="200">
        <f t="shared" si="12"/>
        <v>0</v>
      </c>
      <c r="K25" s="172">
        <f t="shared" si="0"/>
        <v>0</v>
      </c>
      <c r="L25" s="172">
        <f t="shared" si="8"/>
        <v>0</v>
      </c>
      <c r="M25" s="191">
        <f t="shared" si="9"/>
        <v>0</v>
      </c>
      <c r="N25" s="191">
        <f t="shared" si="10"/>
        <v>0</v>
      </c>
      <c r="O25" s="187">
        <f t="shared" si="11"/>
        <v>0</v>
      </c>
      <c r="P25" s="191"/>
      <c r="Q25" s="193"/>
      <c r="R25" s="189" t="e">
        <f t="shared" si="13"/>
        <v>#DIV/0!</v>
      </c>
      <c r="S25" s="166" t="e">
        <f t="shared" si="7"/>
        <v>#DIV/0!</v>
      </c>
    </row>
    <row r="26" spans="1:19" ht="15.75" customHeight="1" x14ac:dyDescent="0.25">
      <c r="A26" s="214"/>
      <c r="B26" s="216"/>
      <c r="C26" s="29" t="s">
        <v>49</v>
      </c>
      <c r="D26" s="177"/>
      <c r="E26" s="199"/>
      <c r="F26" s="199"/>
      <c r="G26" s="199"/>
      <c r="H26" s="168">
        <f>ROUND((E26+F26+G26)*11.7%,2)</f>
        <v>0</v>
      </c>
      <c r="I26" s="170">
        <f>E26+F26+G26+H26</f>
        <v>0</v>
      </c>
      <c r="J26" s="199">
        <f t="shared" si="12"/>
        <v>0</v>
      </c>
      <c r="K26" s="170">
        <f t="shared" si="0"/>
        <v>0</v>
      </c>
      <c r="L26" s="170">
        <f t="shared" si="8"/>
        <v>0</v>
      </c>
      <c r="M26" s="174">
        <f t="shared" si="9"/>
        <v>0</v>
      </c>
      <c r="N26" s="174">
        <f t="shared" si="10"/>
        <v>0</v>
      </c>
      <c r="O26" s="179">
        <f t="shared" si="11"/>
        <v>0</v>
      </c>
      <c r="P26" s="174"/>
      <c r="Q26" s="194"/>
      <c r="R26" s="183" t="e">
        <f t="shared" si="13"/>
        <v>#DIV/0!</v>
      </c>
      <c r="S26" s="166" t="e">
        <f t="shared" si="7"/>
        <v>#DIV/0!</v>
      </c>
    </row>
    <row r="27" spans="1:19" ht="15.75" customHeight="1" x14ac:dyDescent="0.25">
      <c r="A27" s="213">
        <v>9</v>
      </c>
      <c r="B27" s="215" t="s">
        <v>754</v>
      </c>
      <c r="C27" s="27" t="s">
        <v>15</v>
      </c>
      <c r="D27" s="175">
        <f>1962.25*2+3502.25</f>
        <v>7426.75</v>
      </c>
      <c r="E27" s="190">
        <f>18.08*2+21</f>
        <v>57.16</v>
      </c>
      <c r="F27" s="190">
        <f>532.22*2+546.46</f>
        <v>1610.9</v>
      </c>
      <c r="G27" s="190">
        <f>117.09*2+120.22</f>
        <v>354.4</v>
      </c>
      <c r="H27" s="167">
        <f>175.99*2+184.09</f>
        <v>536.07000000000005</v>
      </c>
      <c r="I27" s="169">
        <f>E27+F27+G27+H27+D27</f>
        <v>9985.2800000000007</v>
      </c>
      <c r="J27" s="190">
        <f>11.41*2+12.03</f>
        <v>34.85</v>
      </c>
      <c r="K27" s="169">
        <f t="shared" si="0"/>
        <v>10020.130000000001</v>
      </c>
      <c r="L27" s="169">
        <f t="shared" si="8"/>
        <v>300.60000000000002</v>
      </c>
      <c r="M27" s="173">
        <f t="shared" si="9"/>
        <v>10320.730000000001</v>
      </c>
      <c r="N27" s="173">
        <f t="shared" si="10"/>
        <v>2064.15</v>
      </c>
      <c r="O27" s="178">
        <f t="shared" si="11"/>
        <v>12384.880000000001</v>
      </c>
      <c r="P27" s="173">
        <f>ROUND(O27/5/12,2)</f>
        <v>206.41</v>
      </c>
      <c r="Q27" s="192">
        <f>36+36</f>
        <v>72</v>
      </c>
      <c r="R27" s="182">
        <f>ROUND(P27*3/Q27,2)</f>
        <v>8.6</v>
      </c>
      <c r="S27" s="219">
        <f>ROUND((441.63*2+705.6)/Q27,2)</f>
        <v>22.07</v>
      </c>
    </row>
    <row r="28" spans="1:19" ht="15.75" customHeight="1" x14ac:dyDescent="0.25">
      <c r="A28" s="217"/>
      <c r="B28" s="218"/>
      <c r="C28" s="29" t="s">
        <v>49</v>
      </c>
      <c r="D28" s="176"/>
      <c r="E28" s="200"/>
      <c r="F28" s="200"/>
      <c r="G28" s="200"/>
      <c r="H28" s="171">
        <f>ROUND((E28+F28+G28)*11.7%,2)</f>
        <v>0</v>
      </c>
      <c r="I28" s="172">
        <f>E28+F28+G28+H28</f>
        <v>0</v>
      </c>
      <c r="J28" s="200">
        <f t="shared" si="12"/>
        <v>0</v>
      </c>
      <c r="K28" s="172">
        <f t="shared" si="0"/>
        <v>0</v>
      </c>
      <c r="L28" s="172">
        <f t="shared" si="8"/>
        <v>0</v>
      </c>
      <c r="M28" s="191">
        <f t="shared" si="9"/>
        <v>0</v>
      </c>
      <c r="N28" s="191">
        <f t="shared" si="10"/>
        <v>0</v>
      </c>
      <c r="O28" s="187">
        <f t="shared" si="11"/>
        <v>0</v>
      </c>
      <c r="P28" s="191"/>
      <c r="Q28" s="193"/>
      <c r="R28" s="189" t="e">
        <f t="shared" si="13"/>
        <v>#DIV/0!</v>
      </c>
      <c r="S28" s="219"/>
    </row>
    <row r="29" spans="1:19" ht="15.75" customHeight="1" x14ac:dyDescent="0.25">
      <c r="A29" s="217"/>
      <c r="B29" s="218"/>
      <c r="C29" s="30" t="s">
        <v>155</v>
      </c>
      <c r="D29" s="177"/>
      <c r="E29" s="199"/>
      <c r="F29" s="199"/>
      <c r="G29" s="199"/>
      <c r="H29" s="168">
        <f>ROUND((E29+F29+G29)*11.7%,2)</f>
        <v>0</v>
      </c>
      <c r="I29" s="170">
        <f>E29+F29+G29+H29</f>
        <v>0</v>
      </c>
      <c r="J29" s="199">
        <f t="shared" si="12"/>
        <v>0</v>
      </c>
      <c r="K29" s="170">
        <f t="shared" si="0"/>
        <v>0</v>
      </c>
      <c r="L29" s="170">
        <f t="shared" si="8"/>
        <v>0</v>
      </c>
      <c r="M29" s="174">
        <f t="shared" si="9"/>
        <v>0</v>
      </c>
      <c r="N29" s="174">
        <f t="shared" si="10"/>
        <v>0</v>
      </c>
      <c r="O29" s="179">
        <f t="shared" si="11"/>
        <v>0</v>
      </c>
      <c r="P29" s="174"/>
      <c r="Q29" s="194"/>
      <c r="R29" s="183" t="e">
        <f t="shared" si="13"/>
        <v>#DIV/0!</v>
      </c>
      <c r="S29" s="219"/>
    </row>
    <row r="30" spans="1:19" ht="26.25" customHeight="1" x14ac:dyDescent="0.25">
      <c r="A30" s="22">
        <v>10</v>
      </c>
      <c r="B30" s="99" t="s">
        <v>8</v>
      </c>
      <c r="C30" s="26" t="s">
        <v>14</v>
      </c>
      <c r="D30" s="103">
        <v>2210.63</v>
      </c>
      <c r="E30" s="103">
        <v>18.079999999999998</v>
      </c>
      <c r="F30" s="103">
        <v>532.22</v>
      </c>
      <c r="G30" s="103">
        <v>117.09</v>
      </c>
      <c r="H30" s="11">
        <v>175.99</v>
      </c>
      <c r="I30" s="5">
        <f>E30+F30+G30+H30+D30</f>
        <v>3054.01</v>
      </c>
      <c r="J30" s="103">
        <v>11.41</v>
      </c>
      <c r="K30" s="5">
        <f t="shared" si="0"/>
        <v>3065.42</v>
      </c>
      <c r="L30" s="5">
        <f>ROUND(K30*3%,2)</f>
        <v>91.96</v>
      </c>
      <c r="M30" s="15">
        <f>K30+L30</f>
        <v>3157.38</v>
      </c>
      <c r="N30" s="15">
        <f>ROUND(M30*20%,2)</f>
        <v>631.48</v>
      </c>
      <c r="O30" s="100">
        <f>M30+N30</f>
        <v>3788.86</v>
      </c>
      <c r="P30" s="15">
        <f t="shared" ref="P30:P31" si="16">ROUND(O30/5/12,2)</f>
        <v>63.15</v>
      </c>
      <c r="Q30" s="63">
        <f>143+6</f>
        <v>149</v>
      </c>
      <c r="R30" s="102">
        <f>ROUND(P30*3/Q30,2)</f>
        <v>1.27</v>
      </c>
      <c r="S30" s="48">
        <f>ROUND(441.63/Q30,2)</f>
        <v>2.96</v>
      </c>
    </row>
    <row r="31" spans="1:19" ht="26.25" customHeight="1" x14ac:dyDescent="0.25">
      <c r="A31" s="22">
        <v>11</v>
      </c>
      <c r="B31" s="99" t="s">
        <v>9</v>
      </c>
      <c r="C31" s="26" t="s">
        <v>16</v>
      </c>
      <c r="D31" s="103">
        <v>2210.63</v>
      </c>
      <c r="E31" s="103">
        <v>18.079999999999998</v>
      </c>
      <c r="F31" s="103">
        <v>532.22</v>
      </c>
      <c r="G31" s="103">
        <v>117.09</v>
      </c>
      <c r="H31" s="11">
        <v>175.99</v>
      </c>
      <c r="I31" s="5">
        <f>E31+F31+G31+H31+D31</f>
        <v>3054.01</v>
      </c>
      <c r="J31" s="103">
        <v>11.41</v>
      </c>
      <c r="K31" s="5">
        <f t="shared" si="0"/>
        <v>3065.42</v>
      </c>
      <c r="L31" s="5">
        <f>ROUND(K31*3%,2)</f>
        <v>91.96</v>
      </c>
      <c r="M31" s="15">
        <f>K31+L31</f>
        <v>3157.38</v>
      </c>
      <c r="N31" s="15">
        <f>ROUND(M31*20%,2)</f>
        <v>631.48</v>
      </c>
      <c r="O31" s="100">
        <f>M31+N31</f>
        <v>3788.86</v>
      </c>
      <c r="P31" s="15">
        <f t="shared" si="16"/>
        <v>63.15</v>
      </c>
      <c r="Q31" s="63">
        <v>90</v>
      </c>
      <c r="R31" s="102">
        <f>ROUND(P31*3/Q31,2)-0.01</f>
        <v>2.1</v>
      </c>
      <c r="S31" s="48">
        <f>ROUND(441.63/Q31,2)</f>
        <v>4.91</v>
      </c>
    </row>
    <row r="32" spans="1:19" ht="15.75" customHeight="1" x14ac:dyDescent="0.25">
      <c r="A32" s="213">
        <v>12</v>
      </c>
      <c r="B32" s="215" t="s">
        <v>10</v>
      </c>
      <c r="C32" s="29" t="s">
        <v>49</v>
      </c>
      <c r="D32" s="175">
        <f>1962.25*3</f>
        <v>5886.75</v>
      </c>
      <c r="E32" s="190">
        <f>18.08*3</f>
        <v>54.239999999999995</v>
      </c>
      <c r="F32" s="190">
        <f>532.22*3</f>
        <v>1596.66</v>
      </c>
      <c r="G32" s="190">
        <f>117.09*3</f>
        <v>351.27</v>
      </c>
      <c r="H32" s="167">
        <f>175.99*3</f>
        <v>527.97</v>
      </c>
      <c r="I32" s="169">
        <f>E32+F32+G32+H32+D32</f>
        <v>8416.89</v>
      </c>
      <c r="J32" s="190">
        <f>11.41*3</f>
        <v>34.230000000000004</v>
      </c>
      <c r="K32" s="169">
        <f t="shared" si="0"/>
        <v>8451.119999999999</v>
      </c>
      <c r="L32" s="169">
        <f t="shared" ref="L32:L34" si="17">ROUND(K32*3%,2)</f>
        <v>253.53</v>
      </c>
      <c r="M32" s="173">
        <f t="shared" ref="M32:M34" si="18">K32+L32</f>
        <v>8704.65</v>
      </c>
      <c r="N32" s="173">
        <f t="shared" ref="N32:N34" si="19">ROUND(M32*20%,2)</f>
        <v>1740.93</v>
      </c>
      <c r="O32" s="178">
        <f t="shared" ref="O32:O34" si="20">M32+N32</f>
        <v>10445.58</v>
      </c>
      <c r="P32" s="173">
        <f>ROUND(O32/5/12,2)</f>
        <v>174.09</v>
      </c>
      <c r="Q32" s="192">
        <f>35+38+36+4</f>
        <v>113</v>
      </c>
      <c r="R32" s="182">
        <f>ROUND(P32*3/Q32,2)</f>
        <v>4.62</v>
      </c>
      <c r="S32" s="166">
        <f>ROUND(441.63*3/Q32,2)</f>
        <v>11.72</v>
      </c>
    </row>
    <row r="33" spans="1:19" ht="15.75" customHeight="1" x14ac:dyDescent="0.25">
      <c r="A33" s="217"/>
      <c r="B33" s="218"/>
      <c r="C33" s="29" t="s">
        <v>49</v>
      </c>
      <c r="D33" s="176"/>
      <c r="E33" s="200"/>
      <c r="F33" s="200"/>
      <c r="G33" s="200"/>
      <c r="H33" s="171">
        <f>ROUND((E33+F33+G33)*11.7%,2)</f>
        <v>0</v>
      </c>
      <c r="I33" s="172">
        <f>E33+F33+G33+H33</f>
        <v>0</v>
      </c>
      <c r="J33" s="200">
        <f t="shared" ref="J33:J34" si="21">ROUND(I33*11.6%,2)</f>
        <v>0</v>
      </c>
      <c r="K33" s="172">
        <f t="shared" si="0"/>
        <v>0</v>
      </c>
      <c r="L33" s="172">
        <f t="shared" si="17"/>
        <v>0</v>
      </c>
      <c r="M33" s="191">
        <f t="shared" si="18"/>
        <v>0</v>
      </c>
      <c r="N33" s="191">
        <f t="shared" si="19"/>
        <v>0</v>
      </c>
      <c r="O33" s="187">
        <f t="shared" si="20"/>
        <v>0</v>
      </c>
      <c r="P33" s="191"/>
      <c r="Q33" s="193"/>
      <c r="R33" s="189" t="e">
        <f t="shared" si="13"/>
        <v>#DIV/0!</v>
      </c>
      <c r="S33" s="166" t="e">
        <f t="shared" si="7"/>
        <v>#DIV/0!</v>
      </c>
    </row>
    <row r="34" spans="1:19" ht="15.75" customHeight="1" x14ac:dyDescent="0.25">
      <c r="A34" s="214"/>
      <c r="B34" s="216"/>
      <c r="C34" s="29" t="s">
        <v>49</v>
      </c>
      <c r="D34" s="177"/>
      <c r="E34" s="199"/>
      <c r="F34" s="199"/>
      <c r="G34" s="199"/>
      <c r="H34" s="168">
        <f>ROUND((E34+F34+G34)*11.7%,2)</f>
        <v>0</v>
      </c>
      <c r="I34" s="170">
        <f>E34+F34+G34+H34</f>
        <v>0</v>
      </c>
      <c r="J34" s="199">
        <f t="shared" si="21"/>
        <v>0</v>
      </c>
      <c r="K34" s="170">
        <f t="shared" si="0"/>
        <v>0</v>
      </c>
      <c r="L34" s="170">
        <f t="shared" si="17"/>
        <v>0</v>
      </c>
      <c r="M34" s="174">
        <f t="shared" si="18"/>
        <v>0</v>
      </c>
      <c r="N34" s="174">
        <f t="shared" si="19"/>
        <v>0</v>
      </c>
      <c r="O34" s="179">
        <f t="shared" si="20"/>
        <v>0</v>
      </c>
      <c r="P34" s="174"/>
      <c r="Q34" s="194"/>
      <c r="R34" s="183" t="e">
        <f t="shared" si="13"/>
        <v>#DIV/0!</v>
      </c>
      <c r="S34" s="166" t="e">
        <f t="shared" si="7"/>
        <v>#DIV/0!</v>
      </c>
    </row>
    <row r="35" spans="1:19" ht="19.5" customHeight="1" x14ac:dyDescent="0.25">
      <c r="A35" s="22">
        <v>13</v>
      </c>
      <c r="B35" s="99" t="s">
        <v>11</v>
      </c>
      <c r="C35" s="26" t="s">
        <v>13</v>
      </c>
      <c r="D35" s="103">
        <v>2427.87</v>
      </c>
      <c r="E35" s="103">
        <v>21</v>
      </c>
      <c r="F35" s="103">
        <v>580.29999999999995</v>
      </c>
      <c r="G35" s="103">
        <v>127.67</v>
      </c>
      <c r="H35" s="11">
        <v>195.01</v>
      </c>
      <c r="I35" s="5">
        <f>E35+F35+G35+H35+D35</f>
        <v>3351.85</v>
      </c>
      <c r="J35" s="103">
        <v>12.67</v>
      </c>
      <c r="K35" s="5">
        <f t="shared" si="0"/>
        <v>3364.52</v>
      </c>
      <c r="L35" s="5">
        <f>ROUND(K35*3%,2)</f>
        <v>100.94</v>
      </c>
      <c r="M35" s="15">
        <f>K35+L35</f>
        <v>3465.46</v>
      </c>
      <c r="N35" s="15">
        <f>ROUND(M35*20%,2)</f>
        <v>693.09</v>
      </c>
      <c r="O35" s="100">
        <f>M35+N35</f>
        <v>4158.55</v>
      </c>
      <c r="P35" s="15">
        <f>ROUND(O35/5/12,2)</f>
        <v>69.31</v>
      </c>
      <c r="Q35" s="63">
        <v>72</v>
      </c>
      <c r="R35" s="102">
        <f>ROUND(P35*3/Q35,2)</f>
        <v>2.89</v>
      </c>
      <c r="S35" s="48">
        <f>ROUND(451.2/Q35,2)</f>
        <v>6.27</v>
      </c>
    </row>
    <row r="36" spans="1:19" ht="15.75" customHeight="1" x14ac:dyDescent="0.25">
      <c r="A36" s="213">
        <v>14</v>
      </c>
      <c r="B36" s="215" t="s">
        <v>17</v>
      </c>
      <c r="C36" s="27" t="s">
        <v>18</v>
      </c>
      <c r="D36" s="175">
        <f>1475.88*2+1962.25</f>
        <v>4914.01</v>
      </c>
      <c r="E36" s="190">
        <f>18.08*2+18.08</f>
        <v>54.239999999999995</v>
      </c>
      <c r="F36" s="190">
        <f>532.22*2+532.22</f>
        <v>1596.66</v>
      </c>
      <c r="G36" s="190">
        <f>117.09*2+117.09</f>
        <v>351.27</v>
      </c>
      <c r="H36" s="167">
        <f>175.99*2+175.99</f>
        <v>527.97</v>
      </c>
      <c r="I36" s="169">
        <f>E36+F36+G36+H36+D36</f>
        <v>7444.1500000000005</v>
      </c>
      <c r="J36" s="190">
        <f>11.41*2+11.41</f>
        <v>34.230000000000004</v>
      </c>
      <c r="K36" s="169">
        <f t="shared" si="0"/>
        <v>7478.38</v>
      </c>
      <c r="L36" s="169">
        <f t="shared" ref="L36:L38" si="22">ROUND(K36*3%,2)</f>
        <v>224.35</v>
      </c>
      <c r="M36" s="173">
        <f t="shared" ref="M36:M38" si="23">K36+L36</f>
        <v>7702.7300000000005</v>
      </c>
      <c r="N36" s="173">
        <f t="shared" ref="N36:N38" si="24">ROUND(M36*20%,2)</f>
        <v>1540.55</v>
      </c>
      <c r="O36" s="178">
        <f t="shared" ref="O36:O38" si="25">M36+N36</f>
        <v>9243.2800000000007</v>
      </c>
      <c r="P36" s="173">
        <f>ROUND(O36/5/12,2)</f>
        <v>154.05000000000001</v>
      </c>
      <c r="Q36" s="192">
        <f>37+35+35+1</f>
        <v>108</v>
      </c>
      <c r="R36" s="182">
        <f>ROUND(P36*3/Q36,2)</f>
        <v>4.28</v>
      </c>
      <c r="S36" s="166">
        <f>ROUND(441.63*3/Q36,2)</f>
        <v>12.27</v>
      </c>
    </row>
    <row r="37" spans="1:19" ht="15.75" customHeight="1" x14ac:dyDescent="0.25">
      <c r="A37" s="217"/>
      <c r="B37" s="218"/>
      <c r="C37" s="29" t="s">
        <v>19</v>
      </c>
      <c r="D37" s="176"/>
      <c r="E37" s="200"/>
      <c r="F37" s="200"/>
      <c r="G37" s="200"/>
      <c r="H37" s="171">
        <f>ROUND((E37+F37+G37)*11.7%,2)</f>
        <v>0</v>
      </c>
      <c r="I37" s="172">
        <f t="shared" ref="I37:I88" si="26">E37+F37+G37+H37</f>
        <v>0</v>
      </c>
      <c r="J37" s="200">
        <f t="shared" ref="J37:J38" si="27">ROUND(I37*11.6%,2)</f>
        <v>0</v>
      </c>
      <c r="K37" s="172">
        <f t="shared" si="0"/>
        <v>0</v>
      </c>
      <c r="L37" s="172">
        <f t="shared" si="22"/>
        <v>0</v>
      </c>
      <c r="M37" s="191">
        <f t="shared" si="23"/>
        <v>0</v>
      </c>
      <c r="N37" s="191">
        <f t="shared" si="24"/>
        <v>0</v>
      </c>
      <c r="O37" s="187">
        <f t="shared" si="25"/>
        <v>0</v>
      </c>
      <c r="P37" s="191"/>
      <c r="Q37" s="193"/>
      <c r="R37" s="189" t="e">
        <f t="shared" si="13"/>
        <v>#DIV/0!</v>
      </c>
      <c r="S37" s="166" t="e">
        <f t="shared" si="7"/>
        <v>#DIV/0!</v>
      </c>
    </row>
    <row r="38" spans="1:19" ht="15.75" customHeight="1" x14ac:dyDescent="0.25">
      <c r="A38" s="214"/>
      <c r="B38" s="216"/>
      <c r="C38" s="30" t="s">
        <v>20</v>
      </c>
      <c r="D38" s="177"/>
      <c r="E38" s="199"/>
      <c r="F38" s="199"/>
      <c r="G38" s="199"/>
      <c r="H38" s="168">
        <f>ROUND((E38+F38+G38)*11.7%,2)</f>
        <v>0</v>
      </c>
      <c r="I38" s="170">
        <f t="shared" si="26"/>
        <v>0</v>
      </c>
      <c r="J38" s="199">
        <f t="shared" si="27"/>
        <v>0</v>
      </c>
      <c r="K38" s="170">
        <f t="shared" si="0"/>
        <v>0</v>
      </c>
      <c r="L38" s="170">
        <f t="shared" si="22"/>
        <v>0</v>
      </c>
      <c r="M38" s="174">
        <f t="shared" si="23"/>
        <v>0</v>
      </c>
      <c r="N38" s="174">
        <f t="shared" si="24"/>
        <v>0</v>
      </c>
      <c r="O38" s="179">
        <f t="shared" si="25"/>
        <v>0</v>
      </c>
      <c r="P38" s="174"/>
      <c r="Q38" s="194"/>
      <c r="R38" s="183" t="e">
        <f t="shared" si="13"/>
        <v>#DIV/0!</v>
      </c>
      <c r="S38" s="166" t="e">
        <f t="shared" si="7"/>
        <v>#DIV/0!</v>
      </c>
    </row>
    <row r="39" spans="1:19" ht="20.25" customHeight="1" x14ac:dyDescent="0.25">
      <c r="A39" s="94">
        <v>15</v>
      </c>
      <c r="B39" s="99" t="s">
        <v>21</v>
      </c>
      <c r="C39" s="26" t="s">
        <v>16</v>
      </c>
      <c r="D39" s="103">
        <v>2210.63</v>
      </c>
      <c r="E39" s="103">
        <v>18.079999999999998</v>
      </c>
      <c r="F39" s="103">
        <v>532.22</v>
      </c>
      <c r="G39" s="103">
        <v>117.09</v>
      </c>
      <c r="H39" s="11">
        <v>175.99</v>
      </c>
      <c r="I39" s="5">
        <f>E39+F39+G39+H39+D39</f>
        <v>3054.01</v>
      </c>
      <c r="J39" s="103">
        <v>11.41</v>
      </c>
      <c r="K39" s="5">
        <f t="shared" si="0"/>
        <v>3065.42</v>
      </c>
      <c r="L39" s="5">
        <f>ROUND(K39*3%,2)</f>
        <v>91.96</v>
      </c>
      <c r="M39" s="15">
        <f>K39+L39</f>
        <v>3157.38</v>
      </c>
      <c r="N39" s="15">
        <f>ROUND(M39*20%,2)</f>
        <v>631.48</v>
      </c>
      <c r="O39" s="100">
        <f>M39+N39</f>
        <v>3788.86</v>
      </c>
      <c r="P39" s="75">
        <f>ROUND(O39/5/12,2)</f>
        <v>63.15</v>
      </c>
      <c r="Q39" s="105">
        <f>45+2</f>
        <v>47</v>
      </c>
      <c r="R39" s="102">
        <f>ROUND(P39*3/Q39,2)</f>
        <v>4.03</v>
      </c>
      <c r="S39" s="104">
        <f>ROUND(441.63/Q39,2)</f>
        <v>9.4</v>
      </c>
    </row>
    <row r="40" spans="1:19" ht="15" customHeight="1" x14ac:dyDescent="0.25">
      <c r="A40" s="213">
        <v>16</v>
      </c>
      <c r="B40" s="215" t="s">
        <v>22</v>
      </c>
      <c r="C40" s="27" t="s">
        <v>15</v>
      </c>
      <c r="D40" s="175">
        <f>1962.25*3</f>
        <v>5886.75</v>
      </c>
      <c r="E40" s="190">
        <f>18.08*3</f>
        <v>54.239999999999995</v>
      </c>
      <c r="F40" s="190">
        <f>532.22*3</f>
        <v>1596.66</v>
      </c>
      <c r="G40" s="190">
        <f>117.09*3</f>
        <v>351.27</v>
      </c>
      <c r="H40" s="167">
        <f>175.99*3</f>
        <v>527.97</v>
      </c>
      <c r="I40" s="169">
        <f>E40+F40+G40+H40+D40</f>
        <v>8416.89</v>
      </c>
      <c r="J40" s="190">
        <f>11.41*3</f>
        <v>34.230000000000004</v>
      </c>
      <c r="K40" s="169">
        <f t="shared" si="0"/>
        <v>8451.119999999999</v>
      </c>
      <c r="L40" s="169">
        <f t="shared" ref="L40:L103" si="28">ROUND(K40*3%,2)</f>
        <v>253.53</v>
      </c>
      <c r="M40" s="173">
        <f t="shared" ref="M40:M103" si="29">K40+L40</f>
        <v>8704.65</v>
      </c>
      <c r="N40" s="173">
        <f t="shared" ref="N40:N103" si="30">ROUND(M40*20%,2)</f>
        <v>1740.93</v>
      </c>
      <c r="O40" s="178">
        <f t="shared" ref="O40:O103" si="31">M40+N40</f>
        <v>10445.58</v>
      </c>
      <c r="P40" s="173">
        <f>ROUND(O40/5/12,2)</f>
        <v>174.09</v>
      </c>
      <c r="Q40" s="192">
        <f>40+39+40+1</f>
        <v>120</v>
      </c>
      <c r="R40" s="182">
        <f>ROUND(P40*3/Q40,2)</f>
        <v>4.3499999999999996</v>
      </c>
      <c r="S40" s="166">
        <f>ROUND(441.63*3/Q40,2)</f>
        <v>11.04</v>
      </c>
    </row>
    <row r="41" spans="1:19" ht="15" customHeight="1" x14ac:dyDescent="0.25">
      <c r="A41" s="217"/>
      <c r="B41" s="218"/>
      <c r="C41" s="29" t="s">
        <v>49</v>
      </c>
      <c r="D41" s="176"/>
      <c r="E41" s="200"/>
      <c r="F41" s="200"/>
      <c r="G41" s="200"/>
      <c r="H41" s="171">
        <f>ROUND((E41+F41+G41)*11.7%,2)</f>
        <v>0</v>
      </c>
      <c r="I41" s="172">
        <f>E41+F41+G41+H41</f>
        <v>0</v>
      </c>
      <c r="J41" s="200">
        <f t="shared" ref="J41:J42" si="32">ROUND(I41*11.6%,2)</f>
        <v>0</v>
      </c>
      <c r="K41" s="172">
        <f t="shared" si="0"/>
        <v>0</v>
      </c>
      <c r="L41" s="172">
        <f t="shared" si="28"/>
        <v>0</v>
      </c>
      <c r="M41" s="191">
        <f t="shared" si="29"/>
        <v>0</v>
      </c>
      <c r="N41" s="191">
        <f t="shared" si="30"/>
        <v>0</v>
      </c>
      <c r="O41" s="187">
        <f t="shared" si="31"/>
        <v>0</v>
      </c>
      <c r="P41" s="191"/>
      <c r="Q41" s="193"/>
      <c r="R41" s="189" t="e">
        <f t="shared" si="13"/>
        <v>#DIV/0!</v>
      </c>
      <c r="S41" s="166" t="e">
        <f t="shared" si="7"/>
        <v>#DIV/0!</v>
      </c>
    </row>
    <row r="42" spans="1:19" ht="15" customHeight="1" x14ac:dyDescent="0.25">
      <c r="A42" s="214"/>
      <c r="B42" s="216"/>
      <c r="C42" s="30" t="s">
        <v>49</v>
      </c>
      <c r="D42" s="177"/>
      <c r="E42" s="199"/>
      <c r="F42" s="199"/>
      <c r="G42" s="199"/>
      <c r="H42" s="168">
        <f>ROUND((E42+F42+G42)*11.7%,2)</f>
        <v>0</v>
      </c>
      <c r="I42" s="170">
        <f>E42+F42+G42+H42</f>
        <v>0</v>
      </c>
      <c r="J42" s="199">
        <f t="shared" si="32"/>
        <v>0</v>
      </c>
      <c r="K42" s="170">
        <f t="shared" si="0"/>
        <v>0</v>
      </c>
      <c r="L42" s="170">
        <f t="shared" si="28"/>
        <v>0</v>
      </c>
      <c r="M42" s="174">
        <f t="shared" si="29"/>
        <v>0</v>
      </c>
      <c r="N42" s="174">
        <f t="shared" si="30"/>
        <v>0</v>
      </c>
      <c r="O42" s="179">
        <f t="shared" si="31"/>
        <v>0</v>
      </c>
      <c r="P42" s="174"/>
      <c r="Q42" s="194"/>
      <c r="R42" s="183" t="e">
        <f t="shared" si="13"/>
        <v>#DIV/0!</v>
      </c>
      <c r="S42" s="166" t="e">
        <f t="shared" si="7"/>
        <v>#DIV/0!</v>
      </c>
    </row>
    <row r="43" spans="1:19" ht="16.5" thickBot="1" x14ac:dyDescent="0.3">
      <c r="A43" s="23">
        <v>17</v>
      </c>
      <c r="B43" s="111" t="s">
        <v>2</v>
      </c>
      <c r="C43" s="112" t="s">
        <v>14</v>
      </c>
      <c r="D43" s="57">
        <v>2210.63</v>
      </c>
      <c r="E43" s="57">
        <v>18.079999999999998</v>
      </c>
      <c r="F43" s="57">
        <v>532.22</v>
      </c>
      <c r="G43" s="57">
        <v>117.09</v>
      </c>
      <c r="H43" s="58">
        <v>175.99</v>
      </c>
      <c r="I43" s="59">
        <f>E43+F43+G43+H43+D43</f>
        <v>3054.01</v>
      </c>
      <c r="J43" s="57">
        <v>11.41</v>
      </c>
      <c r="K43" s="59">
        <f t="shared" si="0"/>
        <v>3065.42</v>
      </c>
      <c r="L43" s="59">
        <f t="shared" si="28"/>
        <v>91.96</v>
      </c>
      <c r="M43" s="60">
        <f t="shared" si="29"/>
        <v>3157.38</v>
      </c>
      <c r="N43" s="60">
        <f t="shared" si="30"/>
        <v>631.48</v>
      </c>
      <c r="O43" s="61">
        <f t="shared" si="31"/>
        <v>3788.86</v>
      </c>
      <c r="P43" s="60">
        <f t="shared" ref="P43:P53" si="33">ROUND(O43/5/12,2)</f>
        <v>63.15</v>
      </c>
      <c r="Q43" s="113">
        <v>60</v>
      </c>
      <c r="R43" s="53">
        <f t="shared" ref="R43:R55" si="34">ROUND(P43*3/Q43,2)</f>
        <v>3.16</v>
      </c>
      <c r="S43" s="114">
        <f>ROUND(441.63/Q43,2)</f>
        <v>7.36</v>
      </c>
    </row>
    <row r="44" spans="1:19" ht="15.75" x14ac:dyDescent="0.25">
      <c r="A44" s="115">
        <v>18</v>
      </c>
      <c r="B44" s="116" t="s">
        <v>23</v>
      </c>
      <c r="C44" s="117" t="s">
        <v>24</v>
      </c>
      <c r="D44" s="118">
        <v>1962.25</v>
      </c>
      <c r="E44" s="118">
        <v>18.079999999999998</v>
      </c>
      <c r="F44" s="118">
        <v>532.22</v>
      </c>
      <c r="G44" s="118">
        <v>117.09</v>
      </c>
      <c r="H44" s="119">
        <v>175.99</v>
      </c>
      <c r="I44" s="120">
        <f>E44+F44+G44+H44+D44</f>
        <v>2805.63</v>
      </c>
      <c r="J44" s="118">
        <v>11.41</v>
      </c>
      <c r="K44" s="120">
        <f t="shared" si="0"/>
        <v>2817.04</v>
      </c>
      <c r="L44" s="120">
        <f t="shared" si="28"/>
        <v>84.51</v>
      </c>
      <c r="M44" s="121">
        <f t="shared" si="29"/>
        <v>2901.55</v>
      </c>
      <c r="N44" s="121">
        <f t="shared" si="30"/>
        <v>580.30999999999995</v>
      </c>
      <c r="O44" s="122">
        <f t="shared" si="31"/>
        <v>3481.86</v>
      </c>
      <c r="P44" s="121">
        <f t="shared" si="33"/>
        <v>58.03</v>
      </c>
      <c r="Q44" s="123">
        <v>31</v>
      </c>
      <c r="R44" s="124">
        <f t="shared" si="34"/>
        <v>5.62</v>
      </c>
      <c r="S44" s="125">
        <f>ROUND(441.63/Q44,2)</f>
        <v>14.25</v>
      </c>
    </row>
    <row r="45" spans="1:19" ht="15.75" x14ac:dyDescent="0.25">
      <c r="A45" s="87">
        <v>19</v>
      </c>
      <c r="B45" s="99" t="s">
        <v>25</v>
      </c>
      <c r="C45" s="26" t="s">
        <v>15</v>
      </c>
      <c r="D45" s="103">
        <v>1962.25</v>
      </c>
      <c r="E45" s="103">
        <v>18.079999999999998</v>
      </c>
      <c r="F45" s="103">
        <v>532.22</v>
      </c>
      <c r="G45" s="103">
        <v>117.09</v>
      </c>
      <c r="H45" s="11">
        <v>175.99</v>
      </c>
      <c r="I45" s="5">
        <f>E45+F45+G45+H45+D45</f>
        <v>2805.63</v>
      </c>
      <c r="J45" s="103">
        <v>11.41</v>
      </c>
      <c r="K45" s="5">
        <f t="shared" si="0"/>
        <v>2817.04</v>
      </c>
      <c r="L45" s="5">
        <f t="shared" si="28"/>
        <v>84.51</v>
      </c>
      <c r="M45" s="15">
        <f t="shared" si="29"/>
        <v>2901.55</v>
      </c>
      <c r="N45" s="15">
        <f t="shared" si="30"/>
        <v>580.30999999999995</v>
      </c>
      <c r="O45" s="100">
        <f t="shared" si="31"/>
        <v>3481.86</v>
      </c>
      <c r="P45" s="15">
        <f t="shared" si="33"/>
        <v>58.03</v>
      </c>
      <c r="Q45" s="64">
        <v>35</v>
      </c>
      <c r="R45" s="102">
        <f t="shared" si="34"/>
        <v>4.97</v>
      </c>
      <c r="S45" s="48">
        <f>ROUND(441.63/Q45,2)</f>
        <v>12.62</v>
      </c>
    </row>
    <row r="46" spans="1:19" ht="15.75" x14ac:dyDescent="0.25">
      <c r="A46" s="87">
        <v>20</v>
      </c>
      <c r="B46" s="99" t="s">
        <v>26</v>
      </c>
      <c r="C46" s="31" t="s">
        <v>27</v>
      </c>
      <c r="D46" s="103">
        <v>1962.25</v>
      </c>
      <c r="E46" s="103">
        <v>18.079999999999998</v>
      </c>
      <c r="F46" s="103">
        <v>532.22</v>
      </c>
      <c r="G46" s="103">
        <v>117.09</v>
      </c>
      <c r="H46" s="11">
        <v>175.99</v>
      </c>
      <c r="I46" s="5">
        <f>E46+F46+G46+H46+D46</f>
        <v>2805.63</v>
      </c>
      <c r="J46" s="103">
        <v>11.41</v>
      </c>
      <c r="K46" s="5">
        <f t="shared" si="0"/>
        <v>2817.04</v>
      </c>
      <c r="L46" s="5">
        <f t="shared" si="28"/>
        <v>84.51</v>
      </c>
      <c r="M46" s="15">
        <f t="shared" si="29"/>
        <v>2901.55</v>
      </c>
      <c r="N46" s="15">
        <f t="shared" si="30"/>
        <v>580.30999999999995</v>
      </c>
      <c r="O46" s="100">
        <f t="shared" si="31"/>
        <v>3481.86</v>
      </c>
      <c r="P46" s="15">
        <f t="shared" si="33"/>
        <v>58.03</v>
      </c>
      <c r="Q46" s="64">
        <f>77+3</f>
        <v>80</v>
      </c>
      <c r="R46" s="102">
        <f t="shared" si="34"/>
        <v>2.1800000000000002</v>
      </c>
      <c r="S46" s="48">
        <f>ROUND(469.47/Q46,2)</f>
        <v>5.87</v>
      </c>
    </row>
    <row r="47" spans="1:19" ht="15.75" x14ac:dyDescent="0.25">
      <c r="A47" s="87">
        <v>21</v>
      </c>
      <c r="B47" s="107" t="s">
        <v>28</v>
      </c>
      <c r="C47" s="26" t="s">
        <v>18</v>
      </c>
      <c r="D47" s="103">
        <v>1475.88</v>
      </c>
      <c r="E47" s="103">
        <v>18.079999999999998</v>
      </c>
      <c r="F47" s="103">
        <v>532.22</v>
      </c>
      <c r="G47" s="103">
        <v>117.09</v>
      </c>
      <c r="H47" s="11">
        <v>175.99</v>
      </c>
      <c r="I47" s="5">
        <f t="shared" ref="I47" si="35">E47+F47+G47+H47+D47</f>
        <v>2319.2600000000002</v>
      </c>
      <c r="J47" s="103">
        <v>11.41</v>
      </c>
      <c r="K47" s="5">
        <f t="shared" si="0"/>
        <v>2330.67</v>
      </c>
      <c r="L47" s="5">
        <f t="shared" si="28"/>
        <v>69.92</v>
      </c>
      <c r="M47" s="15">
        <f t="shared" si="29"/>
        <v>2400.59</v>
      </c>
      <c r="N47" s="15">
        <f t="shared" si="30"/>
        <v>480.12</v>
      </c>
      <c r="O47" s="100">
        <f t="shared" si="31"/>
        <v>2880.71</v>
      </c>
      <c r="P47" s="15">
        <f t="shared" si="33"/>
        <v>48.01</v>
      </c>
      <c r="Q47" s="64">
        <v>11</v>
      </c>
      <c r="R47" s="102">
        <f t="shared" si="34"/>
        <v>13.09</v>
      </c>
      <c r="S47" s="48">
        <f>ROUND(441.63/Q47,2)</f>
        <v>40.15</v>
      </c>
    </row>
    <row r="48" spans="1:19" ht="15.75" x14ac:dyDescent="0.25">
      <c r="A48" s="87">
        <v>22</v>
      </c>
      <c r="B48" s="107" t="s">
        <v>29</v>
      </c>
      <c r="C48" s="26" t="s">
        <v>15</v>
      </c>
      <c r="D48" s="103">
        <v>1962.25</v>
      </c>
      <c r="E48" s="103">
        <v>18.079999999999998</v>
      </c>
      <c r="F48" s="103">
        <v>532.22</v>
      </c>
      <c r="G48" s="103">
        <v>117.09</v>
      </c>
      <c r="H48" s="11">
        <v>175.99</v>
      </c>
      <c r="I48" s="5">
        <f t="shared" ref="I48:I53" si="36">E48+F48+G48+H48+D48</f>
        <v>2805.63</v>
      </c>
      <c r="J48" s="103">
        <v>11.41</v>
      </c>
      <c r="K48" s="5">
        <f t="shared" si="0"/>
        <v>2817.04</v>
      </c>
      <c r="L48" s="5">
        <f t="shared" si="28"/>
        <v>84.51</v>
      </c>
      <c r="M48" s="15">
        <f t="shared" si="29"/>
        <v>2901.55</v>
      </c>
      <c r="N48" s="15">
        <f t="shared" si="30"/>
        <v>580.30999999999995</v>
      </c>
      <c r="O48" s="100">
        <f t="shared" si="31"/>
        <v>3481.86</v>
      </c>
      <c r="P48" s="15">
        <f t="shared" si="33"/>
        <v>58.03</v>
      </c>
      <c r="Q48" s="64">
        <f>40+2</f>
        <v>42</v>
      </c>
      <c r="R48" s="102">
        <f t="shared" si="34"/>
        <v>4.1500000000000004</v>
      </c>
      <c r="S48" s="48">
        <f>ROUND(441.63/Q48,2)</f>
        <v>10.52</v>
      </c>
    </row>
    <row r="49" spans="1:19" ht="15.75" x14ac:dyDescent="0.25">
      <c r="A49" s="87">
        <v>23</v>
      </c>
      <c r="B49" s="107" t="s">
        <v>30</v>
      </c>
      <c r="C49" s="26" t="s">
        <v>24</v>
      </c>
      <c r="D49" s="103">
        <v>1962.25</v>
      </c>
      <c r="E49" s="103">
        <v>18.079999999999998</v>
      </c>
      <c r="F49" s="103">
        <v>532.22</v>
      </c>
      <c r="G49" s="103">
        <v>117.09</v>
      </c>
      <c r="H49" s="11">
        <v>175.99</v>
      </c>
      <c r="I49" s="5">
        <f t="shared" si="36"/>
        <v>2805.63</v>
      </c>
      <c r="J49" s="103">
        <v>11.41</v>
      </c>
      <c r="K49" s="5">
        <f t="shared" si="0"/>
        <v>2817.04</v>
      </c>
      <c r="L49" s="5">
        <f t="shared" si="28"/>
        <v>84.51</v>
      </c>
      <c r="M49" s="15">
        <f t="shared" si="29"/>
        <v>2901.55</v>
      </c>
      <c r="N49" s="15">
        <f t="shared" si="30"/>
        <v>580.30999999999995</v>
      </c>
      <c r="O49" s="100">
        <f t="shared" si="31"/>
        <v>3481.86</v>
      </c>
      <c r="P49" s="15">
        <f t="shared" si="33"/>
        <v>58.03</v>
      </c>
      <c r="Q49" s="64">
        <f>46+1</f>
        <v>47</v>
      </c>
      <c r="R49" s="102">
        <f t="shared" si="34"/>
        <v>3.7</v>
      </c>
      <c r="S49" s="48">
        <f t="shared" ref="S49:S50" si="37">ROUND(441.63/Q49,2)</f>
        <v>9.4</v>
      </c>
    </row>
    <row r="50" spans="1:19" ht="15.75" x14ac:dyDescent="0.25">
      <c r="A50" s="87">
        <v>24</v>
      </c>
      <c r="B50" s="107" t="s">
        <v>31</v>
      </c>
      <c r="C50" s="26" t="s">
        <v>24</v>
      </c>
      <c r="D50" s="103">
        <v>1962.25</v>
      </c>
      <c r="E50" s="103">
        <v>18.079999999999998</v>
      </c>
      <c r="F50" s="103">
        <v>532.22</v>
      </c>
      <c r="G50" s="103">
        <v>117.09</v>
      </c>
      <c r="H50" s="11">
        <v>175.99</v>
      </c>
      <c r="I50" s="5">
        <f t="shared" si="36"/>
        <v>2805.63</v>
      </c>
      <c r="J50" s="103">
        <v>11.41</v>
      </c>
      <c r="K50" s="5">
        <f t="shared" si="0"/>
        <v>2817.04</v>
      </c>
      <c r="L50" s="5">
        <f t="shared" si="28"/>
        <v>84.51</v>
      </c>
      <c r="M50" s="15">
        <f t="shared" si="29"/>
        <v>2901.55</v>
      </c>
      <c r="N50" s="15">
        <f t="shared" si="30"/>
        <v>580.30999999999995</v>
      </c>
      <c r="O50" s="100">
        <f t="shared" si="31"/>
        <v>3481.86</v>
      </c>
      <c r="P50" s="15">
        <f t="shared" si="33"/>
        <v>58.03</v>
      </c>
      <c r="Q50" s="101">
        <v>63</v>
      </c>
      <c r="R50" s="102">
        <f t="shared" si="34"/>
        <v>2.76</v>
      </c>
      <c r="S50" s="48">
        <f t="shared" si="37"/>
        <v>7.01</v>
      </c>
    </row>
    <row r="51" spans="1:19" ht="15.75" x14ac:dyDescent="0.25">
      <c r="A51" s="87">
        <v>25</v>
      </c>
      <c r="B51" s="107" t="s">
        <v>32</v>
      </c>
      <c r="C51" s="31" t="s">
        <v>163</v>
      </c>
      <c r="D51" s="103">
        <v>1962.25</v>
      </c>
      <c r="E51" s="103">
        <v>18.079999999999998</v>
      </c>
      <c r="F51" s="103">
        <v>532.22</v>
      </c>
      <c r="G51" s="103">
        <v>117.09</v>
      </c>
      <c r="H51" s="11">
        <v>175.99</v>
      </c>
      <c r="I51" s="5">
        <f t="shared" si="36"/>
        <v>2805.63</v>
      </c>
      <c r="J51" s="103">
        <v>11.41</v>
      </c>
      <c r="K51" s="5">
        <f t="shared" si="0"/>
        <v>2817.04</v>
      </c>
      <c r="L51" s="5">
        <f t="shared" si="28"/>
        <v>84.51</v>
      </c>
      <c r="M51" s="15">
        <f t="shared" si="29"/>
        <v>2901.55</v>
      </c>
      <c r="N51" s="15">
        <f t="shared" si="30"/>
        <v>580.30999999999995</v>
      </c>
      <c r="O51" s="100">
        <f t="shared" si="31"/>
        <v>3481.86</v>
      </c>
      <c r="P51" s="15">
        <f t="shared" si="33"/>
        <v>58.03</v>
      </c>
      <c r="Q51" s="64">
        <f>71+1</f>
        <v>72</v>
      </c>
      <c r="R51" s="102">
        <f t="shared" si="34"/>
        <v>2.42</v>
      </c>
      <c r="S51" s="48">
        <f>ROUND(469.47/Q51,2)</f>
        <v>6.52</v>
      </c>
    </row>
    <row r="52" spans="1:19" ht="15.75" x14ac:dyDescent="0.25">
      <c r="A52" s="87">
        <v>26</v>
      </c>
      <c r="B52" s="107" t="s">
        <v>33</v>
      </c>
      <c r="C52" s="26" t="s">
        <v>15</v>
      </c>
      <c r="D52" s="103">
        <v>1962.25</v>
      </c>
      <c r="E52" s="103">
        <v>18.079999999999998</v>
      </c>
      <c r="F52" s="103">
        <v>532.22</v>
      </c>
      <c r="G52" s="103">
        <v>117.09</v>
      </c>
      <c r="H52" s="11">
        <v>175.99</v>
      </c>
      <c r="I52" s="5">
        <f t="shared" si="36"/>
        <v>2805.63</v>
      </c>
      <c r="J52" s="103">
        <v>11.41</v>
      </c>
      <c r="K52" s="5">
        <f t="shared" si="0"/>
        <v>2817.04</v>
      </c>
      <c r="L52" s="5">
        <f t="shared" si="28"/>
        <v>84.51</v>
      </c>
      <c r="M52" s="15">
        <f t="shared" si="29"/>
        <v>2901.55</v>
      </c>
      <c r="N52" s="15">
        <f t="shared" si="30"/>
        <v>580.30999999999995</v>
      </c>
      <c r="O52" s="100">
        <f t="shared" si="31"/>
        <v>3481.86</v>
      </c>
      <c r="P52" s="15">
        <f t="shared" si="33"/>
        <v>58.03</v>
      </c>
      <c r="Q52" s="64">
        <f>40+1</f>
        <v>41</v>
      </c>
      <c r="R52" s="102">
        <f t="shared" si="34"/>
        <v>4.25</v>
      </c>
      <c r="S52" s="48">
        <f>ROUND(441.63/Q52,2)</f>
        <v>10.77</v>
      </c>
    </row>
    <row r="53" spans="1:19" ht="15.75" x14ac:dyDescent="0.25">
      <c r="A53" s="87">
        <v>27</v>
      </c>
      <c r="B53" s="107" t="s">
        <v>34</v>
      </c>
      <c r="C53" s="26" t="s">
        <v>35</v>
      </c>
      <c r="D53" s="103">
        <v>2210.63</v>
      </c>
      <c r="E53" s="103">
        <v>18.079999999999998</v>
      </c>
      <c r="F53" s="103">
        <v>532.22</v>
      </c>
      <c r="G53" s="103">
        <v>117.09</v>
      </c>
      <c r="H53" s="11">
        <v>175.99</v>
      </c>
      <c r="I53" s="5">
        <f t="shared" si="36"/>
        <v>3054.01</v>
      </c>
      <c r="J53" s="103">
        <v>11.41</v>
      </c>
      <c r="K53" s="5">
        <f t="shared" si="0"/>
        <v>3065.42</v>
      </c>
      <c r="L53" s="5">
        <f t="shared" si="28"/>
        <v>91.96</v>
      </c>
      <c r="M53" s="15">
        <f t="shared" si="29"/>
        <v>3157.38</v>
      </c>
      <c r="N53" s="15">
        <f t="shared" si="30"/>
        <v>631.48</v>
      </c>
      <c r="O53" s="100">
        <f t="shared" si="31"/>
        <v>3788.86</v>
      </c>
      <c r="P53" s="15">
        <f t="shared" si="33"/>
        <v>63.15</v>
      </c>
      <c r="Q53" s="64">
        <f>71+2</f>
        <v>73</v>
      </c>
      <c r="R53" s="102">
        <f t="shared" si="34"/>
        <v>2.6</v>
      </c>
      <c r="S53" s="48">
        <f>ROUND(441.63/Q53,2)</f>
        <v>6.05</v>
      </c>
    </row>
    <row r="54" spans="1:19" ht="15.75" x14ac:dyDescent="0.25">
      <c r="A54" s="220">
        <v>28</v>
      </c>
      <c r="B54" s="215" t="s">
        <v>755</v>
      </c>
      <c r="C54" s="27" t="s">
        <v>24</v>
      </c>
      <c r="D54" s="190">
        <f>1475.88+1962.25</f>
        <v>3438.13</v>
      </c>
      <c r="E54" s="222">
        <f>18.08+18.08</f>
        <v>36.159999999999997</v>
      </c>
      <c r="F54" s="222">
        <f>532.22+532.22</f>
        <v>1064.44</v>
      </c>
      <c r="G54" s="222">
        <f>117.09+117.09</f>
        <v>234.18</v>
      </c>
      <c r="H54" s="167">
        <f>175.99+175.99</f>
        <v>351.98</v>
      </c>
      <c r="I54" s="169">
        <f t="shared" ref="I54" si="38">E54+F54+G54+H54+D54</f>
        <v>5124.8900000000003</v>
      </c>
      <c r="J54" s="190">
        <f>11.41+11.41</f>
        <v>22.82</v>
      </c>
      <c r="K54" s="169">
        <f t="shared" si="0"/>
        <v>5147.71</v>
      </c>
      <c r="L54" s="169">
        <f t="shared" si="28"/>
        <v>154.43</v>
      </c>
      <c r="M54" s="173">
        <f t="shared" si="29"/>
        <v>5302.14</v>
      </c>
      <c r="N54" s="173">
        <f t="shared" si="30"/>
        <v>1060.43</v>
      </c>
      <c r="O54" s="178">
        <f t="shared" si="31"/>
        <v>6362.5700000000006</v>
      </c>
      <c r="P54" s="73">
        <f>ROUND(O54/5/12,2)</f>
        <v>106.04</v>
      </c>
      <c r="Q54" s="180">
        <f>28+20</f>
        <v>48</v>
      </c>
      <c r="R54" s="182">
        <f t="shared" si="34"/>
        <v>6.63</v>
      </c>
      <c r="S54" s="166">
        <f>ROUND(441.63*2/Q54,2)</f>
        <v>18.399999999999999</v>
      </c>
    </row>
    <row r="55" spans="1:19" ht="15.75" x14ac:dyDescent="0.25">
      <c r="A55" s="221"/>
      <c r="B55" s="216"/>
      <c r="C55" s="30" t="s">
        <v>20</v>
      </c>
      <c r="D55" s="177"/>
      <c r="E55" s="197"/>
      <c r="F55" s="197"/>
      <c r="G55" s="197"/>
      <c r="H55" s="168">
        <f>ROUND((E55+F55+G55)*11.7%,2)</f>
        <v>0</v>
      </c>
      <c r="I55" s="170">
        <f t="shared" si="26"/>
        <v>0</v>
      </c>
      <c r="J55" s="199">
        <f t="shared" ref="J55:J88" si="39">ROUND(I55*11.6%,2)</f>
        <v>0</v>
      </c>
      <c r="K55" s="170">
        <f t="shared" si="0"/>
        <v>0</v>
      </c>
      <c r="L55" s="170">
        <f t="shared" si="28"/>
        <v>0</v>
      </c>
      <c r="M55" s="174">
        <f t="shared" si="29"/>
        <v>0</v>
      </c>
      <c r="N55" s="174">
        <f t="shared" si="30"/>
        <v>0</v>
      </c>
      <c r="O55" s="179">
        <f t="shared" si="31"/>
        <v>0</v>
      </c>
      <c r="P55" s="75"/>
      <c r="Q55" s="181"/>
      <c r="R55" s="183" t="e">
        <f t="shared" si="34"/>
        <v>#DIV/0!</v>
      </c>
      <c r="S55" s="166" t="e">
        <f t="shared" si="7"/>
        <v>#DIV/0!</v>
      </c>
    </row>
    <row r="56" spans="1:19" ht="15.75" x14ac:dyDescent="0.25">
      <c r="A56" s="87">
        <v>29</v>
      </c>
      <c r="B56" s="107" t="s">
        <v>36</v>
      </c>
      <c r="C56" s="26" t="s">
        <v>15</v>
      </c>
      <c r="D56" s="103">
        <v>1962.25</v>
      </c>
      <c r="E56" s="103">
        <v>18.079999999999998</v>
      </c>
      <c r="F56" s="103">
        <v>532.22</v>
      </c>
      <c r="G56" s="103">
        <v>117.09</v>
      </c>
      <c r="H56" s="11">
        <v>175.99</v>
      </c>
      <c r="I56" s="5">
        <f>E56+F56+G56+H56+D56</f>
        <v>2805.63</v>
      </c>
      <c r="J56" s="103">
        <v>11.41</v>
      </c>
      <c r="K56" s="5">
        <f t="shared" si="0"/>
        <v>2817.04</v>
      </c>
      <c r="L56" s="5">
        <f t="shared" si="28"/>
        <v>84.51</v>
      </c>
      <c r="M56" s="15">
        <f t="shared" si="29"/>
        <v>2901.55</v>
      </c>
      <c r="N56" s="15">
        <f t="shared" si="30"/>
        <v>580.30999999999995</v>
      </c>
      <c r="O56" s="100">
        <f t="shared" si="31"/>
        <v>3481.86</v>
      </c>
      <c r="P56" s="15">
        <f t="shared" ref="P56:P58" si="40">ROUND(O56/5/12,2)</f>
        <v>58.03</v>
      </c>
      <c r="Q56" s="64">
        <f>39+1</f>
        <v>40</v>
      </c>
      <c r="R56" s="102">
        <f t="shared" ref="R56:R60" si="41">ROUND(P56*3/Q56,2)</f>
        <v>4.3499999999999996</v>
      </c>
      <c r="S56" s="48">
        <f>ROUND(441.63/Q56,2)</f>
        <v>11.04</v>
      </c>
    </row>
    <row r="57" spans="1:19" ht="15.75" x14ac:dyDescent="0.25">
      <c r="A57" s="87">
        <v>30</v>
      </c>
      <c r="B57" s="107" t="s">
        <v>37</v>
      </c>
      <c r="C57" s="30" t="s">
        <v>20</v>
      </c>
      <c r="D57" s="103">
        <v>1475.88</v>
      </c>
      <c r="E57" s="103">
        <v>18.079999999999998</v>
      </c>
      <c r="F57" s="103">
        <v>532.22</v>
      </c>
      <c r="G57" s="103">
        <v>117.09</v>
      </c>
      <c r="H57" s="11">
        <v>175.99</v>
      </c>
      <c r="I57" s="5">
        <f t="shared" ref="I57" si="42">E57+F57+G57+H57+D57</f>
        <v>2319.2600000000002</v>
      </c>
      <c r="J57" s="103">
        <v>11.41</v>
      </c>
      <c r="K57" s="5">
        <f t="shared" si="0"/>
        <v>2330.67</v>
      </c>
      <c r="L57" s="5">
        <f t="shared" si="28"/>
        <v>69.92</v>
      </c>
      <c r="M57" s="15">
        <f t="shared" si="29"/>
        <v>2400.59</v>
      </c>
      <c r="N57" s="15">
        <f t="shared" si="30"/>
        <v>480.12</v>
      </c>
      <c r="O57" s="100">
        <f t="shared" si="31"/>
        <v>2880.71</v>
      </c>
      <c r="P57" s="15">
        <f t="shared" si="40"/>
        <v>48.01</v>
      </c>
      <c r="Q57" s="101">
        <f>32+8</f>
        <v>40</v>
      </c>
      <c r="R57" s="102">
        <f t="shared" si="41"/>
        <v>3.6</v>
      </c>
      <c r="S57" s="48">
        <f>ROUND(441.63/Q57,2)</f>
        <v>11.04</v>
      </c>
    </row>
    <row r="58" spans="1:19" ht="15.75" x14ac:dyDescent="0.25">
      <c r="A58" s="87">
        <v>31</v>
      </c>
      <c r="B58" s="107" t="s">
        <v>38</v>
      </c>
      <c r="C58" s="31" t="s">
        <v>39</v>
      </c>
      <c r="D58" s="103">
        <v>2210.63</v>
      </c>
      <c r="E58" s="103">
        <v>18.079999999999998</v>
      </c>
      <c r="F58" s="103">
        <v>532.22</v>
      </c>
      <c r="G58" s="103">
        <v>117.09</v>
      </c>
      <c r="H58" s="11">
        <v>175.99</v>
      </c>
      <c r="I58" s="5">
        <f>E58+F58+G58+H58+D58</f>
        <v>3054.01</v>
      </c>
      <c r="J58" s="103">
        <v>11.41</v>
      </c>
      <c r="K58" s="5">
        <f t="shared" si="0"/>
        <v>3065.42</v>
      </c>
      <c r="L58" s="5">
        <f t="shared" si="28"/>
        <v>91.96</v>
      </c>
      <c r="M58" s="15">
        <f t="shared" si="29"/>
        <v>3157.38</v>
      </c>
      <c r="N58" s="15">
        <f t="shared" si="30"/>
        <v>631.48</v>
      </c>
      <c r="O58" s="100">
        <f t="shared" si="31"/>
        <v>3788.86</v>
      </c>
      <c r="P58" s="15">
        <f t="shared" si="40"/>
        <v>63.15</v>
      </c>
      <c r="Q58" s="64">
        <f>38+49</f>
        <v>87</v>
      </c>
      <c r="R58" s="102">
        <f t="shared" si="41"/>
        <v>2.1800000000000002</v>
      </c>
      <c r="S58" s="48">
        <f>ROUND(469.47/Q58,2)</f>
        <v>5.4</v>
      </c>
    </row>
    <row r="59" spans="1:19" ht="15.75" x14ac:dyDescent="0.25">
      <c r="A59" s="220">
        <v>32</v>
      </c>
      <c r="B59" s="215" t="s">
        <v>756</v>
      </c>
      <c r="C59" s="32" t="s">
        <v>40</v>
      </c>
      <c r="D59" s="175">
        <f>1962.25*2</f>
        <v>3924.5</v>
      </c>
      <c r="E59" s="190">
        <f>18.08*2</f>
        <v>36.159999999999997</v>
      </c>
      <c r="F59" s="190">
        <f>532.22*2</f>
        <v>1064.44</v>
      </c>
      <c r="G59" s="190">
        <f>117.09*2</f>
        <v>234.18</v>
      </c>
      <c r="H59" s="167">
        <f>175.99*2</f>
        <v>351.98</v>
      </c>
      <c r="I59" s="169">
        <f>E59+F59+G59+H59+D59</f>
        <v>5611.26</v>
      </c>
      <c r="J59" s="190">
        <f>11.41*2</f>
        <v>22.82</v>
      </c>
      <c r="K59" s="169">
        <f t="shared" si="0"/>
        <v>5634.08</v>
      </c>
      <c r="L59" s="169">
        <f t="shared" si="28"/>
        <v>169.02</v>
      </c>
      <c r="M59" s="173">
        <f t="shared" si="29"/>
        <v>5803.1</v>
      </c>
      <c r="N59" s="173">
        <f t="shared" si="30"/>
        <v>1160.6199999999999</v>
      </c>
      <c r="O59" s="178">
        <f t="shared" si="31"/>
        <v>6963.72</v>
      </c>
      <c r="P59" s="73">
        <f>ROUND(O59/5/12,2)</f>
        <v>116.06</v>
      </c>
      <c r="Q59" s="180">
        <f>40+40</f>
        <v>80</v>
      </c>
      <c r="R59" s="182">
        <f t="shared" si="41"/>
        <v>4.3499999999999996</v>
      </c>
      <c r="S59" s="209">
        <f>ROUND(469.47*2/Q59,2)</f>
        <v>11.74</v>
      </c>
    </row>
    <row r="60" spans="1:19" ht="15.75" x14ac:dyDescent="0.25">
      <c r="A60" s="221"/>
      <c r="B60" s="216"/>
      <c r="C60" s="33" t="s">
        <v>40</v>
      </c>
      <c r="D60" s="177"/>
      <c r="E60" s="199"/>
      <c r="F60" s="199"/>
      <c r="G60" s="199"/>
      <c r="H60" s="168">
        <f>ROUND((E60+F60+G60)*11.7%,2)</f>
        <v>0</v>
      </c>
      <c r="I60" s="170">
        <f>E60+F60+G60+H60</f>
        <v>0</v>
      </c>
      <c r="J60" s="199">
        <f t="shared" ref="J60" si="43">ROUND(I60*11.6%,2)</f>
        <v>0</v>
      </c>
      <c r="K60" s="170">
        <f t="shared" si="0"/>
        <v>0</v>
      </c>
      <c r="L60" s="170">
        <f t="shared" si="28"/>
        <v>0</v>
      </c>
      <c r="M60" s="174">
        <f t="shared" si="29"/>
        <v>0</v>
      </c>
      <c r="N60" s="174">
        <f t="shared" si="30"/>
        <v>0</v>
      </c>
      <c r="O60" s="179">
        <f t="shared" si="31"/>
        <v>0</v>
      </c>
      <c r="P60" s="75"/>
      <c r="Q60" s="181"/>
      <c r="R60" s="183" t="e">
        <f t="shared" si="41"/>
        <v>#DIV/0!</v>
      </c>
      <c r="S60" s="209" t="e">
        <f t="shared" si="7"/>
        <v>#DIV/0!</v>
      </c>
    </row>
    <row r="61" spans="1:19" ht="15.75" x14ac:dyDescent="0.25">
      <c r="A61" s="87">
        <v>33</v>
      </c>
      <c r="B61" s="107" t="s">
        <v>41</v>
      </c>
      <c r="C61" s="26" t="s">
        <v>15</v>
      </c>
      <c r="D61" s="103">
        <v>1962.25</v>
      </c>
      <c r="E61" s="103">
        <v>18.079999999999998</v>
      </c>
      <c r="F61" s="103">
        <v>532.22</v>
      </c>
      <c r="G61" s="103">
        <v>117.09</v>
      </c>
      <c r="H61" s="11">
        <v>175.99</v>
      </c>
      <c r="I61" s="5">
        <f>E61+F61+G61+H61+D61</f>
        <v>2805.63</v>
      </c>
      <c r="J61" s="103">
        <v>11.41</v>
      </c>
      <c r="K61" s="5">
        <f t="shared" si="0"/>
        <v>2817.04</v>
      </c>
      <c r="L61" s="5">
        <f t="shared" si="28"/>
        <v>84.51</v>
      </c>
      <c r="M61" s="15">
        <f t="shared" si="29"/>
        <v>2901.55</v>
      </c>
      <c r="N61" s="15">
        <f t="shared" si="30"/>
        <v>580.30999999999995</v>
      </c>
      <c r="O61" s="100">
        <f t="shared" si="31"/>
        <v>3481.86</v>
      </c>
      <c r="P61" s="15">
        <f t="shared" ref="P61:P64" si="44">ROUND(O61/5/12,2)</f>
        <v>58.03</v>
      </c>
      <c r="Q61" s="64">
        <f>35+1</f>
        <v>36</v>
      </c>
      <c r="R61" s="102">
        <f t="shared" ref="R61:R66" si="45">ROUND(P61*3/Q61,2)</f>
        <v>4.84</v>
      </c>
      <c r="S61" s="48">
        <f>ROUND(441.63/Q61,2)</f>
        <v>12.27</v>
      </c>
    </row>
    <row r="62" spans="1:19" ht="15.75" x14ac:dyDescent="0.25">
      <c r="A62" s="87">
        <v>34</v>
      </c>
      <c r="B62" s="107" t="s">
        <v>42</v>
      </c>
      <c r="C62" s="34" t="s">
        <v>43</v>
      </c>
      <c r="D62" s="103">
        <v>1475.88</v>
      </c>
      <c r="E62" s="103">
        <v>18.079999999999998</v>
      </c>
      <c r="F62" s="103">
        <v>532.22</v>
      </c>
      <c r="G62" s="103">
        <v>117.09</v>
      </c>
      <c r="H62" s="11">
        <v>175.99</v>
      </c>
      <c r="I62" s="5">
        <f t="shared" ref="I62" si="46">E62+F62+G62+H62+D62</f>
        <v>2319.2600000000002</v>
      </c>
      <c r="J62" s="103">
        <v>11.41</v>
      </c>
      <c r="K62" s="5">
        <f t="shared" si="0"/>
        <v>2330.67</v>
      </c>
      <c r="L62" s="5">
        <f t="shared" si="28"/>
        <v>69.92</v>
      </c>
      <c r="M62" s="15">
        <f t="shared" si="29"/>
        <v>2400.59</v>
      </c>
      <c r="N62" s="15">
        <f t="shared" si="30"/>
        <v>480.12</v>
      </c>
      <c r="O62" s="100">
        <f t="shared" si="31"/>
        <v>2880.71</v>
      </c>
      <c r="P62" s="15">
        <f t="shared" si="44"/>
        <v>48.01</v>
      </c>
      <c r="Q62" s="64">
        <f>37+2</f>
        <v>39</v>
      </c>
      <c r="R62" s="102">
        <f t="shared" si="45"/>
        <v>3.69</v>
      </c>
      <c r="S62" s="48">
        <f>ROUND(467.97/Q62,2)</f>
        <v>12</v>
      </c>
    </row>
    <row r="63" spans="1:19" ht="15.75" x14ac:dyDescent="0.25">
      <c r="A63" s="87">
        <v>35</v>
      </c>
      <c r="B63" s="107" t="s">
        <v>44</v>
      </c>
      <c r="C63" s="26" t="s">
        <v>45</v>
      </c>
      <c r="D63" s="103">
        <v>2427.87</v>
      </c>
      <c r="E63" s="103">
        <v>21</v>
      </c>
      <c r="F63" s="103">
        <v>580.29999999999995</v>
      </c>
      <c r="G63" s="103">
        <v>127.67</v>
      </c>
      <c r="H63" s="11">
        <v>195.01</v>
      </c>
      <c r="I63" s="5">
        <f>E63+F63+G63+H63+D63</f>
        <v>3351.85</v>
      </c>
      <c r="J63" s="103">
        <v>12.67</v>
      </c>
      <c r="K63" s="5">
        <f t="shared" si="0"/>
        <v>3364.52</v>
      </c>
      <c r="L63" s="5">
        <f t="shared" si="28"/>
        <v>100.94</v>
      </c>
      <c r="M63" s="15">
        <f t="shared" si="29"/>
        <v>3465.46</v>
      </c>
      <c r="N63" s="15">
        <f t="shared" si="30"/>
        <v>693.09</v>
      </c>
      <c r="O63" s="100">
        <f t="shared" si="31"/>
        <v>4158.55</v>
      </c>
      <c r="P63" s="15">
        <f t="shared" si="44"/>
        <v>69.31</v>
      </c>
      <c r="Q63" s="64">
        <v>115</v>
      </c>
      <c r="R63" s="102">
        <f t="shared" si="45"/>
        <v>1.81</v>
      </c>
      <c r="S63" s="48">
        <f>ROUND(482.49/Q63,2)</f>
        <v>4.2</v>
      </c>
    </row>
    <row r="64" spans="1:19" ht="15.75" x14ac:dyDescent="0.25">
      <c r="A64" s="87">
        <v>36</v>
      </c>
      <c r="B64" s="107" t="s">
        <v>46</v>
      </c>
      <c r="C64" s="26" t="s">
        <v>18</v>
      </c>
      <c r="D64" s="103">
        <v>1475.88</v>
      </c>
      <c r="E64" s="103">
        <v>18.079999999999998</v>
      </c>
      <c r="F64" s="103">
        <v>532.22</v>
      </c>
      <c r="G64" s="103">
        <v>117.09</v>
      </c>
      <c r="H64" s="11">
        <v>175.99</v>
      </c>
      <c r="I64" s="5">
        <f t="shared" ref="I64" si="47">E64+F64+G64+H64+D64</f>
        <v>2319.2600000000002</v>
      </c>
      <c r="J64" s="103">
        <v>11.41</v>
      </c>
      <c r="K64" s="5">
        <f t="shared" si="0"/>
        <v>2330.67</v>
      </c>
      <c r="L64" s="5">
        <f t="shared" si="28"/>
        <v>69.92</v>
      </c>
      <c r="M64" s="15">
        <f t="shared" si="29"/>
        <v>2400.59</v>
      </c>
      <c r="N64" s="15">
        <f t="shared" si="30"/>
        <v>480.12</v>
      </c>
      <c r="O64" s="100">
        <f t="shared" si="31"/>
        <v>2880.71</v>
      </c>
      <c r="P64" s="15">
        <f t="shared" si="44"/>
        <v>48.01</v>
      </c>
      <c r="Q64" s="64">
        <f>14+1</f>
        <v>15</v>
      </c>
      <c r="R64" s="102">
        <f t="shared" si="45"/>
        <v>9.6</v>
      </c>
      <c r="S64" s="48">
        <f>ROUND(441.63/Q64,2)</f>
        <v>29.44</v>
      </c>
    </row>
    <row r="65" spans="1:19" ht="15.75" x14ac:dyDescent="0.25">
      <c r="A65" s="220">
        <v>37</v>
      </c>
      <c r="B65" s="215" t="s">
        <v>757</v>
      </c>
      <c r="C65" s="27" t="s">
        <v>15</v>
      </c>
      <c r="D65" s="175">
        <f>1962.25*2</f>
        <v>3924.5</v>
      </c>
      <c r="E65" s="190">
        <f>18.08*2</f>
        <v>36.159999999999997</v>
      </c>
      <c r="F65" s="190">
        <f>532.22*2</f>
        <v>1064.44</v>
      </c>
      <c r="G65" s="190">
        <f>117.09*2</f>
        <v>234.18</v>
      </c>
      <c r="H65" s="167">
        <f>175.99*2</f>
        <v>351.98</v>
      </c>
      <c r="I65" s="169">
        <f>E65+F65+G65+H65+D65</f>
        <v>5611.26</v>
      </c>
      <c r="J65" s="190">
        <f>11.41*2</f>
        <v>22.82</v>
      </c>
      <c r="K65" s="169">
        <f t="shared" si="0"/>
        <v>5634.08</v>
      </c>
      <c r="L65" s="169">
        <f t="shared" si="28"/>
        <v>169.02</v>
      </c>
      <c r="M65" s="173">
        <f t="shared" si="29"/>
        <v>5803.1</v>
      </c>
      <c r="N65" s="173">
        <f t="shared" si="30"/>
        <v>1160.6199999999999</v>
      </c>
      <c r="O65" s="178">
        <f t="shared" si="31"/>
        <v>6963.72</v>
      </c>
      <c r="P65" s="73">
        <f>ROUND(O65/5/12,2)</f>
        <v>116.06</v>
      </c>
      <c r="Q65" s="180">
        <f>55+57</f>
        <v>112</v>
      </c>
      <c r="R65" s="182">
        <f t="shared" si="45"/>
        <v>3.11</v>
      </c>
      <c r="S65" s="166">
        <f>ROUND(441.63*2/Q65,2)</f>
        <v>7.89</v>
      </c>
    </row>
    <row r="66" spans="1:19" ht="15.75" x14ac:dyDescent="0.25">
      <c r="A66" s="221"/>
      <c r="B66" s="216"/>
      <c r="C66" s="28" t="s">
        <v>15</v>
      </c>
      <c r="D66" s="177"/>
      <c r="E66" s="199"/>
      <c r="F66" s="199"/>
      <c r="G66" s="199"/>
      <c r="H66" s="168">
        <f>ROUND((E66+F66+G66)*11.7%,2)</f>
        <v>0</v>
      </c>
      <c r="I66" s="170">
        <f>E66+F66+G66+H66</f>
        <v>0</v>
      </c>
      <c r="J66" s="199">
        <f t="shared" ref="J66" si="48">ROUND(I66*11.6%,2)</f>
        <v>0</v>
      </c>
      <c r="K66" s="170">
        <f t="shared" si="0"/>
        <v>0</v>
      </c>
      <c r="L66" s="170">
        <f t="shared" si="28"/>
        <v>0</v>
      </c>
      <c r="M66" s="174">
        <f t="shared" si="29"/>
        <v>0</v>
      </c>
      <c r="N66" s="174">
        <f t="shared" si="30"/>
        <v>0</v>
      </c>
      <c r="O66" s="179">
        <f t="shared" si="31"/>
        <v>0</v>
      </c>
      <c r="P66" s="75"/>
      <c r="Q66" s="181"/>
      <c r="R66" s="183" t="e">
        <f t="shared" si="45"/>
        <v>#DIV/0!</v>
      </c>
      <c r="S66" s="166" t="e">
        <f t="shared" si="7"/>
        <v>#DIV/0!</v>
      </c>
    </row>
    <row r="67" spans="1:19" ht="15.75" x14ac:dyDescent="0.25">
      <c r="A67" s="87">
        <v>38</v>
      </c>
      <c r="B67" s="107" t="s">
        <v>47</v>
      </c>
      <c r="C67" s="26" t="s">
        <v>49</v>
      </c>
      <c r="D67" s="103">
        <v>1962.25</v>
      </c>
      <c r="E67" s="103">
        <v>18.079999999999998</v>
      </c>
      <c r="F67" s="103">
        <v>532.22</v>
      </c>
      <c r="G67" s="103">
        <v>117.09</v>
      </c>
      <c r="H67" s="11">
        <v>175.99</v>
      </c>
      <c r="I67" s="5">
        <f t="shared" ref="I67:I72" si="49">E67+F67+G67+H67+D67</f>
        <v>2805.63</v>
      </c>
      <c r="J67" s="103">
        <v>11.41</v>
      </c>
      <c r="K67" s="5">
        <f t="shared" si="0"/>
        <v>2817.04</v>
      </c>
      <c r="L67" s="5">
        <f t="shared" si="28"/>
        <v>84.51</v>
      </c>
      <c r="M67" s="15">
        <f t="shared" si="29"/>
        <v>2901.55</v>
      </c>
      <c r="N67" s="15">
        <f t="shared" si="30"/>
        <v>580.30999999999995</v>
      </c>
      <c r="O67" s="100">
        <f t="shared" si="31"/>
        <v>3481.86</v>
      </c>
      <c r="P67" s="15">
        <f t="shared" ref="P67:P71" si="50">ROUND(O67/5/12,2)</f>
        <v>58.03</v>
      </c>
      <c r="Q67" s="64">
        <f>39+1</f>
        <v>40</v>
      </c>
      <c r="R67" s="102">
        <f t="shared" ref="R67:R71" si="51">ROUND(P67*3/Q67,2)</f>
        <v>4.3499999999999996</v>
      </c>
      <c r="S67" s="104">
        <f>ROUND(441.63/Q67,2)</f>
        <v>11.04</v>
      </c>
    </row>
    <row r="68" spans="1:19" ht="15.75" x14ac:dyDescent="0.25">
      <c r="A68" s="87">
        <v>39</v>
      </c>
      <c r="B68" s="107" t="s">
        <v>48</v>
      </c>
      <c r="C68" s="26" t="s">
        <v>16</v>
      </c>
      <c r="D68" s="103">
        <v>2210.63</v>
      </c>
      <c r="E68" s="103">
        <v>18.079999999999998</v>
      </c>
      <c r="F68" s="103">
        <v>532.22</v>
      </c>
      <c r="G68" s="103">
        <v>117.09</v>
      </c>
      <c r="H68" s="11">
        <v>175.99</v>
      </c>
      <c r="I68" s="5">
        <f t="shared" si="49"/>
        <v>3054.01</v>
      </c>
      <c r="J68" s="103">
        <v>11.41</v>
      </c>
      <c r="K68" s="5">
        <f t="shared" si="0"/>
        <v>3065.42</v>
      </c>
      <c r="L68" s="5">
        <f t="shared" si="28"/>
        <v>91.96</v>
      </c>
      <c r="M68" s="15">
        <f t="shared" si="29"/>
        <v>3157.38</v>
      </c>
      <c r="N68" s="15">
        <f t="shared" si="30"/>
        <v>631.48</v>
      </c>
      <c r="O68" s="100">
        <f t="shared" si="31"/>
        <v>3788.86</v>
      </c>
      <c r="P68" s="15">
        <f t="shared" si="50"/>
        <v>63.15</v>
      </c>
      <c r="Q68" s="64">
        <f>47+2</f>
        <v>49</v>
      </c>
      <c r="R68" s="102">
        <f>ROUND(P68*3/Q68,2)</f>
        <v>3.87</v>
      </c>
      <c r="S68" s="104">
        <f t="shared" ref="S68:S78" si="52">ROUND(441.63/Q68,2)</f>
        <v>9.01</v>
      </c>
    </row>
    <row r="69" spans="1:19" ht="15.75" x14ac:dyDescent="0.25">
      <c r="A69" s="87">
        <v>40</v>
      </c>
      <c r="B69" s="107" t="s">
        <v>50</v>
      </c>
      <c r="C69" s="26" t="s">
        <v>49</v>
      </c>
      <c r="D69" s="103">
        <v>1962.25</v>
      </c>
      <c r="E69" s="103">
        <v>18.079999999999998</v>
      </c>
      <c r="F69" s="103">
        <v>532.22</v>
      </c>
      <c r="G69" s="103">
        <v>117.09</v>
      </c>
      <c r="H69" s="11">
        <v>175.99</v>
      </c>
      <c r="I69" s="5">
        <f t="shared" si="49"/>
        <v>2805.63</v>
      </c>
      <c r="J69" s="103">
        <v>11.41</v>
      </c>
      <c r="K69" s="5">
        <f t="shared" si="0"/>
        <v>2817.04</v>
      </c>
      <c r="L69" s="5">
        <f t="shared" si="28"/>
        <v>84.51</v>
      </c>
      <c r="M69" s="15">
        <f t="shared" si="29"/>
        <v>2901.55</v>
      </c>
      <c r="N69" s="15">
        <f t="shared" si="30"/>
        <v>580.30999999999995</v>
      </c>
      <c r="O69" s="100">
        <f t="shared" si="31"/>
        <v>3481.86</v>
      </c>
      <c r="P69" s="15">
        <f t="shared" si="50"/>
        <v>58.03</v>
      </c>
      <c r="Q69" s="64">
        <f>43+3</f>
        <v>46</v>
      </c>
      <c r="R69" s="102">
        <f t="shared" si="51"/>
        <v>3.78</v>
      </c>
      <c r="S69" s="104">
        <f t="shared" si="52"/>
        <v>9.6</v>
      </c>
    </row>
    <row r="70" spans="1:19" ht="15.75" x14ac:dyDescent="0.25">
      <c r="A70" s="87">
        <v>41</v>
      </c>
      <c r="B70" s="107" t="s">
        <v>51</v>
      </c>
      <c r="C70" s="26" t="s">
        <v>16</v>
      </c>
      <c r="D70" s="103">
        <v>2210.63</v>
      </c>
      <c r="E70" s="103">
        <v>18.079999999999998</v>
      </c>
      <c r="F70" s="103">
        <v>532.22</v>
      </c>
      <c r="G70" s="103">
        <v>117.09</v>
      </c>
      <c r="H70" s="11">
        <v>175.99</v>
      </c>
      <c r="I70" s="5">
        <f t="shared" si="49"/>
        <v>3054.01</v>
      </c>
      <c r="J70" s="103">
        <v>11.41</v>
      </c>
      <c r="K70" s="5">
        <f t="shared" si="0"/>
        <v>3065.42</v>
      </c>
      <c r="L70" s="5">
        <f t="shared" si="28"/>
        <v>91.96</v>
      </c>
      <c r="M70" s="15">
        <f t="shared" si="29"/>
        <v>3157.38</v>
      </c>
      <c r="N70" s="15">
        <f t="shared" si="30"/>
        <v>631.48</v>
      </c>
      <c r="O70" s="100">
        <f t="shared" si="31"/>
        <v>3788.86</v>
      </c>
      <c r="P70" s="15">
        <f t="shared" si="50"/>
        <v>63.15</v>
      </c>
      <c r="Q70" s="64">
        <f>27+7</f>
        <v>34</v>
      </c>
      <c r="R70" s="102">
        <f t="shared" si="51"/>
        <v>5.57</v>
      </c>
      <c r="S70" s="104">
        <f t="shared" si="52"/>
        <v>12.99</v>
      </c>
    </row>
    <row r="71" spans="1:19" ht="15.75" x14ac:dyDescent="0.25">
      <c r="A71" s="87">
        <v>42</v>
      </c>
      <c r="B71" s="107" t="s">
        <v>52</v>
      </c>
      <c r="C71" s="27" t="s">
        <v>24</v>
      </c>
      <c r="D71" s="103">
        <v>1962.25</v>
      </c>
      <c r="E71" s="103">
        <v>18.079999999999998</v>
      </c>
      <c r="F71" s="103">
        <v>532.22</v>
      </c>
      <c r="G71" s="103">
        <v>117.09</v>
      </c>
      <c r="H71" s="11">
        <v>175.99</v>
      </c>
      <c r="I71" s="5">
        <f t="shared" si="49"/>
        <v>2805.63</v>
      </c>
      <c r="J71" s="103">
        <v>11.41</v>
      </c>
      <c r="K71" s="5">
        <f t="shared" si="0"/>
        <v>2817.04</v>
      </c>
      <c r="L71" s="5">
        <f t="shared" si="28"/>
        <v>84.51</v>
      </c>
      <c r="M71" s="15">
        <f t="shared" si="29"/>
        <v>2901.55</v>
      </c>
      <c r="N71" s="15">
        <f t="shared" si="30"/>
        <v>580.30999999999995</v>
      </c>
      <c r="O71" s="100">
        <f t="shared" si="31"/>
        <v>3481.86</v>
      </c>
      <c r="P71" s="15">
        <f t="shared" si="50"/>
        <v>58.03</v>
      </c>
      <c r="Q71" s="64">
        <f>30+1</f>
        <v>31</v>
      </c>
      <c r="R71" s="102">
        <f t="shared" si="51"/>
        <v>5.62</v>
      </c>
      <c r="S71" s="48">
        <f t="shared" si="52"/>
        <v>14.25</v>
      </c>
    </row>
    <row r="72" spans="1:19" ht="31.5" x14ac:dyDescent="0.25">
      <c r="A72" s="87">
        <v>43</v>
      </c>
      <c r="B72" s="108" t="s">
        <v>763</v>
      </c>
      <c r="C72" s="26" t="s">
        <v>14</v>
      </c>
      <c r="D72" s="103">
        <v>2210.63</v>
      </c>
      <c r="E72" s="103">
        <v>18.079999999999998</v>
      </c>
      <c r="F72" s="103">
        <v>532.22</v>
      </c>
      <c r="G72" s="103">
        <v>117.09</v>
      </c>
      <c r="H72" s="11">
        <v>175.99</v>
      </c>
      <c r="I72" s="5">
        <f t="shared" si="49"/>
        <v>3054.01</v>
      </c>
      <c r="J72" s="103">
        <v>11.41</v>
      </c>
      <c r="K72" s="5">
        <f t="shared" si="0"/>
        <v>3065.42</v>
      </c>
      <c r="L72" s="5">
        <f t="shared" si="28"/>
        <v>91.96</v>
      </c>
      <c r="M72" s="15">
        <f t="shared" si="29"/>
        <v>3157.38</v>
      </c>
      <c r="N72" s="15">
        <f t="shared" si="30"/>
        <v>631.48</v>
      </c>
      <c r="O72" s="100">
        <f t="shared" si="31"/>
        <v>3788.86</v>
      </c>
      <c r="P72" s="15">
        <f>ROUND(O72/5/12,2)</f>
        <v>63.15</v>
      </c>
      <c r="Q72" s="101">
        <f>36+3</f>
        <v>39</v>
      </c>
      <c r="R72" s="102">
        <f>ROUND(P72*3/Q72,2)</f>
        <v>4.8600000000000003</v>
      </c>
      <c r="S72" s="106">
        <f t="shared" si="52"/>
        <v>11.32</v>
      </c>
    </row>
    <row r="73" spans="1:19" ht="15.75" x14ac:dyDescent="0.25">
      <c r="A73" s="87">
        <v>44</v>
      </c>
      <c r="B73" s="107" t="s">
        <v>53</v>
      </c>
      <c r="C73" s="25" t="s">
        <v>20</v>
      </c>
      <c r="D73" s="103">
        <v>1475.88</v>
      </c>
      <c r="E73" s="103">
        <v>18.079999999999998</v>
      </c>
      <c r="F73" s="103">
        <v>532.22</v>
      </c>
      <c r="G73" s="103">
        <v>117.09</v>
      </c>
      <c r="H73" s="11">
        <v>175.99</v>
      </c>
      <c r="I73" s="5">
        <f t="shared" ref="I73:I75" si="53">E73+F73+G73+H73+D73</f>
        <v>2319.2600000000002</v>
      </c>
      <c r="J73" s="103">
        <v>11.41</v>
      </c>
      <c r="K73" s="5">
        <f t="shared" si="0"/>
        <v>2330.67</v>
      </c>
      <c r="L73" s="5">
        <f t="shared" si="28"/>
        <v>69.92</v>
      </c>
      <c r="M73" s="15">
        <f t="shared" si="29"/>
        <v>2400.59</v>
      </c>
      <c r="N73" s="15">
        <f t="shared" si="30"/>
        <v>480.12</v>
      </c>
      <c r="O73" s="100">
        <f t="shared" si="31"/>
        <v>2880.71</v>
      </c>
      <c r="P73" s="15">
        <f t="shared" ref="P73:P75" si="54">ROUND(O73/5/12,2)</f>
        <v>48.01</v>
      </c>
      <c r="Q73" s="64">
        <v>10</v>
      </c>
      <c r="R73" s="102">
        <f t="shared" ref="R73:R77" si="55">ROUND(P73*3/Q73,2)</f>
        <v>14.4</v>
      </c>
      <c r="S73" s="104">
        <f>ROUND(441.63/Q73,2)</f>
        <v>44.16</v>
      </c>
    </row>
    <row r="74" spans="1:19" ht="15.75" x14ac:dyDescent="0.25">
      <c r="A74" s="87">
        <v>45</v>
      </c>
      <c r="B74" s="107" t="s">
        <v>54</v>
      </c>
      <c r="C74" s="27" t="s">
        <v>18</v>
      </c>
      <c r="D74" s="103">
        <v>1475.88</v>
      </c>
      <c r="E74" s="103">
        <v>18.079999999999998</v>
      </c>
      <c r="F74" s="103">
        <v>532.22</v>
      </c>
      <c r="G74" s="103">
        <v>117.09</v>
      </c>
      <c r="H74" s="11">
        <v>175.99</v>
      </c>
      <c r="I74" s="5">
        <f t="shared" si="53"/>
        <v>2319.2600000000002</v>
      </c>
      <c r="J74" s="103">
        <v>11.41</v>
      </c>
      <c r="K74" s="5">
        <f t="shared" ref="K74:K137" si="56">I74+J74</f>
        <v>2330.67</v>
      </c>
      <c r="L74" s="5">
        <f t="shared" si="28"/>
        <v>69.92</v>
      </c>
      <c r="M74" s="15">
        <f t="shared" si="29"/>
        <v>2400.59</v>
      </c>
      <c r="N74" s="15">
        <f t="shared" si="30"/>
        <v>480.12</v>
      </c>
      <c r="O74" s="100">
        <f t="shared" si="31"/>
        <v>2880.71</v>
      </c>
      <c r="P74" s="15">
        <f t="shared" si="54"/>
        <v>48.01</v>
      </c>
      <c r="Q74" s="64">
        <v>3</v>
      </c>
      <c r="R74" s="102">
        <f t="shared" si="55"/>
        <v>48.01</v>
      </c>
      <c r="S74" s="106">
        <f t="shared" si="52"/>
        <v>147.21</v>
      </c>
    </row>
    <row r="75" spans="1:19" ht="15.75" x14ac:dyDescent="0.25">
      <c r="A75" s="87">
        <v>46</v>
      </c>
      <c r="B75" s="107" t="s">
        <v>55</v>
      </c>
      <c r="C75" s="27" t="s">
        <v>18</v>
      </c>
      <c r="D75" s="103">
        <v>1475.88</v>
      </c>
      <c r="E75" s="103">
        <v>18.079999999999998</v>
      </c>
      <c r="F75" s="103">
        <v>532.22</v>
      </c>
      <c r="G75" s="103">
        <v>117.09</v>
      </c>
      <c r="H75" s="11">
        <v>175.99</v>
      </c>
      <c r="I75" s="5">
        <f t="shared" si="53"/>
        <v>2319.2600000000002</v>
      </c>
      <c r="J75" s="103">
        <v>11.41</v>
      </c>
      <c r="K75" s="5">
        <f t="shared" si="56"/>
        <v>2330.67</v>
      </c>
      <c r="L75" s="5">
        <f t="shared" si="28"/>
        <v>69.92</v>
      </c>
      <c r="M75" s="15">
        <f t="shared" si="29"/>
        <v>2400.59</v>
      </c>
      <c r="N75" s="15">
        <f t="shared" si="30"/>
        <v>480.12</v>
      </c>
      <c r="O75" s="100">
        <f t="shared" si="31"/>
        <v>2880.71</v>
      </c>
      <c r="P75" s="15">
        <f t="shared" si="54"/>
        <v>48.01</v>
      </c>
      <c r="Q75" s="64">
        <v>11</v>
      </c>
      <c r="R75" s="102">
        <f t="shared" si="55"/>
        <v>13.09</v>
      </c>
      <c r="S75" s="106">
        <f t="shared" si="52"/>
        <v>40.15</v>
      </c>
    </row>
    <row r="76" spans="1:19" ht="15.75" x14ac:dyDescent="0.25">
      <c r="A76" s="220">
        <v>47</v>
      </c>
      <c r="B76" s="215" t="s">
        <v>758</v>
      </c>
      <c r="C76" s="27" t="s">
        <v>24</v>
      </c>
      <c r="D76" s="175">
        <f>1962.25*2</f>
        <v>3924.5</v>
      </c>
      <c r="E76" s="190">
        <f>18.08*2</f>
        <v>36.159999999999997</v>
      </c>
      <c r="F76" s="190">
        <f>532.22*2</f>
        <v>1064.44</v>
      </c>
      <c r="G76" s="190">
        <f>117.09*2</f>
        <v>234.18</v>
      </c>
      <c r="H76" s="167">
        <f>175.99*2</f>
        <v>351.98</v>
      </c>
      <c r="I76" s="169">
        <f>E76+F76+G76+H76+D76</f>
        <v>5611.26</v>
      </c>
      <c r="J76" s="190">
        <f>11.41*2</f>
        <v>22.82</v>
      </c>
      <c r="K76" s="169">
        <f t="shared" si="56"/>
        <v>5634.08</v>
      </c>
      <c r="L76" s="169">
        <f t="shared" si="28"/>
        <v>169.02</v>
      </c>
      <c r="M76" s="173">
        <f t="shared" si="29"/>
        <v>5803.1</v>
      </c>
      <c r="N76" s="173">
        <f t="shared" si="30"/>
        <v>1160.6199999999999</v>
      </c>
      <c r="O76" s="178">
        <f t="shared" si="31"/>
        <v>6963.72</v>
      </c>
      <c r="P76" s="73">
        <f>ROUND(O76/5/12,2)</f>
        <v>116.06</v>
      </c>
      <c r="Q76" s="180">
        <f>44+43</f>
        <v>87</v>
      </c>
      <c r="R76" s="182">
        <f t="shared" si="55"/>
        <v>4</v>
      </c>
      <c r="S76" s="166">
        <f>ROUND(441.63*2/Q76,2)</f>
        <v>10.15</v>
      </c>
    </row>
    <row r="77" spans="1:19" ht="15.75" x14ac:dyDescent="0.25">
      <c r="A77" s="221"/>
      <c r="B77" s="216"/>
      <c r="C77" s="28" t="s">
        <v>24</v>
      </c>
      <c r="D77" s="177"/>
      <c r="E77" s="199"/>
      <c r="F77" s="199"/>
      <c r="G77" s="199"/>
      <c r="H77" s="168">
        <f>ROUND((E77+F77+G77)*11.7%,2)</f>
        <v>0</v>
      </c>
      <c r="I77" s="170">
        <f>E77+F77+G77+H77</f>
        <v>0</v>
      </c>
      <c r="J77" s="199">
        <f t="shared" ref="J77" si="57">ROUND(I77*11.6%,2)</f>
        <v>0</v>
      </c>
      <c r="K77" s="170">
        <f t="shared" si="56"/>
        <v>0</v>
      </c>
      <c r="L77" s="170">
        <f t="shared" si="28"/>
        <v>0</v>
      </c>
      <c r="M77" s="174">
        <f t="shared" si="29"/>
        <v>0</v>
      </c>
      <c r="N77" s="174">
        <f t="shared" si="30"/>
        <v>0</v>
      </c>
      <c r="O77" s="179">
        <f t="shared" si="31"/>
        <v>0</v>
      </c>
      <c r="P77" s="75"/>
      <c r="Q77" s="181"/>
      <c r="R77" s="183" t="e">
        <f t="shared" si="55"/>
        <v>#DIV/0!</v>
      </c>
      <c r="S77" s="166"/>
    </row>
    <row r="78" spans="1:19" ht="15.75" x14ac:dyDescent="0.25">
      <c r="A78" s="87">
        <v>48</v>
      </c>
      <c r="B78" s="107" t="s">
        <v>56</v>
      </c>
      <c r="C78" s="26" t="s">
        <v>57</v>
      </c>
      <c r="D78" s="103">
        <v>1373.5</v>
      </c>
      <c r="E78" s="103">
        <v>18.079999999999998</v>
      </c>
      <c r="F78" s="103">
        <v>532.22</v>
      </c>
      <c r="G78" s="103">
        <v>117.09</v>
      </c>
      <c r="H78" s="11">
        <v>175.99</v>
      </c>
      <c r="I78" s="5">
        <f>E78+F78+G78+H78+D78</f>
        <v>2216.88</v>
      </c>
      <c r="J78" s="103">
        <v>11.41</v>
      </c>
      <c r="K78" s="5">
        <f t="shared" si="56"/>
        <v>2228.29</v>
      </c>
      <c r="L78" s="5">
        <f t="shared" si="28"/>
        <v>66.849999999999994</v>
      </c>
      <c r="M78" s="15">
        <f t="shared" si="29"/>
        <v>2295.14</v>
      </c>
      <c r="N78" s="15">
        <f t="shared" si="30"/>
        <v>459.03</v>
      </c>
      <c r="O78" s="100">
        <f t="shared" si="31"/>
        <v>2754.17</v>
      </c>
      <c r="P78" s="15">
        <f>ROUND(O78/5/12,2)</f>
        <v>45.9</v>
      </c>
      <c r="Q78" s="64">
        <f>7+5</f>
        <v>12</v>
      </c>
      <c r="R78" s="102">
        <f>ROUND(P78*3/Q78,2)</f>
        <v>11.48</v>
      </c>
      <c r="S78" s="106">
        <f t="shared" si="52"/>
        <v>36.799999999999997</v>
      </c>
    </row>
    <row r="79" spans="1:19" ht="15.75" customHeight="1" x14ac:dyDescent="0.25">
      <c r="A79" s="220">
        <v>49</v>
      </c>
      <c r="B79" s="215" t="s">
        <v>759</v>
      </c>
      <c r="C79" s="27" t="s">
        <v>15</v>
      </c>
      <c r="D79" s="175">
        <f>1962.25*2</f>
        <v>3924.5</v>
      </c>
      <c r="E79" s="190">
        <f>18.08*2</f>
        <v>36.159999999999997</v>
      </c>
      <c r="F79" s="190">
        <f>532.22*2</f>
        <v>1064.44</v>
      </c>
      <c r="G79" s="190">
        <f>117.09*2</f>
        <v>234.18</v>
      </c>
      <c r="H79" s="167">
        <f>175.99*2</f>
        <v>351.98</v>
      </c>
      <c r="I79" s="169">
        <f>E79+F79+G79+H79+D79</f>
        <v>5611.26</v>
      </c>
      <c r="J79" s="190">
        <f>11.41*2</f>
        <v>22.82</v>
      </c>
      <c r="K79" s="169">
        <f t="shared" si="56"/>
        <v>5634.08</v>
      </c>
      <c r="L79" s="169">
        <f t="shared" si="28"/>
        <v>169.02</v>
      </c>
      <c r="M79" s="173">
        <f t="shared" si="29"/>
        <v>5803.1</v>
      </c>
      <c r="N79" s="173">
        <f t="shared" si="30"/>
        <v>1160.6199999999999</v>
      </c>
      <c r="O79" s="178">
        <f t="shared" si="31"/>
        <v>6963.72</v>
      </c>
      <c r="P79" s="73">
        <f>ROUND(O79/5/12,2)</f>
        <v>116.06</v>
      </c>
      <c r="Q79" s="180">
        <f>26+36+4</f>
        <v>66</v>
      </c>
      <c r="R79" s="182">
        <f t="shared" ref="R79:R80" si="58">ROUND(P79*3/Q79,2)</f>
        <v>5.28</v>
      </c>
      <c r="S79" s="166">
        <f>ROUND(441.63*2/Q79,2)</f>
        <v>13.38</v>
      </c>
    </row>
    <row r="80" spans="1:19" ht="15.75" customHeight="1" x14ac:dyDescent="0.25">
      <c r="A80" s="221"/>
      <c r="B80" s="216"/>
      <c r="C80" s="30" t="s">
        <v>58</v>
      </c>
      <c r="D80" s="177"/>
      <c r="E80" s="199"/>
      <c r="F80" s="199"/>
      <c r="G80" s="199"/>
      <c r="H80" s="168">
        <f>ROUND((E80+F80+G80)*11.7%,2)</f>
        <v>0</v>
      </c>
      <c r="I80" s="170">
        <f>E80+F80+G80+H80</f>
        <v>0</v>
      </c>
      <c r="J80" s="199">
        <f t="shared" ref="J80" si="59">ROUND(I80*11.6%,2)</f>
        <v>0</v>
      </c>
      <c r="K80" s="170">
        <f t="shared" si="56"/>
        <v>0</v>
      </c>
      <c r="L80" s="170">
        <f t="shared" si="28"/>
        <v>0</v>
      </c>
      <c r="M80" s="174">
        <f t="shared" si="29"/>
        <v>0</v>
      </c>
      <c r="N80" s="174">
        <f t="shared" si="30"/>
        <v>0</v>
      </c>
      <c r="O80" s="179">
        <f t="shared" si="31"/>
        <v>0</v>
      </c>
      <c r="P80" s="75"/>
      <c r="Q80" s="181"/>
      <c r="R80" s="183" t="e">
        <f t="shared" si="58"/>
        <v>#DIV/0!</v>
      </c>
      <c r="S80" s="166" t="e">
        <f t="shared" ref="S80:S132" si="60">ROUND(512.79/Q80,2)</f>
        <v>#DIV/0!</v>
      </c>
    </row>
    <row r="81" spans="1:19" ht="15.75" customHeight="1" x14ac:dyDescent="0.25">
      <c r="A81" s="220">
        <v>50</v>
      </c>
      <c r="B81" s="215" t="s">
        <v>760</v>
      </c>
      <c r="C81" s="27" t="s">
        <v>59</v>
      </c>
      <c r="D81" s="190">
        <f>2210.63+2427.87</f>
        <v>4638.5</v>
      </c>
      <c r="E81" s="222">
        <f>18.08+21</f>
        <v>39.08</v>
      </c>
      <c r="F81" s="222">
        <f>532.22+580.3</f>
        <v>1112.52</v>
      </c>
      <c r="G81" s="190">
        <f>117.09+127.67</f>
        <v>244.76</v>
      </c>
      <c r="H81" s="167">
        <f>175.99+195.01</f>
        <v>371</v>
      </c>
      <c r="I81" s="169">
        <f>E81+F81+G81+H81+D81</f>
        <v>6405.86</v>
      </c>
      <c r="J81" s="167">
        <f>11.41+12.67</f>
        <v>24.08</v>
      </c>
      <c r="K81" s="169">
        <f t="shared" si="56"/>
        <v>6429.94</v>
      </c>
      <c r="L81" s="169">
        <f t="shared" si="28"/>
        <v>192.9</v>
      </c>
      <c r="M81" s="173">
        <f t="shared" si="29"/>
        <v>6622.8399999999992</v>
      </c>
      <c r="N81" s="173">
        <f t="shared" si="30"/>
        <v>1324.57</v>
      </c>
      <c r="O81" s="178">
        <f t="shared" si="31"/>
        <v>7947.4099999999989</v>
      </c>
      <c r="P81" s="73">
        <f>ROUND(O81/5/12,2)</f>
        <v>132.46</v>
      </c>
      <c r="Q81" s="180">
        <f>61+112+20</f>
        <v>193</v>
      </c>
      <c r="R81" s="182">
        <f t="shared" ref="R81:R82" si="61">ROUND(P81*3/Q81,2)</f>
        <v>2.06</v>
      </c>
      <c r="S81" s="166">
        <f>ROUND((441.63+451.2)/Q81,2)</f>
        <v>4.63</v>
      </c>
    </row>
    <row r="82" spans="1:19" ht="15.75" customHeight="1" x14ac:dyDescent="0.25">
      <c r="A82" s="221"/>
      <c r="B82" s="216"/>
      <c r="C82" s="30" t="s">
        <v>60</v>
      </c>
      <c r="D82" s="177"/>
      <c r="E82" s="197"/>
      <c r="F82" s="197"/>
      <c r="G82" s="199"/>
      <c r="H82" s="168">
        <f>ROUND((E82+F82+G82)*11.7%,2)</f>
        <v>0</v>
      </c>
      <c r="I82" s="170">
        <f t="shared" si="26"/>
        <v>0</v>
      </c>
      <c r="J82" s="168">
        <f t="shared" si="39"/>
        <v>0</v>
      </c>
      <c r="K82" s="170">
        <f t="shared" si="56"/>
        <v>0</v>
      </c>
      <c r="L82" s="170">
        <f t="shared" si="28"/>
        <v>0</v>
      </c>
      <c r="M82" s="174">
        <f t="shared" si="29"/>
        <v>0</v>
      </c>
      <c r="N82" s="174">
        <f t="shared" si="30"/>
        <v>0</v>
      </c>
      <c r="O82" s="179">
        <f t="shared" si="31"/>
        <v>0</v>
      </c>
      <c r="P82" s="75"/>
      <c r="Q82" s="181"/>
      <c r="R82" s="183" t="e">
        <f t="shared" si="61"/>
        <v>#DIV/0!</v>
      </c>
      <c r="S82" s="166" t="e">
        <f t="shared" si="60"/>
        <v>#DIV/0!</v>
      </c>
    </row>
    <row r="83" spans="1:19" ht="15.75" x14ac:dyDescent="0.25">
      <c r="A83" s="92">
        <v>51</v>
      </c>
      <c r="B83" s="107" t="s">
        <v>61</v>
      </c>
      <c r="C83" s="30" t="s">
        <v>60</v>
      </c>
      <c r="D83" s="103">
        <v>2427.87</v>
      </c>
      <c r="E83" s="103">
        <v>21</v>
      </c>
      <c r="F83" s="103">
        <v>580.29999999999995</v>
      </c>
      <c r="G83" s="103">
        <v>127.67</v>
      </c>
      <c r="H83" s="11">
        <v>195.01</v>
      </c>
      <c r="I83" s="5">
        <f>E83+F83+G83+H83+D83</f>
        <v>3351.85</v>
      </c>
      <c r="J83" s="103">
        <v>12.67</v>
      </c>
      <c r="K83" s="5">
        <f t="shared" si="56"/>
        <v>3364.52</v>
      </c>
      <c r="L83" s="5">
        <f t="shared" si="28"/>
        <v>100.94</v>
      </c>
      <c r="M83" s="15">
        <f t="shared" si="29"/>
        <v>3465.46</v>
      </c>
      <c r="N83" s="15">
        <f t="shared" si="30"/>
        <v>693.09</v>
      </c>
      <c r="O83" s="100">
        <f t="shared" si="31"/>
        <v>4158.55</v>
      </c>
      <c r="P83" s="15">
        <f t="shared" ref="P83:P86" si="62">ROUND(O83/5/12,2)</f>
        <v>69.31</v>
      </c>
      <c r="Q83" s="101">
        <f>135+3</f>
        <v>138</v>
      </c>
      <c r="R83" s="102">
        <f t="shared" ref="R83:R88" si="63">ROUND(P83*3/Q83,2)</f>
        <v>1.51</v>
      </c>
      <c r="S83" s="104">
        <f>ROUND(451.2/Q83,2)</f>
        <v>3.27</v>
      </c>
    </row>
    <row r="84" spans="1:19" ht="15.75" x14ac:dyDescent="0.25">
      <c r="A84" s="87">
        <v>52</v>
      </c>
      <c r="B84" s="107" t="s">
        <v>62</v>
      </c>
      <c r="C84" s="26" t="s">
        <v>18</v>
      </c>
      <c r="D84" s="103">
        <v>1475.88</v>
      </c>
      <c r="E84" s="103">
        <v>18.079999999999998</v>
      </c>
      <c r="F84" s="103">
        <v>532.22</v>
      </c>
      <c r="G84" s="103">
        <v>117.09</v>
      </c>
      <c r="H84" s="11">
        <v>175.99</v>
      </c>
      <c r="I84" s="5">
        <f t="shared" ref="I84:I85" si="64">E84+F84+G84+H84+D84</f>
        <v>2319.2600000000002</v>
      </c>
      <c r="J84" s="103">
        <v>11.41</v>
      </c>
      <c r="K84" s="5">
        <f t="shared" si="56"/>
        <v>2330.67</v>
      </c>
      <c r="L84" s="5">
        <f t="shared" si="28"/>
        <v>69.92</v>
      </c>
      <c r="M84" s="15">
        <f t="shared" si="29"/>
        <v>2400.59</v>
      </c>
      <c r="N84" s="15">
        <f t="shared" si="30"/>
        <v>480.12</v>
      </c>
      <c r="O84" s="100">
        <f t="shared" si="31"/>
        <v>2880.71</v>
      </c>
      <c r="P84" s="15">
        <f t="shared" si="62"/>
        <v>48.01</v>
      </c>
      <c r="Q84" s="101">
        <v>12</v>
      </c>
      <c r="R84" s="102">
        <f t="shared" si="63"/>
        <v>12</v>
      </c>
      <c r="S84" s="104">
        <f>ROUND(441.63/Q84,2)</f>
        <v>36.799999999999997</v>
      </c>
    </row>
    <row r="85" spans="1:19" ht="15.75" x14ac:dyDescent="0.25">
      <c r="A85" s="87">
        <v>53</v>
      </c>
      <c r="B85" s="107" t="s">
        <v>63</v>
      </c>
      <c r="C85" s="25" t="s">
        <v>20</v>
      </c>
      <c r="D85" s="103">
        <v>1475.88</v>
      </c>
      <c r="E85" s="103">
        <v>18.079999999999998</v>
      </c>
      <c r="F85" s="103">
        <v>532.22</v>
      </c>
      <c r="G85" s="103">
        <v>117.09</v>
      </c>
      <c r="H85" s="11">
        <v>175.99</v>
      </c>
      <c r="I85" s="5">
        <f t="shared" si="64"/>
        <v>2319.2600000000002</v>
      </c>
      <c r="J85" s="103">
        <v>11.41</v>
      </c>
      <c r="K85" s="5">
        <f t="shared" si="56"/>
        <v>2330.67</v>
      </c>
      <c r="L85" s="5">
        <f t="shared" si="28"/>
        <v>69.92</v>
      </c>
      <c r="M85" s="15">
        <f t="shared" si="29"/>
        <v>2400.59</v>
      </c>
      <c r="N85" s="15">
        <f t="shared" si="30"/>
        <v>480.12</v>
      </c>
      <c r="O85" s="100">
        <f t="shared" si="31"/>
        <v>2880.71</v>
      </c>
      <c r="P85" s="15">
        <f t="shared" si="62"/>
        <v>48.01</v>
      </c>
      <c r="Q85" s="101">
        <f>24+2</f>
        <v>26</v>
      </c>
      <c r="R85" s="102">
        <f t="shared" si="63"/>
        <v>5.54</v>
      </c>
      <c r="S85" s="104">
        <f>ROUND(441.63/Q85,2)</f>
        <v>16.989999999999998</v>
      </c>
    </row>
    <row r="86" spans="1:19" ht="15.75" x14ac:dyDescent="0.25">
      <c r="A86" s="87">
        <v>54</v>
      </c>
      <c r="B86" s="107" t="s">
        <v>64</v>
      </c>
      <c r="C86" s="26" t="s">
        <v>49</v>
      </c>
      <c r="D86" s="103">
        <v>1962.25</v>
      </c>
      <c r="E86" s="103">
        <v>18.079999999999998</v>
      </c>
      <c r="F86" s="103">
        <v>532.22</v>
      </c>
      <c r="G86" s="103">
        <v>117.09</v>
      </c>
      <c r="H86" s="11">
        <v>175.99</v>
      </c>
      <c r="I86" s="5">
        <f>E86+F86+G86+H86+D86</f>
        <v>2805.63</v>
      </c>
      <c r="J86" s="103">
        <v>11.41</v>
      </c>
      <c r="K86" s="5">
        <f t="shared" si="56"/>
        <v>2817.04</v>
      </c>
      <c r="L86" s="5">
        <f t="shared" si="28"/>
        <v>84.51</v>
      </c>
      <c r="M86" s="15">
        <f t="shared" si="29"/>
        <v>2901.55</v>
      </c>
      <c r="N86" s="15">
        <f t="shared" si="30"/>
        <v>580.30999999999995</v>
      </c>
      <c r="O86" s="100">
        <f t="shared" si="31"/>
        <v>3481.86</v>
      </c>
      <c r="P86" s="15">
        <f t="shared" si="62"/>
        <v>58.03</v>
      </c>
      <c r="Q86" s="101">
        <f>58+2</f>
        <v>60</v>
      </c>
      <c r="R86" s="102">
        <f t="shared" si="63"/>
        <v>2.9</v>
      </c>
      <c r="S86" s="104">
        <f>ROUND(441.63/Q86,2)</f>
        <v>7.36</v>
      </c>
    </row>
    <row r="87" spans="1:19" ht="15.75" customHeight="1" x14ac:dyDescent="0.25">
      <c r="A87" s="220">
        <v>55</v>
      </c>
      <c r="B87" s="215" t="s">
        <v>761</v>
      </c>
      <c r="C87" s="27" t="s">
        <v>59</v>
      </c>
      <c r="D87" s="190">
        <f>1962.25+2210.63</f>
        <v>4172.88</v>
      </c>
      <c r="E87" s="222">
        <f>18.08+18.08</f>
        <v>36.159999999999997</v>
      </c>
      <c r="F87" s="222">
        <f>532.22+532.22</f>
        <v>1064.44</v>
      </c>
      <c r="G87" s="190">
        <f>117.09+117.09</f>
        <v>234.18</v>
      </c>
      <c r="H87" s="167">
        <f>175.99+175.99</f>
        <v>351.98</v>
      </c>
      <c r="I87" s="169">
        <f>E87+F87+G87+H87+D87</f>
        <v>5859.64</v>
      </c>
      <c r="J87" s="167">
        <f>11.41+11.41</f>
        <v>22.82</v>
      </c>
      <c r="K87" s="169">
        <f t="shared" si="56"/>
        <v>5882.46</v>
      </c>
      <c r="L87" s="169">
        <f t="shared" si="28"/>
        <v>176.47</v>
      </c>
      <c r="M87" s="173">
        <f t="shared" si="29"/>
        <v>6058.93</v>
      </c>
      <c r="N87" s="173">
        <f t="shared" si="30"/>
        <v>1211.79</v>
      </c>
      <c r="O87" s="178">
        <f t="shared" si="31"/>
        <v>7270.72</v>
      </c>
      <c r="P87" s="73">
        <f>ROUND(O87/5/12,2)</f>
        <v>121.18</v>
      </c>
      <c r="Q87" s="180">
        <f>105+55+1</f>
        <v>161</v>
      </c>
      <c r="R87" s="182">
        <f t="shared" si="63"/>
        <v>2.2599999999999998</v>
      </c>
      <c r="S87" s="166">
        <f>ROUND(441.63*2/Q87,2)</f>
        <v>5.49</v>
      </c>
    </row>
    <row r="88" spans="1:19" ht="15.75" customHeight="1" x14ac:dyDescent="0.25">
      <c r="A88" s="221"/>
      <c r="B88" s="216"/>
      <c r="C88" s="30" t="s">
        <v>24</v>
      </c>
      <c r="D88" s="177"/>
      <c r="E88" s="197"/>
      <c r="F88" s="197"/>
      <c r="G88" s="199"/>
      <c r="H88" s="168">
        <f>ROUND((E88+F88+G88)*11.7%,2)</f>
        <v>0</v>
      </c>
      <c r="I88" s="170">
        <f t="shared" si="26"/>
        <v>0</v>
      </c>
      <c r="J88" s="168">
        <f t="shared" si="39"/>
        <v>0</v>
      </c>
      <c r="K88" s="170">
        <f t="shared" si="56"/>
        <v>0</v>
      </c>
      <c r="L88" s="170">
        <f t="shared" si="28"/>
        <v>0</v>
      </c>
      <c r="M88" s="174">
        <f t="shared" si="29"/>
        <v>0</v>
      </c>
      <c r="N88" s="174">
        <f t="shared" si="30"/>
        <v>0</v>
      </c>
      <c r="O88" s="179">
        <f t="shared" si="31"/>
        <v>0</v>
      </c>
      <c r="P88" s="75"/>
      <c r="Q88" s="181"/>
      <c r="R88" s="183" t="e">
        <f t="shared" si="63"/>
        <v>#DIV/0!</v>
      </c>
      <c r="S88" s="166" t="e">
        <f t="shared" si="60"/>
        <v>#DIV/0!</v>
      </c>
    </row>
    <row r="89" spans="1:19" ht="15.75" x14ac:dyDescent="0.25">
      <c r="A89" s="87">
        <v>56</v>
      </c>
      <c r="B89" s="107" t="s">
        <v>65</v>
      </c>
      <c r="C89" s="26" t="s">
        <v>16</v>
      </c>
      <c r="D89" s="103">
        <v>2210.63</v>
      </c>
      <c r="E89" s="103">
        <v>18.079999999999998</v>
      </c>
      <c r="F89" s="103">
        <v>532.22</v>
      </c>
      <c r="G89" s="103">
        <v>117.09</v>
      </c>
      <c r="H89" s="11">
        <v>175.99</v>
      </c>
      <c r="I89" s="5">
        <f t="shared" ref="I89:I96" si="65">E89+F89+G89+H89+D89</f>
        <v>3054.01</v>
      </c>
      <c r="J89" s="103">
        <v>11.41</v>
      </c>
      <c r="K89" s="5">
        <f t="shared" si="56"/>
        <v>3065.42</v>
      </c>
      <c r="L89" s="5">
        <f t="shared" si="28"/>
        <v>91.96</v>
      </c>
      <c r="M89" s="15">
        <f t="shared" si="29"/>
        <v>3157.38</v>
      </c>
      <c r="N89" s="15">
        <f t="shared" si="30"/>
        <v>631.48</v>
      </c>
      <c r="O89" s="100">
        <f t="shared" si="31"/>
        <v>3788.86</v>
      </c>
      <c r="P89" s="15">
        <f t="shared" ref="P89:P102" si="66">ROUND(O89/5/12,2)</f>
        <v>63.15</v>
      </c>
      <c r="Q89" s="101">
        <f>90+1</f>
        <v>91</v>
      </c>
      <c r="R89" s="102">
        <f t="shared" ref="R89:R106" si="67">ROUND(P89*3/Q89,2)</f>
        <v>2.08</v>
      </c>
      <c r="S89" s="104">
        <f t="shared" ref="S89:S100" si="68">ROUND(441.63/Q89,2)</f>
        <v>4.8499999999999996</v>
      </c>
    </row>
    <row r="90" spans="1:19" ht="15.75" x14ac:dyDescent="0.25">
      <c r="A90" s="87">
        <v>57</v>
      </c>
      <c r="B90" s="107" t="s">
        <v>880</v>
      </c>
      <c r="C90" s="26" t="s">
        <v>16</v>
      </c>
      <c r="D90" s="103">
        <v>2210.63</v>
      </c>
      <c r="E90" s="103">
        <v>18.079999999999998</v>
      </c>
      <c r="F90" s="103">
        <v>532.22</v>
      </c>
      <c r="G90" s="103">
        <v>117.09</v>
      </c>
      <c r="H90" s="11">
        <v>175.99</v>
      </c>
      <c r="I90" s="5">
        <f t="shared" si="65"/>
        <v>3054.01</v>
      </c>
      <c r="J90" s="103">
        <v>11.41</v>
      </c>
      <c r="K90" s="5">
        <f t="shared" si="56"/>
        <v>3065.42</v>
      </c>
      <c r="L90" s="5">
        <f t="shared" si="28"/>
        <v>91.96</v>
      </c>
      <c r="M90" s="15">
        <f t="shared" si="29"/>
        <v>3157.38</v>
      </c>
      <c r="N90" s="15">
        <f t="shared" si="30"/>
        <v>631.48</v>
      </c>
      <c r="O90" s="100">
        <f t="shared" si="31"/>
        <v>3788.86</v>
      </c>
      <c r="P90" s="15">
        <f t="shared" si="66"/>
        <v>63.15</v>
      </c>
      <c r="Q90" s="101">
        <v>30</v>
      </c>
      <c r="R90" s="102">
        <f>ROUND(P90*3/Q90,2)-0.01</f>
        <v>6.3100000000000005</v>
      </c>
      <c r="S90" s="104">
        <f t="shared" si="68"/>
        <v>14.72</v>
      </c>
    </row>
    <row r="91" spans="1:19" ht="15.75" x14ac:dyDescent="0.25">
      <c r="A91" s="87">
        <v>58</v>
      </c>
      <c r="B91" s="107" t="s">
        <v>66</v>
      </c>
      <c r="C91" s="26" t="s">
        <v>14</v>
      </c>
      <c r="D91" s="103">
        <v>2210.63</v>
      </c>
      <c r="E91" s="103">
        <v>18.079999999999998</v>
      </c>
      <c r="F91" s="103">
        <v>532.22</v>
      </c>
      <c r="G91" s="103">
        <v>117.09</v>
      </c>
      <c r="H91" s="11">
        <v>175.99</v>
      </c>
      <c r="I91" s="5">
        <f t="shared" si="65"/>
        <v>3054.01</v>
      </c>
      <c r="J91" s="103">
        <v>11.41</v>
      </c>
      <c r="K91" s="5">
        <f t="shared" si="56"/>
        <v>3065.42</v>
      </c>
      <c r="L91" s="5">
        <f t="shared" si="28"/>
        <v>91.96</v>
      </c>
      <c r="M91" s="15">
        <f t="shared" si="29"/>
        <v>3157.38</v>
      </c>
      <c r="N91" s="15">
        <f t="shared" si="30"/>
        <v>631.48</v>
      </c>
      <c r="O91" s="100">
        <f t="shared" si="31"/>
        <v>3788.86</v>
      </c>
      <c r="P91" s="15">
        <f t="shared" si="66"/>
        <v>63.15</v>
      </c>
      <c r="Q91" s="101">
        <f>28+4</f>
        <v>32</v>
      </c>
      <c r="R91" s="102">
        <f t="shared" si="67"/>
        <v>5.92</v>
      </c>
      <c r="S91" s="104">
        <f>ROUND(441.63/Q91,2)</f>
        <v>13.8</v>
      </c>
    </row>
    <row r="92" spans="1:19" ht="16.5" thickBot="1" x14ac:dyDescent="0.3">
      <c r="A92" s="23">
        <v>59</v>
      </c>
      <c r="B92" s="126" t="s">
        <v>67</v>
      </c>
      <c r="C92" s="112" t="s">
        <v>16</v>
      </c>
      <c r="D92" s="57">
        <v>2210.63</v>
      </c>
      <c r="E92" s="57">
        <v>18.079999999999998</v>
      </c>
      <c r="F92" s="57">
        <v>532.22</v>
      </c>
      <c r="G92" s="57">
        <v>117.09</v>
      </c>
      <c r="H92" s="58">
        <v>175.99</v>
      </c>
      <c r="I92" s="59">
        <f t="shared" si="65"/>
        <v>3054.01</v>
      </c>
      <c r="J92" s="57">
        <v>11.41</v>
      </c>
      <c r="K92" s="59">
        <f t="shared" si="56"/>
        <v>3065.42</v>
      </c>
      <c r="L92" s="59">
        <f t="shared" si="28"/>
        <v>91.96</v>
      </c>
      <c r="M92" s="60">
        <f t="shared" si="29"/>
        <v>3157.38</v>
      </c>
      <c r="N92" s="60">
        <f t="shared" si="30"/>
        <v>631.48</v>
      </c>
      <c r="O92" s="61">
        <f t="shared" si="31"/>
        <v>3788.86</v>
      </c>
      <c r="P92" s="60">
        <f t="shared" si="66"/>
        <v>63.15</v>
      </c>
      <c r="Q92" s="113">
        <f>79+1</f>
        <v>80</v>
      </c>
      <c r="R92" s="53">
        <f t="shared" si="67"/>
        <v>2.37</v>
      </c>
      <c r="S92" s="127">
        <f t="shared" si="68"/>
        <v>5.52</v>
      </c>
    </row>
    <row r="93" spans="1:19" ht="15.75" x14ac:dyDescent="0.25">
      <c r="A93" s="115">
        <v>60</v>
      </c>
      <c r="B93" s="128" t="s">
        <v>68</v>
      </c>
      <c r="C93" s="117" t="s">
        <v>16</v>
      </c>
      <c r="D93" s="118">
        <v>2210.63</v>
      </c>
      <c r="E93" s="118">
        <v>18.079999999999998</v>
      </c>
      <c r="F93" s="118">
        <v>532.22</v>
      </c>
      <c r="G93" s="118">
        <v>117.09</v>
      </c>
      <c r="H93" s="119">
        <v>175.99</v>
      </c>
      <c r="I93" s="120">
        <f t="shared" si="65"/>
        <v>3054.01</v>
      </c>
      <c r="J93" s="118">
        <v>11.41</v>
      </c>
      <c r="K93" s="120">
        <f t="shared" si="56"/>
        <v>3065.42</v>
      </c>
      <c r="L93" s="120">
        <f t="shared" si="28"/>
        <v>91.96</v>
      </c>
      <c r="M93" s="121">
        <f t="shared" si="29"/>
        <v>3157.38</v>
      </c>
      <c r="N93" s="121">
        <f t="shared" si="30"/>
        <v>631.48</v>
      </c>
      <c r="O93" s="122">
        <f t="shared" si="31"/>
        <v>3788.86</v>
      </c>
      <c r="P93" s="121">
        <f t="shared" si="66"/>
        <v>63.15</v>
      </c>
      <c r="Q93" s="129">
        <f>78+2</f>
        <v>80</v>
      </c>
      <c r="R93" s="124">
        <f t="shared" si="67"/>
        <v>2.37</v>
      </c>
      <c r="S93" s="130">
        <f t="shared" si="68"/>
        <v>5.52</v>
      </c>
    </row>
    <row r="94" spans="1:19" ht="15.75" x14ac:dyDescent="0.25">
      <c r="A94" s="87">
        <v>61</v>
      </c>
      <c r="B94" s="107" t="s">
        <v>69</v>
      </c>
      <c r="C94" s="27" t="s">
        <v>24</v>
      </c>
      <c r="D94" s="103">
        <v>1962.25</v>
      </c>
      <c r="E94" s="103">
        <v>18.079999999999998</v>
      </c>
      <c r="F94" s="103">
        <v>532.22</v>
      </c>
      <c r="G94" s="103">
        <v>117.09</v>
      </c>
      <c r="H94" s="11">
        <v>175.99</v>
      </c>
      <c r="I94" s="5">
        <f t="shared" si="65"/>
        <v>2805.63</v>
      </c>
      <c r="J94" s="103">
        <v>11.41</v>
      </c>
      <c r="K94" s="5">
        <f t="shared" si="56"/>
        <v>2817.04</v>
      </c>
      <c r="L94" s="5">
        <f t="shared" si="28"/>
        <v>84.51</v>
      </c>
      <c r="M94" s="15">
        <f t="shared" si="29"/>
        <v>2901.55</v>
      </c>
      <c r="N94" s="15">
        <f t="shared" si="30"/>
        <v>580.30999999999995</v>
      </c>
      <c r="O94" s="100">
        <f t="shared" si="31"/>
        <v>3481.86</v>
      </c>
      <c r="P94" s="15">
        <f t="shared" si="66"/>
        <v>58.03</v>
      </c>
      <c r="Q94" s="101">
        <f>30+1</f>
        <v>31</v>
      </c>
      <c r="R94" s="102">
        <f t="shared" si="67"/>
        <v>5.62</v>
      </c>
      <c r="S94" s="104">
        <f t="shared" si="68"/>
        <v>14.25</v>
      </c>
    </row>
    <row r="95" spans="1:19" ht="15.75" x14ac:dyDescent="0.25">
      <c r="A95" s="87">
        <v>62</v>
      </c>
      <c r="B95" s="107" t="s">
        <v>70</v>
      </c>
      <c r="C95" s="27" t="s">
        <v>24</v>
      </c>
      <c r="D95" s="103">
        <v>1962.25</v>
      </c>
      <c r="E95" s="103">
        <v>18.079999999999998</v>
      </c>
      <c r="F95" s="103">
        <v>532.22</v>
      </c>
      <c r="G95" s="103">
        <v>117.09</v>
      </c>
      <c r="H95" s="11">
        <v>175.99</v>
      </c>
      <c r="I95" s="5">
        <f t="shared" si="65"/>
        <v>2805.63</v>
      </c>
      <c r="J95" s="103">
        <v>11.41</v>
      </c>
      <c r="K95" s="5">
        <f t="shared" si="56"/>
        <v>2817.04</v>
      </c>
      <c r="L95" s="5">
        <f t="shared" si="28"/>
        <v>84.51</v>
      </c>
      <c r="M95" s="15">
        <f t="shared" si="29"/>
        <v>2901.55</v>
      </c>
      <c r="N95" s="15">
        <f t="shared" si="30"/>
        <v>580.30999999999995</v>
      </c>
      <c r="O95" s="100">
        <f t="shared" si="31"/>
        <v>3481.86</v>
      </c>
      <c r="P95" s="15">
        <f t="shared" si="66"/>
        <v>58.03</v>
      </c>
      <c r="Q95" s="101">
        <v>40</v>
      </c>
      <c r="R95" s="102">
        <f t="shared" si="67"/>
        <v>4.3499999999999996</v>
      </c>
      <c r="S95" s="104">
        <f t="shared" si="68"/>
        <v>11.04</v>
      </c>
    </row>
    <row r="96" spans="1:19" ht="15.75" x14ac:dyDescent="0.25">
      <c r="A96" s="87">
        <v>63</v>
      </c>
      <c r="B96" s="107" t="s">
        <v>71</v>
      </c>
      <c r="C96" s="26" t="s">
        <v>49</v>
      </c>
      <c r="D96" s="103">
        <v>1962.25</v>
      </c>
      <c r="E96" s="103">
        <v>18.079999999999998</v>
      </c>
      <c r="F96" s="103">
        <v>532.22</v>
      </c>
      <c r="G96" s="103">
        <v>117.09</v>
      </c>
      <c r="H96" s="11">
        <v>175.99</v>
      </c>
      <c r="I96" s="5">
        <f t="shared" si="65"/>
        <v>2805.63</v>
      </c>
      <c r="J96" s="103">
        <v>11.41</v>
      </c>
      <c r="K96" s="5">
        <f t="shared" si="56"/>
        <v>2817.04</v>
      </c>
      <c r="L96" s="5">
        <f t="shared" si="28"/>
        <v>84.51</v>
      </c>
      <c r="M96" s="15">
        <f t="shared" si="29"/>
        <v>2901.55</v>
      </c>
      <c r="N96" s="15">
        <f t="shared" si="30"/>
        <v>580.30999999999995</v>
      </c>
      <c r="O96" s="100">
        <f t="shared" si="31"/>
        <v>3481.86</v>
      </c>
      <c r="P96" s="15">
        <f t="shared" si="66"/>
        <v>58.03</v>
      </c>
      <c r="Q96" s="101">
        <f>38+1</f>
        <v>39</v>
      </c>
      <c r="R96" s="102">
        <f t="shared" si="67"/>
        <v>4.46</v>
      </c>
      <c r="S96" s="104">
        <f t="shared" si="68"/>
        <v>11.32</v>
      </c>
    </row>
    <row r="97" spans="1:19" ht="15.75" x14ac:dyDescent="0.25">
      <c r="A97" s="87">
        <v>64</v>
      </c>
      <c r="B97" s="107" t="s">
        <v>72</v>
      </c>
      <c r="C97" s="27" t="s">
        <v>18</v>
      </c>
      <c r="D97" s="103">
        <v>1475.88</v>
      </c>
      <c r="E97" s="103">
        <v>18.079999999999998</v>
      </c>
      <c r="F97" s="103">
        <v>532.22</v>
      </c>
      <c r="G97" s="103">
        <v>117.09</v>
      </c>
      <c r="H97" s="11">
        <v>175.99</v>
      </c>
      <c r="I97" s="5">
        <f t="shared" ref="I97" si="69">E97+F97+G97+H97+D97</f>
        <v>2319.2600000000002</v>
      </c>
      <c r="J97" s="103">
        <v>11.41</v>
      </c>
      <c r="K97" s="5">
        <f t="shared" si="56"/>
        <v>2330.67</v>
      </c>
      <c r="L97" s="5">
        <f t="shared" si="28"/>
        <v>69.92</v>
      </c>
      <c r="M97" s="15">
        <f t="shared" si="29"/>
        <v>2400.59</v>
      </c>
      <c r="N97" s="15">
        <f t="shared" si="30"/>
        <v>480.12</v>
      </c>
      <c r="O97" s="100">
        <f t="shared" si="31"/>
        <v>2880.71</v>
      </c>
      <c r="P97" s="15">
        <f t="shared" si="66"/>
        <v>48.01</v>
      </c>
      <c r="Q97" s="101">
        <v>12</v>
      </c>
      <c r="R97" s="102">
        <f t="shared" si="67"/>
        <v>12</v>
      </c>
      <c r="S97" s="104">
        <f t="shared" si="68"/>
        <v>36.799999999999997</v>
      </c>
    </row>
    <row r="98" spans="1:19" ht="15.75" x14ac:dyDescent="0.25">
      <c r="A98" s="87">
        <v>65</v>
      </c>
      <c r="B98" s="107" t="s">
        <v>73</v>
      </c>
      <c r="C98" s="26" t="s">
        <v>14</v>
      </c>
      <c r="D98" s="103">
        <v>2210.63</v>
      </c>
      <c r="E98" s="103">
        <v>18.079999999999998</v>
      </c>
      <c r="F98" s="103">
        <v>532.22</v>
      </c>
      <c r="G98" s="103">
        <v>117.09</v>
      </c>
      <c r="H98" s="11">
        <v>175.99</v>
      </c>
      <c r="I98" s="5">
        <f>E98+F98+G98+H98+D98</f>
        <v>3054.01</v>
      </c>
      <c r="J98" s="103">
        <v>11.41</v>
      </c>
      <c r="K98" s="5">
        <f t="shared" si="56"/>
        <v>3065.42</v>
      </c>
      <c r="L98" s="5">
        <f t="shared" si="28"/>
        <v>91.96</v>
      </c>
      <c r="M98" s="15">
        <f t="shared" si="29"/>
        <v>3157.38</v>
      </c>
      <c r="N98" s="15">
        <f t="shared" si="30"/>
        <v>631.48</v>
      </c>
      <c r="O98" s="100">
        <f t="shared" si="31"/>
        <v>3788.86</v>
      </c>
      <c r="P98" s="15">
        <f t="shared" si="66"/>
        <v>63.15</v>
      </c>
      <c r="Q98" s="101">
        <f>38+2</f>
        <v>40</v>
      </c>
      <c r="R98" s="102">
        <f t="shared" si="67"/>
        <v>4.74</v>
      </c>
      <c r="S98" s="104">
        <f t="shared" si="68"/>
        <v>11.04</v>
      </c>
    </row>
    <row r="99" spans="1:19" ht="15.75" x14ac:dyDescent="0.25">
      <c r="A99" s="87">
        <v>66</v>
      </c>
      <c r="B99" s="107" t="s">
        <v>822</v>
      </c>
      <c r="C99" s="26" t="s">
        <v>16</v>
      </c>
      <c r="D99" s="103">
        <v>2210.63</v>
      </c>
      <c r="E99" s="103">
        <v>18.079999999999998</v>
      </c>
      <c r="F99" s="103">
        <v>532.22</v>
      </c>
      <c r="G99" s="103">
        <v>117.09</v>
      </c>
      <c r="H99" s="11">
        <v>175.99</v>
      </c>
      <c r="I99" s="5">
        <f>E99+F99+G99+H99+D99</f>
        <v>3054.01</v>
      </c>
      <c r="J99" s="103">
        <v>11.41</v>
      </c>
      <c r="K99" s="5">
        <f t="shared" si="56"/>
        <v>3065.42</v>
      </c>
      <c r="L99" s="5">
        <f t="shared" si="28"/>
        <v>91.96</v>
      </c>
      <c r="M99" s="15">
        <f t="shared" si="29"/>
        <v>3157.38</v>
      </c>
      <c r="N99" s="15">
        <f t="shared" si="30"/>
        <v>631.48</v>
      </c>
      <c r="O99" s="100">
        <f t="shared" si="31"/>
        <v>3788.86</v>
      </c>
      <c r="P99" s="15">
        <f t="shared" si="66"/>
        <v>63.15</v>
      </c>
      <c r="Q99" s="101">
        <f>52+4</f>
        <v>56</v>
      </c>
      <c r="R99" s="102">
        <f t="shared" si="67"/>
        <v>3.38</v>
      </c>
      <c r="S99" s="104">
        <f t="shared" si="68"/>
        <v>7.89</v>
      </c>
    </row>
    <row r="100" spans="1:19" ht="15.75" x14ac:dyDescent="0.25">
      <c r="A100" s="87">
        <v>67</v>
      </c>
      <c r="B100" s="107" t="s">
        <v>74</v>
      </c>
      <c r="C100" s="26" t="s">
        <v>49</v>
      </c>
      <c r="D100" s="103">
        <v>1962.25</v>
      </c>
      <c r="E100" s="103">
        <v>18.079999999999998</v>
      </c>
      <c r="F100" s="103">
        <v>532.22</v>
      </c>
      <c r="G100" s="103">
        <v>117.09</v>
      </c>
      <c r="H100" s="11">
        <v>175.99</v>
      </c>
      <c r="I100" s="5">
        <f>E100+F100+G100+H100+D100</f>
        <v>2805.63</v>
      </c>
      <c r="J100" s="103">
        <v>11.41</v>
      </c>
      <c r="K100" s="5">
        <f t="shared" si="56"/>
        <v>2817.04</v>
      </c>
      <c r="L100" s="5">
        <f t="shared" si="28"/>
        <v>84.51</v>
      </c>
      <c r="M100" s="15">
        <f t="shared" si="29"/>
        <v>2901.55</v>
      </c>
      <c r="N100" s="15">
        <f t="shared" si="30"/>
        <v>580.30999999999995</v>
      </c>
      <c r="O100" s="100">
        <f t="shared" si="31"/>
        <v>3481.86</v>
      </c>
      <c r="P100" s="15">
        <f t="shared" si="66"/>
        <v>58.03</v>
      </c>
      <c r="Q100" s="101">
        <f>44+1</f>
        <v>45</v>
      </c>
      <c r="R100" s="102">
        <f t="shared" si="67"/>
        <v>3.87</v>
      </c>
      <c r="S100" s="104">
        <f t="shared" si="68"/>
        <v>9.81</v>
      </c>
    </row>
    <row r="101" spans="1:19" ht="15.75" x14ac:dyDescent="0.25">
      <c r="A101" s="87">
        <v>68</v>
      </c>
      <c r="B101" s="107" t="s">
        <v>75</v>
      </c>
      <c r="C101" s="27" t="s">
        <v>24</v>
      </c>
      <c r="D101" s="103">
        <v>1962.25</v>
      </c>
      <c r="E101" s="103">
        <v>18.079999999999998</v>
      </c>
      <c r="F101" s="103">
        <v>532.22</v>
      </c>
      <c r="G101" s="103">
        <v>117.09</v>
      </c>
      <c r="H101" s="11">
        <v>175.99</v>
      </c>
      <c r="I101" s="5">
        <f>E101+F101+G101+H101+D101</f>
        <v>2805.63</v>
      </c>
      <c r="J101" s="103">
        <v>11.41</v>
      </c>
      <c r="K101" s="5">
        <f t="shared" si="56"/>
        <v>2817.04</v>
      </c>
      <c r="L101" s="5">
        <f t="shared" si="28"/>
        <v>84.51</v>
      </c>
      <c r="M101" s="15">
        <f t="shared" si="29"/>
        <v>2901.55</v>
      </c>
      <c r="N101" s="15">
        <f t="shared" si="30"/>
        <v>580.30999999999995</v>
      </c>
      <c r="O101" s="100">
        <f t="shared" si="31"/>
        <v>3481.86</v>
      </c>
      <c r="P101" s="15">
        <f t="shared" si="66"/>
        <v>58.03</v>
      </c>
      <c r="Q101" s="101">
        <f>38+2</f>
        <v>40</v>
      </c>
      <c r="R101" s="102">
        <f t="shared" si="67"/>
        <v>4.3499999999999996</v>
      </c>
      <c r="S101" s="104">
        <f>ROUND(441.63/Q101,2)</f>
        <v>11.04</v>
      </c>
    </row>
    <row r="102" spans="1:19" ht="15.75" x14ac:dyDescent="0.25">
      <c r="A102" s="87">
        <v>69</v>
      </c>
      <c r="B102" s="107" t="s">
        <v>76</v>
      </c>
      <c r="C102" s="26" t="s">
        <v>49</v>
      </c>
      <c r="D102" s="103">
        <v>1962.25</v>
      </c>
      <c r="E102" s="103">
        <v>18.079999999999998</v>
      </c>
      <c r="F102" s="103">
        <v>532.22</v>
      </c>
      <c r="G102" s="103">
        <v>117.09</v>
      </c>
      <c r="H102" s="11">
        <v>175.99</v>
      </c>
      <c r="I102" s="5">
        <f>E102+F102+G102+H102+D102</f>
        <v>2805.63</v>
      </c>
      <c r="J102" s="103">
        <v>11.41</v>
      </c>
      <c r="K102" s="5">
        <f t="shared" si="56"/>
        <v>2817.04</v>
      </c>
      <c r="L102" s="5">
        <f t="shared" si="28"/>
        <v>84.51</v>
      </c>
      <c r="M102" s="15">
        <f t="shared" si="29"/>
        <v>2901.55</v>
      </c>
      <c r="N102" s="15">
        <f t="shared" si="30"/>
        <v>580.30999999999995</v>
      </c>
      <c r="O102" s="100">
        <f t="shared" si="31"/>
        <v>3481.86</v>
      </c>
      <c r="P102" s="15">
        <f t="shared" si="66"/>
        <v>58.03</v>
      </c>
      <c r="Q102" s="101">
        <v>45</v>
      </c>
      <c r="R102" s="102">
        <f t="shared" si="67"/>
        <v>3.87</v>
      </c>
      <c r="S102" s="104">
        <f t="shared" ref="S102" si="70">ROUND(441.63/Q102,2)</f>
        <v>9.81</v>
      </c>
    </row>
    <row r="103" spans="1:19" ht="15.75" x14ac:dyDescent="0.25">
      <c r="A103" s="220">
        <v>70</v>
      </c>
      <c r="B103" s="215" t="s">
        <v>762</v>
      </c>
      <c r="C103" s="27" t="s">
        <v>24</v>
      </c>
      <c r="D103" s="175">
        <f>1962.25*3+2427.87</f>
        <v>8314.619999999999</v>
      </c>
      <c r="E103" s="190">
        <f>18.08*3+21</f>
        <v>75.239999999999995</v>
      </c>
      <c r="F103" s="190">
        <f>532.22*3+580.3</f>
        <v>2176.96</v>
      </c>
      <c r="G103" s="190">
        <f>117.09*3+127.67</f>
        <v>478.94</v>
      </c>
      <c r="H103" s="167">
        <f>175.99*3+195.01</f>
        <v>722.98</v>
      </c>
      <c r="I103" s="169">
        <f t="shared" ref="I103" si="71">E103+F103+G103+H103+D103</f>
        <v>11768.739999999998</v>
      </c>
      <c r="J103" s="167">
        <f>11.41*3+12.67</f>
        <v>46.900000000000006</v>
      </c>
      <c r="K103" s="169">
        <f t="shared" si="56"/>
        <v>11815.639999999998</v>
      </c>
      <c r="L103" s="169">
        <f t="shared" si="28"/>
        <v>354.47</v>
      </c>
      <c r="M103" s="173">
        <f t="shared" si="29"/>
        <v>12170.109999999997</v>
      </c>
      <c r="N103" s="173">
        <f t="shared" si="30"/>
        <v>2434.02</v>
      </c>
      <c r="O103" s="178">
        <f t="shared" si="31"/>
        <v>14604.129999999997</v>
      </c>
      <c r="P103" s="73">
        <f>ROUND(O103/5/12,2)</f>
        <v>243.4</v>
      </c>
      <c r="Q103" s="192">
        <f>36+36+34</f>
        <v>106</v>
      </c>
      <c r="R103" s="182">
        <f t="shared" si="67"/>
        <v>6.89</v>
      </c>
      <c r="S103" s="166">
        <f>ROUND((441.63*2+451.2+469.47)/Q103,2)</f>
        <v>17.02</v>
      </c>
    </row>
    <row r="104" spans="1:19" ht="15.75" x14ac:dyDescent="0.25">
      <c r="A104" s="223"/>
      <c r="B104" s="218"/>
      <c r="C104" s="35" t="s">
        <v>77</v>
      </c>
      <c r="D104" s="176"/>
      <c r="E104" s="200"/>
      <c r="F104" s="200"/>
      <c r="G104" s="200"/>
      <c r="H104" s="171">
        <f>ROUND((E104+F104+G104)*11.7%,2)</f>
        <v>0</v>
      </c>
      <c r="I104" s="172">
        <f t="shared" ref="I104:I110" si="72">E104+F104+G104+H104</f>
        <v>0</v>
      </c>
      <c r="J104" s="171">
        <f t="shared" ref="J104:J110" si="73">ROUND(I104*11.6%,2)</f>
        <v>0</v>
      </c>
      <c r="K104" s="172">
        <f t="shared" si="56"/>
        <v>0</v>
      </c>
      <c r="L104" s="172">
        <f t="shared" ref="L104:L167" si="74">ROUND(K104*3%,2)</f>
        <v>0</v>
      </c>
      <c r="M104" s="191">
        <f t="shared" ref="M104:M167" si="75">K104+L104</f>
        <v>0</v>
      </c>
      <c r="N104" s="191">
        <f t="shared" ref="N104:N167" si="76">ROUND(M104*20%,2)</f>
        <v>0</v>
      </c>
      <c r="O104" s="187">
        <f t="shared" ref="O104:O167" si="77">M104+N104</f>
        <v>0</v>
      </c>
      <c r="P104" s="74"/>
      <c r="Q104" s="193"/>
      <c r="R104" s="189" t="e">
        <f t="shared" si="67"/>
        <v>#DIV/0!</v>
      </c>
      <c r="S104" s="166" t="e">
        <f t="shared" si="60"/>
        <v>#DIV/0!</v>
      </c>
    </row>
    <row r="105" spans="1:19" ht="15.75" x14ac:dyDescent="0.25">
      <c r="A105" s="223"/>
      <c r="B105" s="218"/>
      <c r="C105" s="29" t="s">
        <v>24</v>
      </c>
      <c r="D105" s="176"/>
      <c r="E105" s="200"/>
      <c r="F105" s="200"/>
      <c r="G105" s="200"/>
      <c r="H105" s="171">
        <f>ROUND((E105+F105+G105)*11.7%,2)</f>
        <v>0</v>
      </c>
      <c r="I105" s="172">
        <f t="shared" si="72"/>
        <v>0</v>
      </c>
      <c r="J105" s="171">
        <f t="shared" si="73"/>
        <v>0</v>
      </c>
      <c r="K105" s="172">
        <f t="shared" si="56"/>
        <v>0</v>
      </c>
      <c r="L105" s="172">
        <f t="shared" si="74"/>
        <v>0</v>
      </c>
      <c r="M105" s="191">
        <f t="shared" si="75"/>
        <v>0</v>
      </c>
      <c r="N105" s="191">
        <f t="shared" si="76"/>
        <v>0</v>
      </c>
      <c r="O105" s="187">
        <f t="shared" si="77"/>
        <v>0</v>
      </c>
      <c r="P105" s="74"/>
      <c r="Q105" s="193"/>
      <c r="R105" s="189" t="e">
        <f t="shared" si="67"/>
        <v>#DIV/0!</v>
      </c>
      <c r="S105" s="166" t="e">
        <f t="shared" si="60"/>
        <v>#DIV/0!</v>
      </c>
    </row>
    <row r="106" spans="1:19" ht="15.75" x14ac:dyDescent="0.25">
      <c r="A106" s="221"/>
      <c r="B106" s="216"/>
      <c r="C106" s="29" t="s">
        <v>60</v>
      </c>
      <c r="D106" s="177"/>
      <c r="E106" s="199"/>
      <c r="F106" s="199"/>
      <c r="G106" s="199"/>
      <c r="H106" s="168">
        <f>ROUND((E106+F106+G106)*11.7%,2)</f>
        <v>0</v>
      </c>
      <c r="I106" s="170">
        <f t="shared" si="72"/>
        <v>0</v>
      </c>
      <c r="J106" s="168">
        <f t="shared" si="73"/>
        <v>0</v>
      </c>
      <c r="K106" s="170">
        <f t="shared" si="56"/>
        <v>0</v>
      </c>
      <c r="L106" s="170">
        <f t="shared" si="74"/>
        <v>0</v>
      </c>
      <c r="M106" s="174">
        <f t="shared" si="75"/>
        <v>0</v>
      </c>
      <c r="N106" s="174">
        <f t="shared" si="76"/>
        <v>0</v>
      </c>
      <c r="O106" s="179">
        <f t="shared" si="77"/>
        <v>0</v>
      </c>
      <c r="P106" s="75"/>
      <c r="Q106" s="194"/>
      <c r="R106" s="183" t="e">
        <f t="shared" si="67"/>
        <v>#DIV/0!</v>
      </c>
      <c r="S106" s="166" t="e">
        <f t="shared" si="60"/>
        <v>#DIV/0!</v>
      </c>
    </row>
    <row r="107" spans="1:19" ht="15.75" x14ac:dyDescent="0.25">
      <c r="A107" s="87">
        <v>71</v>
      </c>
      <c r="B107" s="107" t="s">
        <v>78</v>
      </c>
      <c r="C107" s="27" t="s">
        <v>24</v>
      </c>
      <c r="D107" s="103">
        <v>1962.25</v>
      </c>
      <c r="E107" s="103">
        <v>18.079999999999998</v>
      </c>
      <c r="F107" s="103">
        <v>532.22</v>
      </c>
      <c r="G107" s="103">
        <v>117.09</v>
      </c>
      <c r="H107" s="11">
        <v>175.99</v>
      </c>
      <c r="I107" s="5">
        <f>E107+F107+G107+H107+D107</f>
        <v>2805.63</v>
      </c>
      <c r="J107" s="103">
        <v>11.41</v>
      </c>
      <c r="K107" s="5">
        <f t="shared" si="56"/>
        <v>2817.04</v>
      </c>
      <c r="L107" s="5">
        <f t="shared" si="74"/>
        <v>84.51</v>
      </c>
      <c r="M107" s="15">
        <f t="shared" si="75"/>
        <v>2901.55</v>
      </c>
      <c r="N107" s="15">
        <f t="shared" si="76"/>
        <v>580.30999999999995</v>
      </c>
      <c r="O107" s="100">
        <f t="shared" si="77"/>
        <v>3481.86</v>
      </c>
      <c r="P107" s="15">
        <f>ROUND(O107/5/12,2)</f>
        <v>58.03</v>
      </c>
      <c r="Q107" s="101">
        <v>40</v>
      </c>
      <c r="R107" s="102">
        <f>ROUND(P107*3/Q107,2)</f>
        <v>4.3499999999999996</v>
      </c>
      <c r="S107" s="104">
        <f>ROUND(441.63/Q107,2)</f>
        <v>11.04</v>
      </c>
    </row>
    <row r="108" spans="1:19" ht="15.75" customHeight="1" x14ac:dyDescent="0.25">
      <c r="A108" s="220">
        <v>72</v>
      </c>
      <c r="B108" s="215" t="s">
        <v>764</v>
      </c>
      <c r="C108" s="27" t="s">
        <v>15</v>
      </c>
      <c r="D108" s="175">
        <f>1962.25*2+2210.63</f>
        <v>6135.13</v>
      </c>
      <c r="E108" s="195">
        <f>18.08*2+18.08</f>
        <v>54.239999999999995</v>
      </c>
      <c r="F108" s="195">
        <f>532.22*2+532.22</f>
        <v>1596.66</v>
      </c>
      <c r="G108" s="195">
        <f>117.09*2+117.09</f>
        <v>351.27</v>
      </c>
      <c r="H108" s="167">
        <f>175.99*2+175.99</f>
        <v>527.97</v>
      </c>
      <c r="I108" s="169">
        <f>E108+F108+G108+H108+D108</f>
        <v>8665.27</v>
      </c>
      <c r="J108" s="167">
        <f>11.41*2+11.41</f>
        <v>34.230000000000004</v>
      </c>
      <c r="K108" s="169">
        <f t="shared" si="56"/>
        <v>8699.5</v>
      </c>
      <c r="L108" s="169">
        <f t="shared" si="74"/>
        <v>260.99</v>
      </c>
      <c r="M108" s="173">
        <f t="shared" si="75"/>
        <v>8960.49</v>
      </c>
      <c r="N108" s="173">
        <f t="shared" si="76"/>
        <v>1792.1</v>
      </c>
      <c r="O108" s="178">
        <f t="shared" si="77"/>
        <v>10752.59</v>
      </c>
      <c r="P108" s="73">
        <f>ROUND(O108/5/12,2)</f>
        <v>179.21</v>
      </c>
      <c r="Q108" s="180">
        <f>107+54+72+1</f>
        <v>234</v>
      </c>
      <c r="R108" s="182">
        <f t="shared" ref="R108:R110" si="78">ROUND(P108*3/Q108,2)</f>
        <v>2.2999999999999998</v>
      </c>
      <c r="S108" s="166">
        <f>ROUND(441.63*3/Q108,2)</f>
        <v>5.66</v>
      </c>
    </row>
    <row r="109" spans="1:19" ht="15.75" customHeight="1" x14ac:dyDescent="0.25">
      <c r="A109" s="223"/>
      <c r="B109" s="218"/>
      <c r="C109" s="29" t="s">
        <v>16</v>
      </c>
      <c r="D109" s="176"/>
      <c r="E109" s="196"/>
      <c r="F109" s="196"/>
      <c r="G109" s="196"/>
      <c r="H109" s="171">
        <f>ROUND((E109+F109+G109)*11.7%,2)</f>
        <v>0</v>
      </c>
      <c r="I109" s="172">
        <f t="shared" si="72"/>
        <v>0</v>
      </c>
      <c r="J109" s="171">
        <f t="shared" si="73"/>
        <v>0</v>
      </c>
      <c r="K109" s="172">
        <f t="shared" si="56"/>
        <v>0</v>
      </c>
      <c r="L109" s="172">
        <f t="shared" si="74"/>
        <v>0</v>
      </c>
      <c r="M109" s="191">
        <f t="shared" si="75"/>
        <v>0</v>
      </c>
      <c r="N109" s="191">
        <f t="shared" si="76"/>
        <v>0</v>
      </c>
      <c r="O109" s="187">
        <f t="shared" si="77"/>
        <v>0</v>
      </c>
      <c r="P109" s="74"/>
      <c r="Q109" s="188"/>
      <c r="R109" s="189" t="e">
        <f t="shared" si="78"/>
        <v>#DIV/0!</v>
      </c>
      <c r="S109" s="166" t="e">
        <f t="shared" si="60"/>
        <v>#DIV/0!</v>
      </c>
    </row>
    <row r="110" spans="1:19" ht="15.75" customHeight="1" x14ac:dyDescent="0.25">
      <c r="A110" s="221"/>
      <c r="B110" s="216"/>
      <c r="C110" s="30" t="s">
        <v>49</v>
      </c>
      <c r="D110" s="177"/>
      <c r="E110" s="197"/>
      <c r="F110" s="197"/>
      <c r="G110" s="197"/>
      <c r="H110" s="168">
        <f>ROUND((E110+F110+G110)*11.7%,2)</f>
        <v>0</v>
      </c>
      <c r="I110" s="170">
        <f t="shared" si="72"/>
        <v>0</v>
      </c>
      <c r="J110" s="168">
        <f t="shared" si="73"/>
        <v>0</v>
      </c>
      <c r="K110" s="170">
        <f t="shared" si="56"/>
        <v>0</v>
      </c>
      <c r="L110" s="170">
        <f t="shared" si="74"/>
        <v>0</v>
      </c>
      <c r="M110" s="174">
        <f t="shared" si="75"/>
        <v>0</v>
      </c>
      <c r="N110" s="174">
        <f t="shared" si="76"/>
        <v>0</v>
      </c>
      <c r="O110" s="179">
        <f t="shared" si="77"/>
        <v>0</v>
      </c>
      <c r="P110" s="75"/>
      <c r="Q110" s="181"/>
      <c r="R110" s="183" t="e">
        <f t="shared" si="78"/>
        <v>#DIV/0!</v>
      </c>
      <c r="S110" s="166" t="e">
        <f t="shared" si="60"/>
        <v>#DIV/0!</v>
      </c>
    </row>
    <row r="111" spans="1:19" ht="15.75" x14ac:dyDescent="0.25">
      <c r="A111" s="87">
        <v>73</v>
      </c>
      <c r="B111" s="107" t="s">
        <v>79</v>
      </c>
      <c r="C111" s="26" t="s">
        <v>49</v>
      </c>
      <c r="D111" s="103">
        <v>1962.25</v>
      </c>
      <c r="E111" s="103">
        <v>18.079999999999998</v>
      </c>
      <c r="F111" s="103">
        <v>532.22</v>
      </c>
      <c r="G111" s="103">
        <v>117.09</v>
      </c>
      <c r="H111" s="11">
        <v>175.99</v>
      </c>
      <c r="I111" s="5">
        <f>E111+F111+G111+H111+D111</f>
        <v>2805.63</v>
      </c>
      <c r="J111" s="103">
        <v>11.41</v>
      </c>
      <c r="K111" s="5">
        <f t="shared" si="56"/>
        <v>2817.04</v>
      </c>
      <c r="L111" s="5">
        <f t="shared" si="74"/>
        <v>84.51</v>
      </c>
      <c r="M111" s="15">
        <f t="shared" si="75"/>
        <v>2901.55</v>
      </c>
      <c r="N111" s="15">
        <f t="shared" si="76"/>
        <v>580.30999999999995</v>
      </c>
      <c r="O111" s="100">
        <f t="shared" si="77"/>
        <v>3481.86</v>
      </c>
      <c r="P111" s="15">
        <f t="shared" ref="P111:P124" si="79">ROUND(O111/5/12,2)</f>
        <v>58.03</v>
      </c>
      <c r="Q111" s="101">
        <v>71</v>
      </c>
      <c r="R111" s="102">
        <f t="shared" ref="R111:R174" si="80">ROUND(P111*3/Q111,2)</f>
        <v>2.4500000000000002</v>
      </c>
      <c r="S111" s="104">
        <f>ROUND(441.63/Q111,2)</f>
        <v>6.22</v>
      </c>
    </row>
    <row r="112" spans="1:19" ht="15.75" x14ac:dyDescent="0.25">
      <c r="A112" s="87">
        <v>74</v>
      </c>
      <c r="B112" s="107" t="s">
        <v>80</v>
      </c>
      <c r="C112" s="26" t="s">
        <v>12</v>
      </c>
      <c r="D112" s="103">
        <v>2427.87</v>
      </c>
      <c r="E112" s="103">
        <v>21</v>
      </c>
      <c r="F112" s="103">
        <v>580.29999999999995</v>
      </c>
      <c r="G112" s="103">
        <v>127.67</v>
      </c>
      <c r="H112" s="11">
        <v>195.01</v>
      </c>
      <c r="I112" s="5">
        <f t="shared" ref="I112:I113" si="81">E112+F112+G112+H112+D112</f>
        <v>3351.85</v>
      </c>
      <c r="J112" s="103">
        <v>12.67</v>
      </c>
      <c r="K112" s="5">
        <f t="shared" si="56"/>
        <v>3364.52</v>
      </c>
      <c r="L112" s="5">
        <f t="shared" si="74"/>
        <v>100.94</v>
      </c>
      <c r="M112" s="15">
        <f t="shared" si="75"/>
        <v>3465.46</v>
      </c>
      <c r="N112" s="15">
        <f t="shared" si="76"/>
        <v>693.09</v>
      </c>
      <c r="O112" s="100">
        <f t="shared" si="77"/>
        <v>4158.55</v>
      </c>
      <c r="P112" s="15">
        <f t="shared" si="79"/>
        <v>69.31</v>
      </c>
      <c r="Q112" s="101">
        <f>108+1</f>
        <v>109</v>
      </c>
      <c r="R112" s="102">
        <f t="shared" si="80"/>
        <v>1.91</v>
      </c>
      <c r="S112" s="104">
        <f>ROUND(451.2/Q112,2)</f>
        <v>4.1399999999999997</v>
      </c>
    </row>
    <row r="113" spans="1:19" ht="15.75" x14ac:dyDescent="0.25">
      <c r="A113" s="87">
        <v>75</v>
      </c>
      <c r="B113" s="107" t="s">
        <v>81</v>
      </c>
      <c r="C113" s="26" t="s">
        <v>12</v>
      </c>
      <c r="D113" s="103">
        <v>2427.87</v>
      </c>
      <c r="E113" s="103">
        <v>21</v>
      </c>
      <c r="F113" s="103">
        <v>580.29999999999995</v>
      </c>
      <c r="G113" s="103">
        <v>127.67</v>
      </c>
      <c r="H113" s="11">
        <v>195.01</v>
      </c>
      <c r="I113" s="5">
        <f t="shared" si="81"/>
        <v>3351.85</v>
      </c>
      <c r="J113" s="103">
        <v>12.67</v>
      </c>
      <c r="K113" s="5">
        <f t="shared" si="56"/>
        <v>3364.52</v>
      </c>
      <c r="L113" s="5">
        <f t="shared" si="74"/>
        <v>100.94</v>
      </c>
      <c r="M113" s="15">
        <f t="shared" si="75"/>
        <v>3465.46</v>
      </c>
      <c r="N113" s="15">
        <f t="shared" si="76"/>
        <v>693.09</v>
      </c>
      <c r="O113" s="100">
        <f t="shared" si="77"/>
        <v>4158.55</v>
      </c>
      <c r="P113" s="15">
        <f t="shared" si="79"/>
        <v>69.31</v>
      </c>
      <c r="Q113" s="101">
        <v>100</v>
      </c>
      <c r="R113" s="102">
        <f t="shared" si="80"/>
        <v>2.08</v>
      </c>
      <c r="S113" s="104">
        <f>ROUND(451.2/Q113,2)</f>
        <v>4.51</v>
      </c>
    </row>
    <row r="114" spans="1:19" ht="15.75" x14ac:dyDescent="0.25">
      <c r="A114" s="87">
        <v>76</v>
      </c>
      <c r="B114" s="107" t="s">
        <v>82</v>
      </c>
      <c r="C114" s="31" t="s">
        <v>83</v>
      </c>
      <c r="D114" s="103">
        <v>2210.63</v>
      </c>
      <c r="E114" s="103">
        <v>18.079999999999998</v>
      </c>
      <c r="F114" s="103">
        <v>532.22</v>
      </c>
      <c r="G114" s="103">
        <v>117.09</v>
      </c>
      <c r="H114" s="11">
        <v>175.99</v>
      </c>
      <c r="I114" s="5">
        <f>E114+F114+G114+H114+D114</f>
        <v>3054.01</v>
      </c>
      <c r="J114" s="103">
        <v>11.41</v>
      </c>
      <c r="K114" s="5">
        <f t="shared" si="56"/>
        <v>3065.42</v>
      </c>
      <c r="L114" s="5">
        <f t="shared" si="74"/>
        <v>91.96</v>
      </c>
      <c r="M114" s="15">
        <f t="shared" si="75"/>
        <v>3157.38</v>
      </c>
      <c r="N114" s="15">
        <f t="shared" si="76"/>
        <v>631.48</v>
      </c>
      <c r="O114" s="100">
        <f t="shared" si="77"/>
        <v>3788.86</v>
      </c>
      <c r="P114" s="15">
        <f t="shared" si="79"/>
        <v>63.15</v>
      </c>
      <c r="Q114" s="101">
        <v>80</v>
      </c>
      <c r="R114" s="102">
        <f t="shared" si="80"/>
        <v>2.37</v>
      </c>
      <c r="S114" s="104">
        <f>ROUND(469.47/Q114,2)</f>
        <v>5.87</v>
      </c>
    </row>
    <row r="115" spans="1:19" ht="15.75" x14ac:dyDescent="0.25">
      <c r="A115" s="87">
        <v>77</v>
      </c>
      <c r="B115" s="107" t="s">
        <v>84</v>
      </c>
      <c r="C115" s="31" t="s">
        <v>85</v>
      </c>
      <c r="D115" s="103">
        <v>1962.25</v>
      </c>
      <c r="E115" s="103">
        <v>18.079999999999998</v>
      </c>
      <c r="F115" s="103">
        <v>532.22</v>
      </c>
      <c r="G115" s="103">
        <v>117.09</v>
      </c>
      <c r="H115" s="11">
        <v>175.99</v>
      </c>
      <c r="I115" s="5">
        <f>E115+F115+G115+H115+D115</f>
        <v>2805.63</v>
      </c>
      <c r="J115" s="103">
        <v>11.41</v>
      </c>
      <c r="K115" s="5">
        <f t="shared" si="56"/>
        <v>2817.04</v>
      </c>
      <c r="L115" s="5">
        <f t="shared" si="74"/>
        <v>84.51</v>
      </c>
      <c r="M115" s="15">
        <f t="shared" si="75"/>
        <v>2901.55</v>
      </c>
      <c r="N115" s="15">
        <f t="shared" si="76"/>
        <v>580.30999999999995</v>
      </c>
      <c r="O115" s="100">
        <f t="shared" si="77"/>
        <v>3481.86</v>
      </c>
      <c r="P115" s="15">
        <f t="shared" si="79"/>
        <v>58.03</v>
      </c>
      <c r="Q115" s="101">
        <f>28+5</f>
        <v>33</v>
      </c>
      <c r="R115" s="102">
        <f t="shared" si="80"/>
        <v>5.28</v>
      </c>
      <c r="S115" s="104">
        <f>ROUND(469.47/Q115,2)</f>
        <v>14.23</v>
      </c>
    </row>
    <row r="116" spans="1:19" ht="15.75" x14ac:dyDescent="0.25">
      <c r="A116" s="87">
        <v>78</v>
      </c>
      <c r="B116" s="107" t="s">
        <v>86</v>
      </c>
      <c r="C116" s="26" t="s">
        <v>16</v>
      </c>
      <c r="D116" s="103">
        <v>2210.63</v>
      </c>
      <c r="E116" s="103">
        <v>18.079999999999998</v>
      </c>
      <c r="F116" s="103">
        <v>532.22</v>
      </c>
      <c r="G116" s="103">
        <v>117.09</v>
      </c>
      <c r="H116" s="11">
        <v>175.99</v>
      </c>
      <c r="I116" s="5">
        <f>E116+F116+G116+H116+D116</f>
        <v>3054.01</v>
      </c>
      <c r="J116" s="103">
        <v>11.41</v>
      </c>
      <c r="K116" s="5">
        <f t="shared" si="56"/>
        <v>3065.42</v>
      </c>
      <c r="L116" s="5">
        <f t="shared" si="74"/>
        <v>91.96</v>
      </c>
      <c r="M116" s="15">
        <f t="shared" si="75"/>
        <v>3157.38</v>
      </c>
      <c r="N116" s="15">
        <f t="shared" si="76"/>
        <v>631.48</v>
      </c>
      <c r="O116" s="100">
        <f t="shared" si="77"/>
        <v>3788.86</v>
      </c>
      <c r="P116" s="15">
        <f t="shared" si="79"/>
        <v>63.15</v>
      </c>
      <c r="Q116" s="101">
        <f>43+1</f>
        <v>44</v>
      </c>
      <c r="R116" s="102">
        <f t="shared" si="80"/>
        <v>4.3099999999999996</v>
      </c>
      <c r="S116" s="104">
        <f>ROUND(441.63/Q116,2)</f>
        <v>10.039999999999999</v>
      </c>
    </row>
    <row r="117" spans="1:19" ht="15.75" x14ac:dyDescent="0.25">
      <c r="A117" s="87">
        <v>79</v>
      </c>
      <c r="B117" s="107" t="s">
        <v>87</v>
      </c>
      <c r="C117" s="27" t="s">
        <v>18</v>
      </c>
      <c r="D117" s="103">
        <v>1475.88</v>
      </c>
      <c r="E117" s="103">
        <v>18.079999999999998</v>
      </c>
      <c r="F117" s="103">
        <v>532.22</v>
      </c>
      <c r="G117" s="103">
        <v>117.09</v>
      </c>
      <c r="H117" s="11">
        <v>175.99</v>
      </c>
      <c r="I117" s="5">
        <f t="shared" ref="I117:I118" si="82">E117+F117+G117+H117+D117</f>
        <v>2319.2600000000002</v>
      </c>
      <c r="J117" s="103">
        <v>11.41</v>
      </c>
      <c r="K117" s="5">
        <f t="shared" si="56"/>
        <v>2330.67</v>
      </c>
      <c r="L117" s="5">
        <f t="shared" si="74"/>
        <v>69.92</v>
      </c>
      <c r="M117" s="15">
        <f t="shared" si="75"/>
        <v>2400.59</v>
      </c>
      <c r="N117" s="15">
        <f t="shared" si="76"/>
        <v>480.12</v>
      </c>
      <c r="O117" s="100">
        <f t="shared" si="77"/>
        <v>2880.71</v>
      </c>
      <c r="P117" s="15">
        <f t="shared" si="79"/>
        <v>48.01</v>
      </c>
      <c r="Q117" s="101">
        <f>10+6</f>
        <v>16</v>
      </c>
      <c r="R117" s="102">
        <f t="shared" si="80"/>
        <v>9</v>
      </c>
      <c r="S117" s="104">
        <f>ROUND(441.63/Q117,2)</f>
        <v>27.6</v>
      </c>
    </row>
    <row r="118" spans="1:19" ht="15.75" x14ac:dyDescent="0.25">
      <c r="A118" s="87">
        <v>80</v>
      </c>
      <c r="B118" s="107" t="s">
        <v>88</v>
      </c>
      <c r="C118" s="26" t="s">
        <v>20</v>
      </c>
      <c r="D118" s="103">
        <v>1475.88</v>
      </c>
      <c r="E118" s="103">
        <v>18.079999999999998</v>
      </c>
      <c r="F118" s="103">
        <v>532.22</v>
      </c>
      <c r="G118" s="103">
        <v>117.09</v>
      </c>
      <c r="H118" s="11">
        <v>175.99</v>
      </c>
      <c r="I118" s="5">
        <f t="shared" si="82"/>
        <v>2319.2600000000002</v>
      </c>
      <c r="J118" s="103">
        <v>11.41</v>
      </c>
      <c r="K118" s="5">
        <f t="shared" si="56"/>
        <v>2330.67</v>
      </c>
      <c r="L118" s="5">
        <f t="shared" si="74"/>
        <v>69.92</v>
      </c>
      <c r="M118" s="15">
        <f t="shared" si="75"/>
        <v>2400.59</v>
      </c>
      <c r="N118" s="15">
        <f t="shared" si="76"/>
        <v>480.12</v>
      </c>
      <c r="O118" s="100">
        <f t="shared" si="77"/>
        <v>2880.71</v>
      </c>
      <c r="P118" s="15">
        <f t="shared" si="79"/>
        <v>48.01</v>
      </c>
      <c r="Q118" s="101">
        <v>16</v>
      </c>
      <c r="R118" s="102">
        <f t="shared" si="80"/>
        <v>9</v>
      </c>
      <c r="S118" s="104">
        <f>ROUND(441.63/Q118,2)</f>
        <v>27.6</v>
      </c>
    </row>
    <row r="119" spans="1:19" ht="15.75" x14ac:dyDescent="0.25">
      <c r="A119" s="87">
        <v>81</v>
      </c>
      <c r="B119" s="107" t="s">
        <v>89</v>
      </c>
      <c r="C119" s="31" t="s">
        <v>90</v>
      </c>
      <c r="D119" s="103">
        <v>2210.63</v>
      </c>
      <c r="E119" s="103">
        <v>18.079999999999998</v>
      </c>
      <c r="F119" s="103">
        <v>532.22</v>
      </c>
      <c r="G119" s="103">
        <v>117.09</v>
      </c>
      <c r="H119" s="11">
        <v>175.99</v>
      </c>
      <c r="I119" s="5">
        <f t="shared" ref="I119:I125" si="83">E119+F119+G119+H119+D119</f>
        <v>3054.01</v>
      </c>
      <c r="J119" s="103">
        <v>11.41</v>
      </c>
      <c r="K119" s="5">
        <f t="shared" si="56"/>
        <v>3065.42</v>
      </c>
      <c r="L119" s="5">
        <f t="shared" si="74"/>
        <v>91.96</v>
      </c>
      <c r="M119" s="15">
        <f t="shared" si="75"/>
        <v>3157.38</v>
      </c>
      <c r="N119" s="15">
        <f t="shared" si="76"/>
        <v>631.48</v>
      </c>
      <c r="O119" s="100">
        <f t="shared" si="77"/>
        <v>3788.86</v>
      </c>
      <c r="P119" s="15">
        <f t="shared" si="79"/>
        <v>63.15</v>
      </c>
      <c r="Q119" s="101">
        <v>44</v>
      </c>
      <c r="R119" s="102">
        <f t="shared" si="80"/>
        <v>4.3099999999999996</v>
      </c>
      <c r="S119" s="104">
        <f>ROUND(469.47/Q119,2)</f>
        <v>10.67</v>
      </c>
    </row>
    <row r="120" spans="1:19" ht="15.75" x14ac:dyDescent="0.25">
      <c r="A120" s="87">
        <v>82</v>
      </c>
      <c r="B120" s="107" t="s">
        <v>91</v>
      </c>
      <c r="C120" s="26" t="s">
        <v>14</v>
      </c>
      <c r="D120" s="103">
        <v>2210.63</v>
      </c>
      <c r="E120" s="103">
        <v>18.079999999999998</v>
      </c>
      <c r="F120" s="103">
        <v>532.22</v>
      </c>
      <c r="G120" s="103">
        <v>117.09</v>
      </c>
      <c r="H120" s="11">
        <v>175.99</v>
      </c>
      <c r="I120" s="5">
        <f t="shared" si="83"/>
        <v>3054.01</v>
      </c>
      <c r="J120" s="103">
        <v>11.41</v>
      </c>
      <c r="K120" s="5">
        <f t="shared" si="56"/>
        <v>3065.42</v>
      </c>
      <c r="L120" s="5">
        <f t="shared" si="74"/>
        <v>91.96</v>
      </c>
      <c r="M120" s="15">
        <f t="shared" si="75"/>
        <v>3157.38</v>
      </c>
      <c r="N120" s="15">
        <f t="shared" si="76"/>
        <v>631.48</v>
      </c>
      <c r="O120" s="100">
        <f t="shared" si="77"/>
        <v>3788.86</v>
      </c>
      <c r="P120" s="15">
        <f t="shared" si="79"/>
        <v>63.15</v>
      </c>
      <c r="Q120" s="101">
        <f>78+2</f>
        <v>80</v>
      </c>
      <c r="R120" s="102">
        <f t="shared" si="80"/>
        <v>2.37</v>
      </c>
      <c r="S120" s="104">
        <f t="shared" ref="S120:S121" si="84">ROUND(441.63/Q120,2)</f>
        <v>5.52</v>
      </c>
    </row>
    <row r="121" spans="1:19" ht="15.75" x14ac:dyDescent="0.25">
      <c r="A121" s="87">
        <v>83</v>
      </c>
      <c r="B121" s="107" t="s">
        <v>92</v>
      </c>
      <c r="C121" s="26" t="s">
        <v>14</v>
      </c>
      <c r="D121" s="103">
        <v>2210.63</v>
      </c>
      <c r="E121" s="103">
        <v>18.079999999999998</v>
      </c>
      <c r="F121" s="103">
        <v>532.22</v>
      </c>
      <c r="G121" s="103">
        <v>117.09</v>
      </c>
      <c r="H121" s="11">
        <v>175.99</v>
      </c>
      <c r="I121" s="5">
        <f t="shared" si="83"/>
        <v>3054.01</v>
      </c>
      <c r="J121" s="103">
        <v>11.41</v>
      </c>
      <c r="K121" s="5">
        <f t="shared" si="56"/>
        <v>3065.42</v>
      </c>
      <c r="L121" s="5">
        <f t="shared" si="74"/>
        <v>91.96</v>
      </c>
      <c r="M121" s="15">
        <f t="shared" si="75"/>
        <v>3157.38</v>
      </c>
      <c r="N121" s="15">
        <f t="shared" si="76"/>
        <v>631.48</v>
      </c>
      <c r="O121" s="100">
        <f t="shared" si="77"/>
        <v>3788.86</v>
      </c>
      <c r="P121" s="15">
        <f t="shared" si="79"/>
        <v>63.15</v>
      </c>
      <c r="Q121" s="101">
        <v>80</v>
      </c>
      <c r="R121" s="102">
        <f t="shared" si="80"/>
        <v>2.37</v>
      </c>
      <c r="S121" s="104">
        <f t="shared" si="84"/>
        <v>5.52</v>
      </c>
    </row>
    <row r="122" spans="1:19" ht="15.75" x14ac:dyDescent="0.25">
      <c r="A122" s="87">
        <v>84</v>
      </c>
      <c r="B122" s="107" t="s">
        <v>93</v>
      </c>
      <c r="C122" s="26" t="s">
        <v>12</v>
      </c>
      <c r="D122" s="103">
        <v>2427.87</v>
      </c>
      <c r="E122" s="103">
        <v>21</v>
      </c>
      <c r="F122" s="103">
        <v>580.29999999999995</v>
      </c>
      <c r="G122" s="103">
        <v>127.67</v>
      </c>
      <c r="H122" s="11">
        <v>195.01</v>
      </c>
      <c r="I122" s="5">
        <f t="shared" si="83"/>
        <v>3351.85</v>
      </c>
      <c r="J122" s="103">
        <v>12.67</v>
      </c>
      <c r="K122" s="5">
        <f t="shared" si="56"/>
        <v>3364.52</v>
      </c>
      <c r="L122" s="5">
        <f t="shared" si="74"/>
        <v>100.94</v>
      </c>
      <c r="M122" s="15">
        <f t="shared" si="75"/>
        <v>3465.46</v>
      </c>
      <c r="N122" s="15">
        <f t="shared" si="76"/>
        <v>693.09</v>
      </c>
      <c r="O122" s="100">
        <f t="shared" si="77"/>
        <v>4158.55</v>
      </c>
      <c r="P122" s="15">
        <f t="shared" si="79"/>
        <v>69.31</v>
      </c>
      <c r="Q122" s="101">
        <f>120+1</f>
        <v>121</v>
      </c>
      <c r="R122" s="102">
        <f t="shared" si="80"/>
        <v>1.72</v>
      </c>
      <c r="S122" s="104">
        <f>ROUND(451.2/Q122,2)</f>
        <v>3.73</v>
      </c>
    </row>
    <row r="123" spans="1:19" ht="15.75" x14ac:dyDescent="0.25">
      <c r="A123" s="87">
        <v>85</v>
      </c>
      <c r="B123" s="107" t="s">
        <v>94</v>
      </c>
      <c r="C123" s="29" t="s">
        <v>16</v>
      </c>
      <c r="D123" s="103">
        <v>2210.63</v>
      </c>
      <c r="E123" s="103">
        <v>18.079999999999998</v>
      </c>
      <c r="F123" s="103">
        <v>532.22</v>
      </c>
      <c r="G123" s="103">
        <v>117.09</v>
      </c>
      <c r="H123" s="11">
        <v>175.99</v>
      </c>
      <c r="I123" s="5">
        <f t="shared" si="83"/>
        <v>3054.01</v>
      </c>
      <c r="J123" s="103">
        <v>11.41</v>
      </c>
      <c r="K123" s="5">
        <f t="shared" si="56"/>
        <v>3065.42</v>
      </c>
      <c r="L123" s="5">
        <f t="shared" si="74"/>
        <v>91.96</v>
      </c>
      <c r="M123" s="15">
        <f t="shared" si="75"/>
        <v>3157.38</v>
      </c>
      <c r="N123" s="15">
        <f t="shared" si="76"/>
        <v>631.48</v>
      </c>
      <c r="O123" s="100">
        <f t="shared" si="77"/>
        <v>3788.86</v>
      </c>
      <c r="P123" s="15">
        <f t="shared" si="79"/>
        <v>63.15</v>
      </c>
      <c r="Q123" s="101">
        <f>47+3</f>
        <v>50</v>
      </c>
      <c r="R123" s="102">
        <f t="shared" si="80"/>
        <v>3.79</v>
      </c>
      <c r="S123" s="104">
        <f>ROUND(441.63/Q123,2)</f>
        <v>8.83</v>
      </c>
    </row>
    <row r="124" spans="1:19" ht="15.75" x14ac:dyDescent="0.25">
      <c r="A124" s="87">
        <v>86</v>
      </c>
      <c r="B124" s="107" t="s">
        <v>95</v>
      </c>
      <c r="C124" s="26" t="s">
        <v>35</v>
      </c>
      <c r="D124" s="103">
        <v>2210.63</v>
      </c>
      <c r="E124" s="103">
        <v>18.079999999999998</v>
      </c>
      <c r="F124" s="103">
        <v>532.22</v>
      </c>
      <c r="G124" s="103">
        <v>117.09</v>
      </c>
      <c r="H124" s="11">
        <v>175.99</v>
      </c>
      <c r="I124" s="5">
        <f t="shared" si="83"/>
        <v>3054.01</v>
      </c>
      <c r="J124" s="103">
        <v>11.41</v>
      </c>
      <c r="K124" s="5">
        <f t="shared" si="56"/>
        <v>3065.42</v>
      </c>
      <c r="L124" s="5">
        <f t="shared" si="74"/>
        <v>91.96</v>
      </c>
      <c r="M124" s="15">
        <f t="shared" si="75"/>
        <v>3157.38</v>
      </c>
      <c r="N124" s="15">
        <f t="shared" si="76"/>
        <v>631.48</v>
      </c>
      <c r="O124" s="100">
        <f t="shared" si="77"/>
        <v>3788.86</v>
      </c>
      <c r="P124" s="15">
        <f t="shared" si="79"/>
        <v>63.15</v>
      </c>
      <c r="Q124" s="101">
        <f>59+1</f>
        <v>60</v>
      </c>
      <c r="R124" s="102">
        <f t="shared" si="80"/>
        <v>3.16</v>
      </c>
      <c r="S124" s="104">
        <f>ROUND(441.63/Q124,2)</f>
        <v>7.36</v>
      </c>
    </row>
    <row r="125" spans="1:19" ht="15" customHeight="1" x14ac:dyDescent="0.25">
      <c r="A125" s="220">
        <v>87</v>
      </c>
      <c r="B125" s="215" t="s">
        <v>765</v>
      </c>
      <c r="C125" s="27" t="s">
        <v>59</v>
      </c>
      <c r="D125" s="175">
        <f>2210.63*2</f>
        <v>4421.26</v>
      </c>
      <c r="E125" s="195">
        <f>18.08*2</f>
        <v>36.159999999999997</v>
      </c>
      <c r="F125" s="195">
        <f>532.22*2</f>
        <v>1064.44</v>
      </c>
      <c r="G125" s="195">
        <f>117.09*2</f>
        <v>234.18</v>
      </c>
      <c r="H125" s="167">
        <f>175.99*2</f>
        <v>351.98</v>
      </c>
      <c r="I125" s="169">
        <f t="shared" si="83"/>
        <v>6108.02</v>
      </c>
      <c r="J125" s="167">
        <f>11.41*2</f>
        <v>22.82</v>
      </c>
      <c r="K125" s="169">
        <f t="shared" si="56"/>
        <v>6130.84</v>
      </c>
      <c r="L125" s="169">
        <f t="shared" si="74"/>
        <v>183.93</v>
      </c>
      <c r="M125" s="169">
        <f t="shared" si="75"/>
        <v>6314.77</v>
      </c>
      <c r="N125" s="173">
        <f t="shared" si="76"/>
        <v>1262.95</v>
      </c>
      <c r="O125" s="185">
        <f t="shared" si="77"/>
        <v>7577.72</v>
      </c>
      <c r="P125" s="83">
        <f>ROUND(O125/5/12,2)</f>
        <v>126.3</v>
      </c>
      <c r="Q125" s="180">
        <f>48+50+2</f>
        <v>100</v>
      </c>
      <c r="R125" s="164">
        <f t="shared" si="80"/>
        <v>3.79</v>
      </c>
      <c r="S125" s="166">
        <f>ROUND(441.63*2/Q125,2)</f>
        <v>8.83</v>
      </c>
    </row>
    <row r="126" spans="1:19" ht="15" customHeight="1" x14ac:dyDescent="0.25">
      <c r="A126" s="221"/>
      <c r="B126" s="216"/>
      <c r="C126" s="30" t="s">
        <v>14</v>
      </c>
      <c r="D126" s="177"/>
      <c r="E126" s="197"/>
      <c r="F126" s="197"/>
      <c r="G126" s="197"/>
      <c r="H126" s="168">
        <f>ROUND((E126+F126+G126)*11.7%,2)</f>
        <v>0</v>
      </c>
      <c r="I126" s="170">
        <f t="shared" ref="I126" si="85">E126+F126+G126+H126</f>
        <v>0</v>
      </c>
      <c r="J126" s="168">
        <f t="shared" ref="J126" si="86">ROUND(I126*11.6%,2)</f>
        <v>0</v>
      </c>
      <c r="K126" s="170">
        <f t="shared" si="56"/>
        <v>0</v>
      </c>
      <c r="L126" s="170">
        <f t="shared" si="74"/>
        <v>0</v>
      </c>
      <c r="M126" s="170">
        <f t="shared" si="75"/>
        <v>0</v>
      </c>
      <c r="N126" s="174">
        <f t="shared" si="76"/>
        <v>0</v>
      </c>
      <c r="O126" s="186">
        <f t="shared" si="77"/>
        <v>0</v>
      </c>
      <c r="P126" s="84"/>
      <c r="Q126" s="181"/>
      <c r="R126" s="165" t="e">
        <f t="shared" si="80"/>
        <v>#DIV/0!</v>
      </c>
      <c r="S126" s="166" t="e">
        <f t="shared" si="60"/>
        <v>#DIV/0!</v>
      </c>
    </row>
    <row r="127" spans="1:19" ht="15.75" x14ac:dyDescent="0.25">
      <c r="A127" s="87">
        <v>88</v>
      </c>
      <c r="B127" s="107" t="s">
        <v>96</v>
      </c>
      <c r="C127" s="26" t="s">
        <v>14</v>
      </c>
      <c r="D127" s="103">
        <v>2210.63</v>
      </c>
      <c r="E127" s="103">
        <v>18.079999999999998</v>
      </c>
      <c r="F127" s="103">
        <v>532.22</v>
      </c>
      <c r="G127" s="103">
        <v>117.09</v>
      </c>
      <c r="H127" s="11">
        <v>175.99</v>
      </c>
      <c r="I127" s="5">
        <f>E127+F127+G127+H127+D127</f>
        <v>3054.01</v>
      </c>
      <c r="J127" s="103">
        <v>11.41</v>
      </c>
      <c r="K127" s="5">
        <f t="shared" si="56"/>
        <v>3065.42</v>
      </c>
      <c r="L127" s="5">
        <f t="shared" si="74"/>
        <v>91.96</v>
      </c>
      <c r="M127" s="15">
        <f t="shared" si="75"/>
        <v>3157.38</v>
      </c>
      <c r="N127" s="15">
        <f t="shared" si="76"/>
        <v>631.48</v>
      </c>
      <c r="O127" s="100">
        <f t="shared" si="77"/>
        <v>3788.86</v>
      </c>
      <c r="P127" s="15">
        <f t="shared" ref="P127:P130" si="87">ROUND(O127/5/12,2)</f>
        <v>63.15</v>
      </c>
      <c r="Q127" s="101">
        <v>35</v>
      </c>
      <c r="R127" s="102">
        <f t="shared" si="80"/>
        <v>5.41</v>
      </c>
      <c r="S127" s="104">
        <f>ROUND(441.63/Q127,2)</f>
        <v>12.62</v>
      </c>
    </row>
    <row r="128" spans="1:19" ht="15.75" x14ac:dyDescent="0.25">
      <c r="A128" s="87">
        <v>89</v>
      </c>
      <c r="B128" s="107" t="s">
        <v>97</v>
      </c>
      <c r="C128" s="26" t="s">
        <v>12</v>
      </c>
      <c r="D128" s="103">
        <v>2427.87</v>
      </c>
      <c r="E128" s="103">
        <v>21</v>
      </c>
      <c r="F128" s="103">
        <v>580.29999999999995</v>
      </c>
      <c r="G128" s="103">
        <v>127.67</v>
      </c>
      <c r="H128" s="11">
        <v>195.01</v>
      </c>
      <c r="I128" s="5">
        <f>E128+F128+G128+H128+D128</f>
        <v>3351.85</v>
      </c>
      <c r="J128" s="103">
        <v>12.67</v>
      </c>
      <c r="K128" s="5">
        <f t="shared" si="56"/>
        <v>3364.52</v>
      </c>
      <c r="L128" s="5">
        <f t="shared" si="74"/>
        <v>100.94</v>
      </c>
      <c r="M128" s="15">
        <f t="shared" si="75"/>
        <v>3465.46</v>
      </c>
      <c r="N128" s="15">
        <f t="shared" si="76"/>
        <v>693.09</v>
      </c>
      <c r="O128" s="100">
        <f t="shared" si="77"/>
        <v>4158.55</v>
      </c>
      <c r="P128" s="15">
        <f t="shared" si="87"/>
        <v>69.31</v>
      </c>
      <c r="Q128" s="101">
        <f>130+5</f>
        <v>135</v>
      </c>
      <c r="R128" s="102">
        <f t="shared" si="80"/>
        <v>1.54</v>
      </c>
      <c r="S128" s="104">
        <f>ROUND(451.2/Q128,2)</f>
        <v>3.34</v>
      </c>
    </row>
    <row r="129" spans="1:19" ht="15.75" x14ac:dyDescent="0.25">
      <c r="A129" s="87">
        <v>90</v>
      </c>
      <c r="B129" s="107" t="s">
        <v>98</v>
      </c>
      <c r="C129" s="26" t="s">
        <v>49</v>
      </c>
      <c r="D129" s="103">
        <v>1962.25</v>
      </c>
      <c r="E129" s="103">
        <v>18.079999999999998</v>
      </c>
      <c r="F129" s="103">
        <v>532.22</v>
      </c>
      <c r="G129" s="103">
        <v>117.09</v>
      </c>
      <c r="H129" s="11">
        <v>175.99</v>
      </c>
      <c r="I129" s="5">
        <f>E129+F129+G129+H129+D129</f>
        <v>2805.63</v>
      </c>
      <c r="J129" s="103">
        <v>11.41</v>
      </c>
      <c r="K129" s="5">
        <f t="shared" si="56"/>
        <v>2817.04</v>
      </c>
      <c r="L129" s="5">
        <f t="shared" si="74"/>
        <v>84.51</v>
      </c>
      <c r="M129" s="15">
        <f t="shared" si="75"/>
        <v>2901.55</v>
      </c>
      <c r="N129" s="15">
        <f t="shared" si="76"/>
        <v>580.30999999999995</v>
      </c>
      <c r="O129" s="100">
        <f t="shared" si="77"/>
        <v>3481.86</v>
      </c>
      <c r="P129" s="15">
        <f t="shared" si="87"/>
        <v>58.03</v>
      </c>
      <c r="Q129" s="101">
        <v>72</v>
      </c>
      <c r="R129" s="102">
        <f t="shared" si="80"/>
        <v>2.42</v>
      </c>
      <c r="S129" s="104">
        <f>ROUND(441.63/Q129,2)</f>
        <v>6.13</v>
      </c>
    </row>
    <row r="130" spans="1:19" ht="15.75" x14ac:dyDescent="0.25">
      <c r="A130" s="87">
        <v>91</v>
      </c>
      <c r="B130" s="107" t="s">
        <v>99</v>
      </c>
      <c r="C130" s="26" t="s">
        <v>12</v>
      </c>
      <c r="D130" s="103">
        <v>2427.87</v>
      </c>
      <c r="E130" s="3">
        <v>21</v>
      </c>
      <c r="F130" s="3">
        <v>580.29999999999995</v>
      </c>
      <c r="G130" s="3">
        <v>127.67</v>
      </c>
      <c r="H130" s="11">
        <v>195.01</v>
      </c>
      <c r="I130" s="5">
        <f>E130+F130+G130+H130+D130</f>
        <v>3351.85</v>
      </c>
      <c r="J130" s="103">
        <v>12.67</v>
      </c>
      <c r="K130" s="5">
        <f t="shared" si="56"/>
        <v>3364.52</v>
      </c>
      <c r="L130" s="5">
        <f t="shared" si="74"/>
        <v>100.94</v>
      </c>
      <c r="M130" s="15">
        <f t="shared" si="75"/>
        <v>3465.46</v>
      </c>
      <c r="N130" s="15">
        <f t="shared" si="76"/>
        <v>693.09</v>
      </c>
      <c r="O130" s="100">
        <f t="shared" si="77"/>
        <v>4158.55</v>
      </c>
      <c r="P130" s="15">
        <f t="shared" si="87"/>
        <v>69.31</v>
      </c>
      <c r="Q130" s="101">
        <f>100+1</f>
        <v>101</v>
      </c>
      <c r="R130" s="102">
        <f t="shared" si="80"/>
        <v>2.06</v>
      </c>
      <c r="S130" s="104">
        <f>ROUND(451.2/Q130,2)</f>
        <v>4.47</v>
      </c>
    </row>
    <row r="131" spans="1:19" ht="15" customHeight="1" x14ac:dyDescent="0.25">
      <c r="A131" s="220">
        <v>92</v>
      </c>
      <c r="B131" s="215" t="s">
        <v>877</v>
      </c>
      <c r="C131" s="27" t="s">
        <v>100</v>
      </c>
      <c r="D131" s="175">
        <f>2210.63*2</f>
        <v>4421.26</v>
      </c>
      <c r="E131" s="195">
        <f>18.08*2</f>
        <v>36.159999999999997</v>
      </c>
      <c r="F131" s="195">
        <f>532.22*2</f>
        <v>1064.44</v>
      </c>
      <c r="G131" s="195">
        <f>117.09*2</f>
        <v>234.18</v>
      </c>
      <c r="H131" s="167">
        <f>175.99*2</f>
        <v>351.98</v>
      </c>
      <c r="I131" s="169">
        <f t="shared" ref="I131" si="88">E131+F131+G131+H131+D131</f>
        <v>6108.02</v>
      </c>
      <c r="J131" s="167">
        <f>11.41*2</f>
        <v>22.82</v>
      </c>
      <c r="K131" s="169">
        <f t="shared" si="56"/>
        <v>6130.84</v>
      </c>
      <c r="L131" s="169">
        <f t="shared" si="74"/>
        <v>183.93</v>
      </c>
      <c r="M131" s="173">
        <f t="shared" si="75"/>
        <v>6314.77</v>
      </c>
      <c r="N131" s="173">
        <f t="shared" si="76"/>
        <v>1262.95</v>
      </c>
      <c r="O131" s="185">
        <f t="shared" si="77"/>
        <v>7577.72</v>
      </c>
      <c r="P131" s="83">
        <f>ROUND(O131/5/12,2)</f>
        <v>126.3</v>
      </c>
      <c r="Q131" s="180">
        <f>60+56+3</f>
        <v>119</v>
      </c>
      <c r="R131" s="164">
        <f t="shared" si="80"/>
        <v>3.18</v>
      </c>
      <c r="S131" s="166">
        <f>ROUND(441.63*2/Q131,2)</f>
        <v>7.42</v>
      </c>
    </row>
    <row r="132" spans="1:19" ht="15" customHeight="1" x14ac:dyDescent="0.25">
      <c r="A132" s="221"/>
      <c r="B132" s="216"/>
      <c r="C132" s="25" t="s">
        <v>100</v>
      </c>
      <c r="D132" s="177"/>
      <c r="E132" s="197"/>
      <c r="F132" s="197"/>
      <c r="G132" s="197"/>
      <c r="H132" s="168">
        <f>ROUND((E132+F132+G132)*11.7%,2)</f>
        <v>0</v>
      </c>
      <c r="I132" s="170">
        <f t="shared" ref="I132" si="89">E132+F132+G132+H132</f>
        <v>0</v>
      </c>
      <c r="J132" s="168">
        <f t="shared" ref="J132" si="90">ROUND(I132*11.6%,2)</f>
        <v>0</v>
      </c>
      <c r="K132" s="170">
        <f t="shared" si="56"/>
        <v>0</v>
      </c>
      <c r="L132" s="170">
        <f t="shared" si="74"/>
        <v>0</v>
      </c>
      <c r="M132" s="174">
        <f t="shared" si="75"/>
        <v>0</v>
      </c>
      <c r="N132" s="174">
        <f t="shared" si="76"/>
        <v>0</v>
      </c>
      <c r="O132" s="186">
        <f t="shared" si="77"/>
        <v>0</v>
      </c>
      <c r="P132" s="84"/>
      <c r="Q132" s="181"/>
      <c r="R132" s="165" t="e">
        <f t="shared" si="80"/>
        <v>#DIV/0!</v>
      </c>
      <c r="S132" s="166" t="e">
        <f t="shared" si="60"/>
        <v>#DIV/0!</v>
      </c>
    </row>
    <row r="133" spans="1:19" ht="15.75" x14ac:dyDescent="0.25">
      <c r="A133" s="87">
        <v>93</v>
      </c>
      <c r="B133" s="107" t="s">
        <v>101</v>
      </c>
      <c r="C133" s="28" t="s">
        <v>16</v>
      </c>
      <c r="D133" s="103">
        <v>2210.63</v>
      </c>
      <c r="E133" s="103">
        <v>18.079999999999998</v>
      </c>
      <c r="F133" s="103">
        <v>532.22</v>
      </c>
      <c r="G133" s="103">
        <v>117.09</v>
      </c>
      <c r="H133" s="11">
        <v>175.99</v>
      </c>
      <c r="I133" s="5">
        <f t="shared" ref="I133:I141" si="91">E133+F133+G133+H133+D133</f>
        <v>3054.01</v>
      </c>
      <c r="J133" s="103">
        <v>11.41</v>
      </c>
      <c r="K133" s="5">
        <f t="shared" si="56"/>
        <v>3065.42</v>
      </c>
      <c r="L133" s="5">
        <f t="shared" si="74"/>
        <v>91.96</v>
      </c>
      <c r="M133" s="15">
        <f t="shared" si="75"/>
        <v>3157.38</v>
      </c>
      <c r="N133" s="15">
        <f t="shared" si="76"/>
        <v>631.48</v>
      </c>
      <c r="O133" s="100">
        <f t="shared" si="77"/>
        <v>3788.86</v>
      </c>
      <c r="P133" s="15">
        <f>ROUND(O133/5/12,2)</f>
        <v>63.15</v>
      </c>
      <c r="Q133" s="101">
        <v>73</v>
      </c>
      <c r="R133" s="102">
        <f t="shared" si="80"/>
        <v>2.6</v>
      </c>
      <c r="S133" s="104">
        <f t="shared" ref="S133:S144" si="92">ROUND(441.63/Q133,2)</f>
        <v>6.05</v>
      </c>
    </row>
    <row r="134" spans="1:19" ht="31.5" x14ac:dyDescent="0.25">
      <c r="A134" s="87">
        <v>94</v>
      </c>
      <c r="B134" s="108" t="s">
        <v>766</v>
      </c>
      <c r="C134" s="26" t="s">
        <v>14</v>
      </c>
      <c r="D134" s="103">
        <v>2210.63</v>
      </c>
      <c r="E134" s="103">
        <v>18.079999999999998</v>
      </c>
      <c r="F134" s="103">
        <v>532.22</v>
      </c>
      <c r="G134" s="103">
        <v>117.09</v>
      </c>
      <c r="H134" s="11">
        <v>175.99</v>
      </c>
      <c r="I134" s="5">
        <f t="shared" si="91"/>
        <v>3054.01</v>
      </c>
      <c r="J134" s="103">
        <v>11.41</v>
      </c>
      <c r="K134" s="5">
        <f t="shared" si="56"/>
        <v>3065.42</v>
      </c>
      <c r="L134" s="5">
        <f t="shared" si="74"/>
        <v>91.96</v>
      </c>
      <c r="M134" s="15">
        <f t="shared" si="75"/>
        <v>3157.38</v>
      </c>
      <c r="N134" s="15">
        <f t="shared" si="76"/>
        <v>631.48</v>
      </c>
      <c r="O134" s="100">
        <f t="shared" si="77"/>
        <v>3788.86</v>
      </c>
      <c r="P134" s="15">
        <f>ROUND(O134/5/12,2)</f>
        <v>63.15</v>
      </c>
      <c r="Q134" s="101">
        <f>33+2</f>
        <v>35</v>
      </c>
      <c r="R134" s="102">
        <f t="shared" si="80"/>
        <v>5.41</v>
      </c>
      <c r="S134" s="104">
        <f t="shared" si="92"/>
        <v>12.62</v>
      </c>
    </row>
    <row r="135" spans="1:19" ht="39.75" customHeight="1" x14ac:dyDescent="0.25">
      <c r="A135" s="87">
        <v>95</v>
      </c>
      <c r="B135" s="88" t="s">
        <v>767</v>
      </c>
      <c r="C135" s="29" t="s">
        <v>16</v>
      </c>
      <c r="D135" s="103">
        <v>2210.63</v>
      </c>
      <c r="E135" s="103">
        <v>18.079999999999998</v>
      </c>
      <c r="F135" s="103">
        <v>532.22</v>
      </c>
      <c r="G135" s="103">
        <v>117.09</v>
      </c>
      <c r="H135" s="11">
        <v>175.99</v>
      </c>
      <c r="I135" s="5">
        <f t="shared" si="91"/>
        <v>3054.01</v>
      </c>
      <c r="J135" s="103">
        <v>11.41</v>
      </c>
      <c r="K135" s="5">
        <f t="shared" si="56"/>
        <v>3065.42</v>
      </c>
      <c r="L135" s="5">
        <f t="shared" si="74"/>
        <v>91.96</v>
      </c>
      <c r="M135" s="15">
        <f t="shared" si="75"/>
        <v>3157.38</v>
      </c>
      <c r="N135" s="15">
        <f t="shared" si="76"/>
        <v>631.48</v>
      </c>
      <c r="O135" s="100">
        <f t="shared" si="77"/>
        <v>3788.86</v>
      </c>
      <c r="P135" s="15">
        <f>ROUND(O135/5/12,2)</f>
        <v>63.15</v>
      </c>
      <c r="Q135" s="101">
        <v>45</v>
      </c>
      <c r="R135" s="102">
        <f t="shared" si="80"/>
        <v>4.21</v>
      </c>
      <c r="S135" s="104">
        <f t="shared" si="92"/>
        <v>9.81</v>
      </c>
    </row>
    <row r="136" spans="1:19" ht="30.75" customHeight="1" x14ac:dyDescent="0.25">
      <c r="A136" s="87">
        <v>96</v>
      </c>
      <c r="B136" s="108" t="s">
        <v>768</v>
      </c>
      <c r="C136" s="26" t="s">
        <v>19</v>
      </c>
      <c r="D136" s="103">
        <v>1962.25</v>
      </c>
      <c r="E136" s="103">
        <v>18.079999999999998</v>
      </c>
      <c r="F136" s="103">
        <v>532.22</v>
      </c>
      <c r="G136" s="103">
        <v>117.09</v>
      </c>
      <c r="H136" s="11">
        <v>175.99</v>
      </c>
      <c r="I136" s="5">
        <f t="shared" si="91"/>
        <v>2805.63</v>
      </c>
      <c r="J136" s="103">
        <v>11.41</v>
      </c>
      <c r="K136" s="5">
        <f t="shared" si="56"/>
        <v>2817.04</v>
      </c>
      <c r="L136" s="5">
        <f t="shared" si="74"/>
        <v>84.51</v>
      </c>
      <c r="M136" s="15">
        <f t="shared" si="75"/>
        <v>2901.55</v>
      </c>
      <c r="N136" s="15">
        <f t="shared" si="76"/>
        <v>580.30999999999995</v>
      </c>
      <c r="O136" s="100">
        <f t="shared" si="77"/>
        <v>3481.86</v>
      </c>
      <c r="P136" s="15">
        <f>ROUND(O136/5/12,2)</f>
        <v>58.03</v>
      </c>
      <c r="Q136" s="101">
        <v>50</v>
      </c>
      <c r="R136" s="102">
        <f t="shared" si="80"/>
        <v>3.48</v>
      </c>
      <c r="S136" s="104">
        <f t="shared" si="92"/>
        <v>8.83</v>
      </c>
    </row>
    <row r="137" spans="1:19" ht="32.25" customHeight="1" thickBot="1" x14ac:dyDescent="0.3">
      <c r="A137" s="23">
        <v>97</v>
      </c>
      <c r="B137" s="131" t="s">
        <v>882</v>
      </c>
      <c r="C137" s="132" t="s">
        <v>16</v>
      </c>
      <c r="D137" s="57">
        <v>2210.63</v>
      </c>
      <c r="E137" s="57">
        <v>18.079999999999998</v>
      </c>
      <c r="F137" s="57">
        <v>532.22</v>
      </c>
      <c r="G137" s="57">
        <v>117.09</v>
      </c>
      <c r="H137" s="58">
        <v>175.99</v>
      </c>
      <c r="I137" s="59">
        <f t="shared" si="91"/>
        <v>3054.01</v>
      </c>
      <c r="J137" s="57">
        <v>11.41</v>
      </c>
      <c r="K137" s="59">
        <f t="shared" si="56"/>
        <v>3065.42</v>
      </c>
      <c r="L137" s="59">
        <f t="shared" si="74"/>
        <v>91.96</v>
      </c>
      <c r="M137" s="60">
        <f t="shared" si="75"/>
        <v>3157.38</v>
      </c>
      <c r="N137" s="60">
        <f t="shared" si="76"/>
        <v>631.48</v>
      </c>
      <c r="O137" s="61">
        <f t="shared" si="77"/>
        <v>3788.86</v>
      </c>
      <c r="P137" s="60">
        <f>ROUND(O137/5/12,2)</f>
        <v>63.15</v>
      </c>
      <c r="Q137" s="113">
        <v>50</v>
      </c>
      <c r="R137" s="53">
        <f t="shared" si="80"/>
        <v>3.79</v>
      </c>
      <c r="S137" s="127">
        <f t="shared" si="92"/>
        <v>8.83</v>
      </c>
    </row>
    <row r="138" spans="1:19" ht="33.75" customHeight="1" x14ac:dyDescent="0.25">
      <c r="A138" s="115">
        <v>98</v>
      </c>
      <c r="B138" s="133" t="s">
        <v>769</v>
      </c>
      <c r="C138" s="117" t="s">
        <v>14</v>
      </c>
      <c r="D138" s="118">
        <v>2210.63</v>
      </c>
      <c r="E138" s="118">
        <v>18.079999999999998</v>
      </c>
      <c r="F138" s="118">
        <v>532.22</v>
      </c>
      <c r="G138" s="118">
        <v>117.09</v>
      </c>
      <c r="H138" s="119">
        <v>175.99</v>
      </c>
      <c r="I138" s="120">
        <f t="shared" si="91"/>
        <v>3054.01</v>
      </c>
      <c r="J138" s="118">
        <v>11.41</v>
      </c>
      <c r="K138" s="120">
        <f t="shared" ref="K138:K201" si="93">I138+J138</f>
        <v>3065.42</v>
      </c>
      <c r="L138" s="120">
        <f t="shared" si="74"/>
        <v>91.96</v>
      </c>
      <c r="M138" s="121">
        <f t="shared" si="75"/>
        <v>3157.38</v>
      </c>
      <c r="N138" s="121">
        <f t="shared" si="76"/>
        <v>631.48</v>
      </c>
      <c r="O138" s="122">
        <f t="shared" si="77"/>
        <v>3788.86</v>
      </c>
      <c r="P138" s="121">
        <f t="shared" ref="P138:P150" si="94">ROUND(O138/5/12,2)</f>
        <v>63.15</v>
      </c>
      <c r="Q138" s="129">
        <v>75</v>
      </c>
      <c r="R138" s="124">
        <f t="shared" si="80"/>
        <v>2.5299999999999998</v>
      </c>
      <c r="S138" s="130">
        <f t="shared" si="92"/>
        <v>5.89</v>
      </c>
    </row>
    <row r="139" spans="1:19" ht="31.5" x14ac:dyDescent="0.25">
      <c r="A139" s="87">
        <v>99</v>
      </c>
      <c r="B139" s="108" t="s">
        <v>770</v>
      </c>
      <c r="C139" s="29" t="s">
        <v>16</v>
      </c>
      <c r="D139" s="103">
        <v>2210.63</v>
      </c>
      <c r="E139" s="103">
        <v>18.079999999999998</v>
      </c>
      <c r="F139" s="103">
        <v>532.22</v>
      </c>
      <c r="G139" s="103">
        <v>117.09</v>
      </c>
      <c r="H139" s="11">
        <v>175.99</v>
      </c>
      <c r="I139" s="5">
        <f t="shared" si="91"/>
        <v>3054.01</v>
      </c>
      <c r="J139" s="103">
        <v>11.41</v>
      </c>
      <c r="K139" s="5">
        <f t="shared" si="93"/>
        <v>3065.42</v>
      </c>
      <c r="L139" s="5">
        <f t="shared" si="74"/>
        <v>91.96</v>
      </c>
      <c r="M139" s="15">
        <f t="shared" si="75"/>
        <v>3157.38</v>
      </c>
      <c r="N139" s="15">
        <f t="shared" si="76"/>
        <v>631.48</v>
      </c>
      <c r="O139" s="100">
        <f t="shared" si="77"/>
        <v>3788.86</v>
      </c>
      <c r="P139" s="15">
        <f t="shared" si="94"/>
        <v>63.15</v>
      </c>
      <c r="Q139" s="101">
        <v>72</v>
      </c>
      <c r="R139" s="102">
        <f t="shared" si="80"/>
        <v>2.63</v>
      </c>
      <c r="S139" s="104">
        <f t="shared" si="92"/>
        <v>6.13</v>
      </c>
    </row>
    <row r="140" spans="1:19" ht="31.5" x14ac:dyDescent="0.25">
      <c r="A140" s="87">
        <v>100</v>
      </c>
      <c r="B140" s="108" t="s">
        <v>771</v>
      </c>
      <c r="C140" s="27" t="s">
        <v>59</v>
      </c>
      <c r="D140" s="103">
        <v>2210.63</v>
      </c>
      <c r="E140" s="103">
        <v>18.079999999999998</v>
      </c>
      <c r="F140" s="103">
        <v>532.22</v>
      </c>
      <c r="G140" s="103">
        <v>117.09</v>
      </c>
      <c r="H140" s="11">
        <v>175.99</v>
      </c>
      <c r="I140" s="5">
        <f t="shared" si="91"/>
        <v>3054.01</v>
      </c>
      <c r="J140" s="103">
        <v>11.41</v>
      </c>
      <c r="K140" s="5">
        <f t="shared" si="93"/>
        <v>3065.42</v>
      </c>
      <c r="L140" s="5">
        <f t="shared" si="74"/>
        <v>91.96</v>
      </c>
      <c r="M140" s="15">
        <f t="shared" si="75"/>
        <v>3157.38</v>
      </c>
      <c r="N140" s="15">
        <f t="shared" si="76"/>
        <v>631.48</v>
      </c>
      <c r="O140" s="100">
        <f t="shared" si="77"/>
        <v>3788.86</v>
      </c>
      <c r="P140" s="15">
        <f t="shared" si="94"/>
        <v>63.15</v>
      </c>
      <c r="Q140" s="101">
        <f>37+2</f>
        <v>39</v>
      </c>
      <c r="R140" s="102">
        <f t="shared" si="80"/>
        <v>4.8600000000000003</v>
      </c>
      <c r="S140" s="104">
        <f t="shared" si="92"/>
        <v>11.32</v>
      </c>
    </row>
    <row r="141" spans="1:19" ht="31.5" x14ac:dyDescent="0.25">
      <c r="A141" s="87">
        <v>101</v>
      </c>
      <c r="B141" s="108" t="s">
        <v>772</v>
      </c>
      <c r="C141" s="26" t="s">
        <v>14</v>
      </c>
      <c r="D141" s="103">
        <v>2210.63</v>
      </c>
      <c r="E141" s="103">
        <v>18.079999999999998</v>
      </c>
      <c r="F141" s="103">
        <v>532.22</v>
      </c>
      <c r="G141" s="103">
        <v>117.09</v>
      </c>
      <c r="H141" s="11">
        <v>175.99</v>
      </c>
      <c r="I141" s="5">
        <f t="shared" si="91"/>
        <v>3054.01</v>
      </c>
      <c r="J141" s="103">
        <v>11.41</v>
      </c>
      <c r="K141" s="5">
        <f t="shared" si="93"/>
        <v>3065.42</v>
      </c>
      <c r="L141" s="5">
        <f t="shared" si="74"/>
        <v>91.96</v>
      </c>
      <c r="M141" s="15">
        <f t="shared" si="75"/>
        <v>3157.38</v>
      </c>
      <c r="N141" s="15">
        <f t="shared" si="76"/>
        <v>631.48</v>
      </c>
      <c r="O141" s="100">
        <f t="shared" si="77"/>
        <v>3788.86</v>
      </c>
      <c r="P141" s="15">
        <f t="shared" si="94"/>
        <v>63.15</v>
      </c>
      <c r="Q141" s="101">
        <f>73+2</f>
        <v>75</v>
      </c>
      <c r="R141" s="102">
        <f t="shared" si="80"/>
        <v>2.5299999999999998</v>
      </c>
      <c r="S141" s="104">
        <f t="shared" si="92"/>
        <v>5.89</v>
      </c>
    </row>
    <row r="142" spans="1:19" ht="31.5" x14ac:dyDescent="0.25">
      <c r="A142" s="87">
        <v>102</v>
      </c>
      <c r="B142" s="108" t="s">
        <v>773</v>
      </c>
      <c r="C142" s="26" t="s">
        <v>18</v>
      </c>
      <c r="D142" s="103">
        <v>1475.88</v>
      </c>
      <c r="E142" s="103">
        <v>18.079999999999998</v>
      </c>
      <c r="F142" s="103">
        <v>532.22</v>
      </c>
      <c r="G142" s="103">
        <v>117.09</v>
      </c>
      <c r="H142" s="11">
        <v>175.99</v>
      </c>
      <c r="I142" s="5">
        <f t="shared" ref="I142" si="95">E142+F142+G142+H142+D142</f>
        <v>2319.2600000000002</v>
      </c>
      <c r="J142" s="103">
        <v>11.41</v>
      </c>
      <c r="K142" s="5">
        <f t="shared" si="93"/>
        <v>2330.67</v>
      </c>
      <c r="L142" s="5">
        <f t="shared" si="74"/>
        <v>69.92</v>
      </c>
      <c r="M142" s="15">
        <f t="shared" si="75"/>
        <v>2400.59</v>
      </c>
      <c r="N142" s="15">
        <f t="shared" si="76"/>
        <v>480.12</v>
      </c>
      <c r="O142" s="100">
        <f t="shared" si="77"/>
        <v>2880.71</v>
      </c>
      <c r="P142" s="15">
        <f t="shared" si="94"/>
        <v>48.01</v>
      </c>
      <c r="Q142" s="101">
        <f>14+2</f>
        <v>16</v>
      </c>
      <c r="R142" s="102">
        <f t="shared" si="80"/>
        <v>9</v>
      </c>
      <c r="S142" s="104">
        <f t="shared" si="92"/>
        <v>27.6</v>
      </c>
    </row>
    <row r="143" spans="1:19" ht="31.5" x14ac:dyDescent="0.25">
      <c r="A143" s="87">
        <v>103</v>
      </c>
      <c r="B143" s="108" t="s">
        <v>774</v>
      </c>
      <c r="C143" s="28" t="s">
        <v>16</v>
      </c>
      <c r="D143" s="103">
        <v>2210.63</v>
      </c>
      <c r="E143" s="103">
        <v>18.079999999999998</v>
      </c>
      <c r="F143" s="103">
        <v>532.22</v>
      </c>
      <c r="G143" s="103">
        <v>117.09</v>
      </c>
      <c r="H143" s="11">
        <v>175.99</v>
      </c>
      <c r="I143" s="5">
        <f t="shared" ref="I143:I149" si="96">E143+F143+G143+H143+D143</f>
        <v>3054.01</v>
      </c>
      <c r="J143" s="103">
        <v>11.41</v>
      </c>
      <c r="K143" s="5">
        <f t="shared" si="93"/>
        <v>3065.42</v>
      </c>
      <c r="L143" s="5">
        <f t="shared" si="74"/>
        <v>91.96</v>
      </c>
      <c r="M143" s="15">
        <f t="shared" si="75"/>
        <v>3157.38</v>
      </c>
      <c r="N143" s="15">
        <f t="shared" si="76"/>
        <v>631.48</v>
      </c>
      <c r="O143" s="100">
        <f t="shared" si="77"/>
        <v>3788.86</v>
      </c>
      <c r="P143" s="15">
        <f t="shared" si="94"/>
        <v>63.15</v>
      </c>
      <c r="Q143" s="101">
        <v>80</v>
      </c>
      <c r="R143" s="102">
        <f t="shared" si="80"/>
        <v>2.37</v>
      </c>
      <c r="S143" s="104">
        <f t="shared" si="92"/>
        <v>5.52</v>
      </c>
    </row>
    <row r="144" spans="1:19" ht="31.5" x14ac:dyDescent="0.25">
      <c r="A144" s="87">
        <v>104</v>
      </c>
      <c r="B144" s="88" t="s">
        <v>775</v>
      </c>
      <c r="C144" s="26" t="s">
        <v>49</v>
      </c>
      <c r="D144" s="103">
        <v>1962.25</v>
      </c>
      <c r="E144" s="103">
        <v>18.079999999999998</v>
      </c>
      <c r="F144" s="103">
        <v>532.22</v>
      </c>
      <c r="G144" s="103">
        <v>117.09</v>
      </c>
      <c r="H144" s="11">
        <v>175.99</v>
      </c>
      <c r="I144" s="5">
        <f t="shared" si="96"/>
        <v>2805.63</v>
      </c>
      <c r="J144" s="103">
        <v>11.41</v>
      </c>
      <c r="K144" s="5">
        <f t="shared" si="93"/>
        <v>2817.04</v>
      </c>
      <c r="L144" s="5">
        <f t="shared" si="74"/>
        <v>84.51</v>
      </c>
      <c r="M144" s="15">
        <f t="shared" si="75"/>
        <v>2901.55</v>
      </c>
      <c r="N144" s="15">
        <f t="shared" si="76"/>
        <v>580.30999999999995</v>
      </c>
      <c r="O144" s="100">
        <f t="shared" si="77"/>
        <v>3481.86</v>
      </c>
      <c r="P144" s="15">
        <f t="shared" si="94"/>
        <v>58.03</v>
      </c>
      <c r="Q144" s="101">
        <v>54</v>
      </c>
      <c r="R144" s="102">
        <f t="shared" si="80"/>
        <v>3.22</v>
      </c>
      <c r="S144" s="104">
        <f t="shared" si="92"/>
        <v>8.18</v>
      </c>
    </row>
    <row r="145" spans="1:19" ht="31.5" x14ac:dyDescent="0.25">
      <c r="A145" s="87">
        <v>105</v>
      </c>
      <c r="B145" s="108" t="s">
        <v>776</v>
      </c>
      <c r="C145" s="26" t="s">
        <v>60</v>
      </c>
      <c r="D145" s="103">
        <v>2427.87</v>
      </c>
      <c r="E145" s="103">
        <v>21</v>
      </c>
      <c r="F145" s="103">
        <v>580.29999999999995</v>
      </c>
      <c r="G145" s="103">
        <v>127.67</v>
      </c>
      <c r="H145" s="11">
        <v>195.01</v>
      </c>
      <c r="I145" s="5">
        <f t="shared" si="96"/>
        <v>3351.85</v>
      </c>
      <c r="J145" s="103">
        <v>12.67</v>
      </c>
      <c r="K145" s="5">
        <f t="shared" si="93"/>
        <v>3364.52</v>
      </c>
      <c r="L145" s="5">
        <f t="shared" si="74"/>
        <v>100.94</v>
      </c>
      <c r="M145" s="15">
        <f t="shared" si="75"/>
        <v>3465.46</v>
      </c>
      <c r="N145" s="15">
        <f t="shared" si="76"/>
        <v>693.09</v>
      </c>
      <c r="O145" s="100">
        <f t="shared" si="77"/>
        <v>4158.55</v>
      </c>
      <c r="P145" s="15">
        <f t="shared" si="94"/>
        <v>69.31</v>
      </c>
      <c r="Q145" s="101">
        <v>91</v>
      </c>
      <c r="R145" s="102">
        <f t="shared" si="80"/>
        <v>2.2799999999999998</v>
      </c>
      <c r="S145" s="104">
        <f>ROUND(451.2/Q145,2)</f>
        <v>4.96</v>
      </c>
    </row>
    <row r="146" spans="1:19" ht="31.5" x14ac:dyDescent="0.25">
      <c r="A146" s="87">
        <v>106</v>
      </c>
      <c r="B146" s="108" t="s">
        <v>872</v>
      </c>
      <c r="C146" s="26" t="s">
        <v>19</v>
      </c>
      <c r="D146" s="103">
        <v>1962.25</v>
      </c>
      <c r="E146" s="103">
        <v>18.079999999999998</v>
      </c>
      <c r="F146" s="103">
        <v>532.22</v>
      </c>
      <c r="G146" s="103">
        <v>117.09</v>
      </c>
      <c r="H146" s="11">
        <v>175.99</v>
      </c>
      <c r="I146" s="5">
        <f t="shared" si="96"/>
        <v>2805.63</v>
      </c>
      <c r="J146" s="103">
        <v>11.41</v>
      </c>
      <c r="K146" s="5">
        <f t="shared" si="93"/>
        <v>2817.04</v>
      </c>
      <c r="L146" s="5">
        <f t="shared" si="74"/>
        <v>84.51</v>
      </c>
      <c r="M146" s="15">
        <f t="shared" si="75"/>
        <v>2901.55</v>
      </c>
      <c r="N146" s="15">
        <f t="shared" si="76"/>
        <v>580.30999999999995</v>
      </c>
      <c r="O146" s="100">
        <f t="shared" si="77"/>
        <v>3481.86</v>
      </c>
      <c r="P146" s="15">
        <f t="shared" si="94"/>
        <v>58.03</v>
      </c>
      <c r="Q146" s="101">
        <v>75</v>
      </c>
      <c r="R146" s="102">
        <f t="shared" si="80"/>
        <v>2.3199999999999998</v>
      </c>
      <c r="S146" s="104">
        <f>ROUND(441.63/Q146,2)</f>
        <v>5.89</v>
      </c>
    </row>
    <row r="147" spans="1:19" ht="31.5" x14ac:dyDescent="0.25">
      <c r="A147" s="87">
        <v>107</v>
      </c>
      <c r="B147" s="108" t="s">
        <v>777</v>
      </c>
      <c r="C147" s="29" t="s">
        <v>16</v>
      </c>
      <c r="D147" s="103">
        <v>2210.63</v>
      </c>
      <c r="E147" s="103">
        <v>18.079999999999998</v>
      </c>
      <c r="F147" s="103">
        <v>532.22</v>
      </c>
      <c r="G147" s="103">
        <v>117.09</v>
      </c>
      <c r="H147" s="11">
        <v>175.99</v>
      </c>
      <c r="I147" s="5">
        <f t="shared" si="96"/>
        <v>3054.01</v>
      </c>
      <c r="J147" s="103">
        <v>11.41</v>
      </c>
      <c r="K147" s="5">
        <f t="shared" si="93"/>
        <v>3065.42</v>
      </c>
      <c r="L147" s="5">
        <f t="shared" si="74"/>
        <v>91.96</v>
      </c>
      <c r="M147" s="15">
        <f t="shared" si="75"/>
        <v>3157.38</v>
      </c>
      <c r="N147" s="15">
        <f t="shared" si="76"/>
        <v>631.48</v>
      </c>
      <c r="O147" s="100">
        <f t="shared" si="77"/>
        <v>3788.86</v>
      </c>
      <c r="P147" s="15">
        <f t="shared" si="94"/>
        <v>63.15</v>
      </c>
      <c r="Q147" s="101">
        <f>99+1</f>
        <v>100</v>
      </c>
      <c r="R147" s="102">
        <f t="shared" si="80"/>
        <v>1.89</v>
      </c>
      <c r="S147" s="104">
        <f t="shared" ref="S147:S148" si="97">ROUND(441.63/Q147,2)</f>
        <v>4.42</v>
      </c>
    </row>
    <row r="148" spans="1:19" ht="31.5" x14ac:dyDescent="0.25">
      <c r="A148" s="87">
        <v>108</v>
      </c>
      <c r="B148" s="108" t="s">
        <v>778</v>
      </c>
      <c r="C148" s="26" t="s">
        <v>49</v>
      </c>
      <c r="D148" s="103">
        <v>1962.25</v>
      </c>
      <c r="E148" s="103">
        <v>18.079999999999998</v>
      </c>
      <c r="F148" s="103">
        <v>532.22</v>
      </c>
      <c r="G148" s="103">
        <v>117.09</v>
      </c>
      <c r="H148" s="11">
        <v>175.99</v>
      </c>
      <c r="I148" s="5">
        <f t="shared" si="96"/>
        <v>2805.63</v>
      </c>
      <c r="J148" s="103">
        <v>11.41</v>
      </c>
      <c r="K148" s="5">
        <f t="shared" si="93"/>
        <v>2817.04</v>
      </c>
      <c r="L148" s="5">
        <f t="shared" si="74"/>
        <v>84.51</v>
      </c>
      <c r="M148" s="15">
        <f t="shared" si="75"/>
        <v>2901.55</v>
      </c>
      <c r="N148" s="15">
        <f t="shared" si="76"/>
        <v>580.30999999999995</v>
      </c>
      <c r="O148" s="100">
        <f t="shared" si="77"/>
        <v>3481.86</v>
      </c>
      <c r="P148" s="15">
        <f t="shared" si="94"/>
        <v>58.03</v>
      </c>
      <c r="Q148" s="101">
        <f>69+1</f>
        <v>70</v>
      </c>
      <c r="R148" s="102">
        <f t="shared" si="80"/>
        <v>2.4900000000000002</v>
      </c>
      <c r="S148" s="104">
        <f t="shared" si="97"/>
        <v>6.31</v>
      </c>
    </row>
    <row r="149" spans="1:19" ht="31.5" x14ac:dyDescent="0.25">
      <c r="A149" s="87">
        <v>109</v>
      </c>
      <c r="B149" s="108" t="s">
        <v>779</v>
      </c>
      <c r="C149" s="26" t="s">
        <v>19</v>
      </c>
      <c r="D149" s="103">
        <v>1962.25</v>
      </c>
      <c r="E149" s="103">
        <v>18.079999999999998</v>
      </c>
      <c r="F149" s="103">
        <v>532.22</v>
      </c>
      <c r="G149" s="103">
        <v>117.09</v>
      </c>
      <c r="H149" s="11">
        <v>175.99</v>
      </c>
      <c r="I149" s="5">
        <f t="shared" si="96"/>
        <v>2805.63</v>
      </c>
      <c r="J149" s="103">
        <v>11.41</v>
      </c>
      <c r="K149" s="5">
        <f t="shared" si="93"/>
        <v>2817.04</v>
      </c>
      <c r="L149" s="5">
        <f t="shared" si="74"/>
        <v>84.51</v>
      </c>
      <c r="M149" s="15">
        <f t="shared" si="75"/>
        <v>2901.55</v>
      </c>
      <c r="N149" s="15">
        <f t="shared" si="76"/>
        <v>580.30999999999995</v>
      </c>
      <c r="O149" s="100">
        <f t="shared" si="77"/>
        <v>3481.86</v>
      </c>
      <c r="P149" s="15">
        <f t="shared" si="94"/>
        <v>58.03</v>
      </c>
      <c r="Q149" s="101">
        <f>69+1</f>
        <v>70</v>
      </c>
      <c r="R149" s="102">
        <f t="shared" si="80"/>
        <v>2.4900000000000002</v>
      </c>
      <c r="S149" s="104">
        <f>ROUND(441.63/Q149,2)</f>
        <v>6.31</v>
      </c>
    </row>
    <row r="150" spans="1:19" ht="15.75" x14ac:dyDescent="0.25">
      <c r="A150" s="87">
        <v>110</v>
      </c>
      <c r="B150" s="107" t="s">
        <v>102</v>
      </c>
      <c r="C150" s="27" t="s">
        <v>18</v>
      </c>
      <c r="D150" s="103">
        <v>1475.88</v>
      </c>
      <c r="E150" s="103">
        <v>18.079999999999998</v>
      </c>
      <c r="F150" s="103">
        <v>532.22</v>
      </c>
      <c r="G150" s="103">
        <v>117.09</v>
      </c>
      <c r="H150" s="11">
        <v>175.99</v>
      </c>
      <c r="I150" s="5">
        <f t="shared" ref="I150" si="98">E150+F150+G150+H150+D150</f>
        <v>2319.2600000000002</v>
      </c>
      <c r="J150" s="103">
        <v>11.41</v>
      </c>
      <c r="K150" s="5">
        <f t="shared" si="93"/>
        <v>2330.67</v>
      </c>
      <c r="L150" s="5">
        <f t="shared" si="74"/>
        <v>69.92</v>
      </c>
      <c r="M150" s="15">
        <f t="shared" si="75"/>
        <v>2400.59</v>
      </c>
      <c r="N150" s="15">
        <f t="shared" si="76"/>
        <v>480.12</v>
      </c>
      <c r="O150" s="100">
        <f t="shared" si="77"/>
        <v>2880.71</v>
      </c>
      <c r="P150" s="15">
        <f t="shared" si="94"/>
        <v>48.01</v>
      </c>
      <c r="Q150" s="101">
        <v>15</v>
      </c>
      <c r="R150" s="102">
        <f t="shared" si="80"/>
        <v>9.6</v>
      </c>
      <c r="S150" s="104">
        <f t="shared" ref="S150:S160" si="99">ROUND(441.63/Q150,2)</f>
        <v>29.44</v>
      </c>
    </row>
    <row r="151" spans="1:19" ht="31.5" x14ac:dyDescent="0.25">
      <c r="A151" s="87">
        <v>111</v>
      </c>
      <c r="B151" s="108" t="s">
        <v>823</v>
      </c>
      <c r="C151" s="27" t="s">
        <v>59</v>
      </c>
      <c r="D151" s="103">
        <v>2210.63</v>
      </c>
      <c r="E151" s="103">
        <v>18.079999999999998</v>
      </c>
      <c r="F151" s="103">
        <v>532.22</v>
      </c>
      <c r="G151" s="103">
        <v>117.09</v>
      </c>
      <c r="H151" s="11">
        <v>175.99</v>
      </c>
      <c r="I151" s="5">
        <f>E151+F151+G151+H151+D151</f>
        <v>3054.01</v>
      </c>
      <c r="J151" s="103">
        <v>11.41</v>
      </c>
      <c r="K151" s="5">
        <f t="shared" si="93"/>
        <v>3065.42</v>
      </c>
      <c r="L151" s="5">
        <f t="shared" si="74"/>
        <v>91.96</v>
      </c>
      <c r="M151" s="15">
        <f t="shared" si="75"/>
        <v>3157.38</v>
      </c>
      <c r="N151" s="15">
        <f t="shared" si="76"/>
        <v>631.48</v>
      </c>
      <c r="O151" s="100">
        <f t="shared" si="77"/>
        <v>3788.86</v>
      </c>
      <c r="P151" s="15">
        <f>ROUND(O151/5/12,2)</f>
        <v>63.15</v>
      </c>
      <c r="Q151" s="101">
        <f>34+8</f>
        <v>42</v>
      </c>
      <c r="R151" s="102">
        <f t="shared" si="80"/>
        <v>4.51</v>
      </c>
      <c r="S151" s="104">
        <f t="shared" si="99"/>
        <v>10.52</v>
      </c>
    </row>
    <row r="152" spans="1:19" ht="15.75" x14ac:dyDescent="0.25">
      <c r="A152" s="87">
        <v>112</v>
      </c>
      <c r="B152" s="108" t="s">
        <v>104</v>
      </c>
      <c r="C152" s="27" t="s">
        <v>18</v>
      </c>
      <c r="D152" s="103">
        <v>1475.88</v>
      </c>
      <c r="E152" s="103">
        <v>18.079999999999998</v>
      </c>
      <c r="F152" s="103">
        <v>532.22</v>
      </c>
      <c r="G152" s="103">
        <v>117.09</v>
      </c>
      <c r="H152" s="11">
        <v>175.99</v>
      </c>
      <c r="I152" s="5">
        <f t="shared" ref="I152:I154" si="100">E152+F152+G152+H152+D152</f>
        <v>2319.2600000000002</v>
      </c>
      <c r="J152" s="103">
        <v>11.41</v>
      </c>
      <c r="K152" s="5">
        <f t="shared" si="93"/>
        <v>2330.67</v>
      </c>
      <c r="L152" s="5">
        <f t="shared" si="74"/>
        <v>69.92</v>
      </c>
      <c r="M152" s="15">
        <f t="shared" si="75"/>
        <v>2400.59</v>
      </c>
      <c r="N152" s="15">
        <f t="shared" si="76"/>
        <v>480.12</v>
      </c>
      <c r="O152" s="100">
        <f t="shared" si="77"/>
        <v>2880.71</v>
      </c>
      <c r="P152" s="15">
        <f t="shared" ref="P152:P167" si="101">ROUND(O152/5/12,2)</f>
        <v>48.01</v>
      </c>
      <c r="Q152" s="101">
        <f>13+2</f>
        <v>15</v>
      </c>
      <c r="R152" s="102">
        <f t="shared" si="80"/>
        <v>9.6</v>
      </c>
      <c r="S152" s="104">
        <f t="shared" si="99"/>
        <v>29.44</v>
      </c>
    </row>
    <row r="153" spans="1:19" ht="15.75" x14ac:dyDescent="0.25">
      <c r="A153" s="87">
        <v>113</v>
      </c>
      <c r="B153" s="107" t="s">
        <v>103</v>
      </c>
      <c r="C153" s="27" t="s">
        <v>18</v>
      </c>
      <c r="D153" s="103">
        <v>1475.88</v>
      </c>
      <c r="E153" s="103">
        <v>18.079999999999998</v>
      </c>
      <c r="F153" s="103">
        <v>532.22</v>
      </c>
      <c r="G153" s="103">
        <v>117.09</v>
      </c>
      <c r="H153" s="11">
        <v>175.99</v>
      </c>
      <c r="I153" s="5">
        <f t="shared" si="100"/>
        <v>2319.2600000000002</v>
      </c>
      <c r="J153" s="103">
        <v>11.41</v>
      </c>
      <c r="K153" s="5">
        <f t="shared" si="93"/>
        <v>2330.67</v>
      </c>
      <c r="L153" s="5">
        <f t="shared" si="74"/>
        <v>69.92</v>
      </c>
      <c r="M153" s="15">
        <f t="shared" si="75"/>
        <v>2400.59</v>
      </c>
      <c r="N153" s="15">
        <f t="shared" si="76"/>
        <v>480.12</v>
      </c>
      <c r="O153" s="100">
        <f t="shared" si="77"/>
        <v>2880.71</v>
      </c>
      <c r="P153" s="15">
        <f t="shared" si="101"/>
        <v>48.01</v>
      </c>
      <c r="Q153" s="101">
        <f>10+2</f>
        <v>12</v>
      </c>
      <c r="R153" s="102">
        <f t="shared" si="80"/>
        <v>12</v>
      </c>
      <c r="S153" s="104">
        <f t="shared" si="99"/>
        <v>36.799999999999997</v>
      </c>
    </row>
    <row r="154" spans="1:19" ht="15.75" x14ac:dyDescent="0.25">
      <c r="A154" s="87">
        <v>114</v>
      </c>
      <c r="B154" s="107" t="s">
        <v>105</v>
      </c>
      <c r="C154" s="27" t="s">
        <v>18</v>
      </c>
      <c r="D154" s="103">
        <v>1475.88</v>
      </c>
      <c r="E154" s="103">
        <v>18.079999999999998</v>
      </c>
      <c r="F154" s="103">
        <v>532.22</v>
      </c>
      <c r="G154" s="103">
        <v>117.09</v>
      </c>
      <c r="H154" s="11">
        <v>175.99</v>
      </c>
      <c r="I154" s="5">
        <f t="shared" si="100"/>
        <v>2319.2600000000002</v>
      </c>
      <c r="J154" s="103">
        <v>11.41</v>
      </c>
      <c r="K154" s="5">
        <f t="shared" si="93"/>
        <v>2330.67</v>
      </c>
      <c r="L154" s="5">
        <f t="shared" si="74"/>
        <v>69.92</v>
      </c>
      <c r="M154" s="15">
        <f t="shared" si="75"/>
        <v>2400.59</v>
      </c>
      <c r="N154" s="15">
        <f t="shared" si="76"/>
        <v>480.12</v>
      </c>
      <c r="O154" s="100">
        <f t="shared" si="77"/>
        <v>2880.71</v>
      </c>
      <c r="P154" s="15">
        <f t="shared" si="101"/>
        <v>48.01</v>
      </c>
      <c r="Q154" s="101">
        <v>10</v>
      </c>
      <c r="R154" s="102">
        <f t="shared" si="80"/>
        <v>14.4</v>
      </c>
      <c r="S154" s="104">
        <f t="shared" si="99"/>
        <v>44.16</v>
      </c>
    </row>
    <row r="155" spans="1:19" ht="15.75" x14ac:dyDescent="0.25">
      <c r="A155" s="87">
        <v>115</v>
      </c>
      <c r="B155" s="107" t="s">
        <v>106</v>
      </c>
      <c r="C155" s="27" t="s">
        <v>24</v>
      </c>
      <c r="D155" s="103">
        <v>1962.25</v>
      </c>
      <c r="E155" s="103">
        <v>18.079999999999998</v>
      </c>
      <c r="F155" s="103">
        <v>532.22</v>
      </c>
      <c r="G155" s="103">
        <v>117.09</v>
      </c>
      <c r="H155" s="11">
        <v>175.99</v>
      </c>
      <c r="I155" s="5">
        <f>E155+F155+G155+H155+D155</f>
        <v>2805.63</v>
      </c>
      <c r="J155" s="103">
        <v>11.41</v>
      </c>
      <c r="K155" s="5">
        <f t="shared" si="93"/>
        <v>2817.04</v>
      </c>
      <c r="L155" s="5">
        <f t="shared" si="74"/>
        <v>84.51</v>
      </c>
      <c r="M155" s="15">
        <f t="shared" si="75"/>
        <v>2901.55</v>
      </c>
      <c r="N155" s="15">
        <f t="shared" si="76"/>
        <v>580.30999999999995</v>
      </c>
      <c r="O155" s="100">
        <f t="shared" si="77"/>
        <v>3481.86</v>
      </c>
      <c r="P155" s="15">
        <f t="shared" si="101"/>
        <v>58.03</v>
      </c>
      <c r="Q155" s="101">
        <v>28</v>
      </c>
      <c r="R155" s="102">
        <f t="shared" si="80"/>
        <v>6.22</v>
      </c>
      <c r="S155" s="104">
        <f t="shared" si="99"/>
        <v>15.77</v>
      </c>
    </row>
    <row r="156" spans="1:19" ht="15.75" x14ac:dyDescent="0.25">
      <c r="A156" s="87">
        <v>116</v>
      </c>
      <c r="B156" s="107" t="s">
        <v>107</v>
      </c>
      <c r="C156" s="27" t="s">
        <v>14</v>
      </c>
      <c r="D156" s="103">
        <v>2210.63</v>
      </c>
      <c r="E156" s="103">
        <v>18.079999999999998</v>
      </c>
      <c r="F156" s="103">
        <v>532.22</v>
      </c>
      <c r="G156" s="103">
        <v>117.09</v>
      </c>
      <c r="H156" s="11">
        <v>175.99</v>
      </c>
      <c r="I156" s="5">
        <f>E156+F156+G156+H156+D156</f>
        <v>3054.01</v>
      </c>
      <c r="J156" s="103">
        <v>11.41</v>
      </c>
      <c r="K156" s="5">
        <f t="shared" si="93"/>
        <v>3065.42</v>
      </c>
      <c r="L156" s="5">
        <f t="shared" si="74"/>
        <v>91.96</v>
      </c>
      <c r="M156" s="15">
        <f t="shared" si="75"/>
        <v>3157.38</v>
      </c>
      <c r="N156" s="15">
        <f t="shared" si="76"/>
        <v>631.48</v>
      </c>
      <c r="O156" s="100">
        <f t="shared" si="77"/>
        <v>3788.86</v>
      </c>
      <c r="P156" s="15">
        <f t="shared" si="101"/>
        <v>63.15</v>
      </c>
      <c r="Q156" s="101">
        <f>71+1</f>
        <v>72</v>
      </c>
      <c r="R156" s="102">
        <f t="shared" si="80"/>
        <v>2.63</v>
      </c>
      <c r="S156" s="104">
        <f t="shared" si="99"/>
        <v>6.13</v>
      </c>
    </row>
    <row r="157" spans="1:19" ht="15.75" x14ac:dyDescent="0.25">
      <c r="A157" s="87">
        <v>117</v>
      </c>
      <c r="B157" s="107" t="s">
        <v>108</v>
      </c>
      <c r="C157" s="27" t="s">
        <v>57</v>
      </c>
      <c r="D157" s="103">
        <v>1373.5</v>
      </c>
      <c r="E157" s="103">
        <v>18.079999999999998</v>
      </c>
      <c r="F157" s="103">
        <v>532.22</v>
      </c>
      <c r="G157" s="103">
        <v>117.09</v>
      </c>
      <c r="H157" s="11">
        <v>175.99</v>
      </c>
      <c r="I157" s="5">
        <f>E157+F157+G157+H157+D157</f>
        <v>2216.88</v>
      </c>
      <c r="J157" s="103">
        <v>11.41</v>
      </c>
      <c r="K157" s="5">
        <f t="shared" si="93"/>
        <v>2228.29</v>
      </c>
      <c r="L157" s="5">
        <f t="shared" si="74"/>
        <v>66.849999999999994</v>
      </c>
      <c r="M157" s="15">
        <f t="shared" si="75"/>
        <v>2295.14</v>
      </c>
      <c r="N157" s="15">
        <f t="shared" si="76"/>
        <v>459.03</v>
      </c>
      <c r="O157" s="100">
        <f t="shared" si="77"/>
        <v>2754.17</v>
      </c>
      <c r="P157" s="15">
        <f t="shared" si="101"/>
        <v>45.9</v>
      </c>
      <c r="Q157" s="101">
        <v>1</v>
      </c>
      <c r="R157" s="102">
        <f>ROUND(P157*3/Q157,2)+0.01</f>
        <v>137.70999999999998</v>
      </c>
      <c r="S157" s="104">
        <f t="shared" si="99"/>
        <v>441.63</v>
      </c>
    </row>
    <row r="158" spans="1:19" ht="15.75" x14ac:dyDescent="0.25">
      <c r="A158" s="87">
        <v>118</v>
      </c>
      <c r="B158" s="107" t="s">
        <v>109</v>
      </c>
      <c r="C158" s="27" t="s">
        <v>57</v>
      </c>
      <c r="D158" s="103">
        <v>1373.5</v>
      </c>
      <c r="E158" s="103">
        <v>18.079999999999998</v>
      </c>
      <c r="F158" s="103">
        <v>532.22</v>
      </c>
      <c r="G158" s="103">
        <v>117.09</v>
      </c>
      <c r="H158" s="11">
        <v>175.99</v>
      </c>
      <c r="I158" s="5">
        <f>E158+F158+G158+H158+D158</f>
        <v>2216.88</v>
      </c>
      <c r="J158" s="103">
        <v>11.41</v>
      </c>
      <c r="K158" s="5">
        <f t="shared" si="93"/>
        <v>2228.29</v>
      </c>
      <c r="L158" s="5">
        <f t="shared" si="74"/>
        <v>66.849999999999994</v>
      </c>
      <c r="M158" s="15">
        <f t="shared" si="75"/>
        <v>2295.14</v>
      </c>
      <c r="N158" s="15">
        <f t="shared" si="76"/>
        <v>459.03</v>
      </c>
      <c r="O158" s="100">
        <f t="shared" si="77"/>
        <v>2754.17</v>
      </c>
      <c r="P158" s="15">
        <f t="shared" si="101"/>
        <v>45.9</v>
      </c>
      <c r="Q158" s="101">
        <v>3</v>
      </c>
      <c r="R158" s="102">
        <f t="shared" si="80"/>
        <v>45.9</v>
      </c>
      <c r="S158" s="104">
        <f t="shared" si="99"/>
        <v>147.21</v>
      </c>
    </row>
    <row r="159" spans="1:19" ht="15.75" x14ac:dyDescent="0.25">
      <c r="A159" s="87">
        <v>119</v>
      </c>
      <c r="B159" s="107" t="s">
        <v>110</v>
      </c>
      <c r="C159" s="27" t="s">
        <v>18</v>
      </c>
      <c r="D159" s="103">
        <v>1475.88</v>
      </c>
      <c r="E159" s="103">
        <v>18.079999999999998</v>
      </c>
      <c r="F159" s="103">
        <v>532.22</v>
      </c>
      <c r="G159" s="103">
        <v>117.09</v>
      </c>
      <c r="H159" s="11">
        <v>175.99</v>
      </c>
      <c r="I159" s="5">
        <f t="shared" ref="I159:I160" si="102">E159+F159+G159+H159+D159</f>
        <v>2319.2600000000002</v>
      </c>
      <c r="J159" s="103">
        <v>11.41</v>
      </c>
      <c r="K159" s="5">
        <f t="shared" si="93"/>
        <v>2330.67</v>
      </c>
      <c r="L159" s="5">
        <f t="shared" si="74"/>
        <v>69.92</v>
      </c>
      <c r="M159" s="15">
        <f t="shared" si="75"/>
        <v>2400.59</v>
      </c>
      <c r="N159" s="15">
        <f t="shared" si="76"/>
        <v>480.12</v>
      </c>
      <c r="O159" s="100">
        <f t="shared" si="77"/>
        <v>2880.71</v>
      </c>
      <c r="P159" s="15">
        <f t="shared" si="101"/>
        <v>48.01</v>
      </c>
      <c r="Q159" s="101">
        <f>8+4</f>
        <v>12</v>
      </c>
      <c r="R159" s="102">
        <f t="shared" si="80"/>
        <v>12</v>
      </c>
      <c r="S159" s="104">
        <f t="shared" si="99"/>
        <v>36.799999999999997</v>
      </c>
    </row>
    <row r="160" spans="1:19" ht="15.75" x14ac:dyDescent="0.25">
      <c r="A160" s="87">
        <v>120</v>
      </c>
      <c r="B160" s="107" t="s">
        <v>111</v>
      </c>
      <c r="C160" s="27" t="s">
        <v>18</v>
      </c>
      <c r="D160" s="103">
        <v>1475.88</v>
      </c>
      <c r="E160" s="103">
        <v>18.079999999999998</v>
      </c>
      <c r="F160" s="103">
        <v>532.22</v>
      </c>
      <c r="G160" s="103">
        <v>117.09</v>
      </c>
      <c r="H160" s="11">
        <v>175.99</v>
      </c>
      <c r="I160" s="5">
        <f t="shared" si="102"/>
        <v>2319.2600000000002</v>
      </c>
      <c r="J160" s="103">
        <v>11.41</v>
      </c>
      <c r="K160" s="5">
        <f t="shared" si="93"/>
        <v>2330.67</v>
      </c>
      <c r="L160" s="5">
        <f t="shared" si="74"/>
        <v>69.92</v>
      </c>
      <c r="M160" s="15">
        <f t="shared" si="75"/>
        <v>2400.59</v>
      </c>
      <c r="N160" s="15">
        <f t="shared" si="76"/>
        <v>480.12</v>
      </c>
      <c r="O160" s="100">
        <f t="shared" si="77"/>
        <v>2880.71</v>
      </c>
      <c r="P160" s="15">
        <f t="shared" si="101"/>
        <v>48.01</v>
      </c>
      <c r="Q160" s="101">
        <f>19+2</f>
        <v>21</v>
      </c>
      <c r="R160" s="102">
        <f t="shared" si="80"/>
        <v>6.86</v>
      </c>
      <c r="S160" s="104">
        <f t="shared" si="99"/>
        <v>21.03</v>
      </c>
    </row>
    <row r="161" spans="1:19" ht="15.75" x14ac:dyDescent="0.25">
      <c r="A161" s="87">
        <v>121</v>
      </c>
      <c r="B161" s="107" t="s">
        <v>112</v>
      </c>
      <c r="C161" s="31" t="s">
        <v>113</v>
      </c>
      <c r="D161" s="103">
        <v>2210.63</v>
      </c>
      <c r="E161" s="103">
        <v>18.079999999999998</v>
      </c>
      <c r="F161" s="103">
        <v>532.22</v>
      </c>
      <c r="G161" s="103">
        <v>117.09</v>
      </c>
      <c r="H161" s="11">
        <v>175.99</v>
      </c>
      <c r="I161" s="5">
        <f>E161+F161+G161+H161+D161</f>
        <v>3054.01</v>
      </c>
      <c r="J161" s="103">
        <v>11.41</v>
      </c>
      <c r="K161" s="5">
        <f t="shared" si="93"/>
        <v>3065.42</v>
      </c>
      <c r="L161" s="5">
        <f t="shared" si="74"/>
        <v>91.96</v>
      </c>
      <c r="M161" s="15">
        <f t="shared" si="75"/>
        <v>3157.38</v>
      </c>
      <c r="N161" s="15">
        <f t="shared" si="76"/>
        <v>631.48</v>
      </c>
      <c r="O161" s="100">
        <f t="shared" si="77"/>
        <v>3788.86</v>
      </c>
      <c r="P161" s="15">
        <f t="shared" si="101"/>
        <v>63.15</v>
      </c>
      <c r="Q161" s="101">
        <v>77</v>
      </c>
      <c r="R161" s="102">
        <f t="shared" si="80"/>
        <v>2.46</v>
      </c>
      <c r="S161" s="48">
        <f>ROUND(469.47/Q161,2)</f>
        <v>6.1</v>
      </c>
    </row>
    <row r="162" spans="1:19" ht="15.75" x14ac:dyDescent="0.25">
      <c r="A162" s="87">
        <v>122</v>
      </c>
      <c r="B162" s="107" t="s">
        <v>114</v>
      </c>
      <c r="C162" s="27" t="s">
        <v>18</v>
      </c>
      <c r="D162" s="103">
        <v>1475.88</v>
      </c>
      <c r="E162" s="103">
        <v>18.079999999999998</v>
      </c>
      <c r="F162" s="103">
        <v>532.22</v>
      </c>
      <c r="G162" s="103">
        <v>117.09</v>
      </c>
      <c r="H162" s="11">
        <v>175.99</v>
      </c>
      <c r="I162" s="5">
        <f t="shared" ref="I162:I165" si="103">E162+F162+G162+H162+D162</f>
        <v>2319.2600000000002</v>
      </c>
      <c r="J162" s="103">
        <v>11.41</v>
      </c>
      <c r="K162" s="5">
        <f t="shared" si="93"/>
        <v>2330.67</v>
      </c>
      <c r="L162" s="5">
        <f t="shared" si="74"/>
        <v>69.92</v>
      </c>
      <c r="M162" s="15">
        <f t="shared" si="75"/>
        <v>2400.59</v>
      </c>
      <c r="N162" s="15">
        <f t="shared" si="76"/>
        <v>480.12</v>
      </c>
      <c r="O162" s="100">
        <f t="shared" si="77"/>
        <v>2880.71</v>
      </c>
      <c r="P162" s="15">
        <f t="shared" si="101"/>
        <v>48.01</v>
      </c>
      <c r="Q162" s="101">
        <v>28</v>
      </c>
      <c r="R162" s="102">
        <f t="shared" si="80"/>
        <v>5.14</v>
      </c>
      <c r="S162" s="104">
        <f t="shared" ref="S162:S165" si="104">ROUND(441.63/Q162,2)</f>
        <v>15.77</v>
      </c>
    </row>
    <row r="163" spans="1:19" ht="15.75" x14ac:dyDescent="0.25">
      <c r="A163" s="87">
        <v>123</v>
      </c>
      <c r="B163" s="107" t="s">
        <v>115</v>
      </c>
      <c r="C163" s="27" t="s">
        <v>18</v>
      </c>
      <c r="D163" s="103">
        <v>1475.88</v>
      </c>
      <c r="E163" s="103">
        <v>18.079999999999998</v>
      </c>
      <c r="F163" s="103">
        <v>532.22</v>
      </c>
      <c r="G163" s="103">
        <v>117.09</v>
      </c>
      <c r="H163" s="11">
        <v>175.99</v>
      </c>
      <c r="I163" s="5">
        <f t="shared" si="103"/>
        <v>2319.2600000000002</v>
      </c>
      <c r="J163" s="103">
        <v>11.41</v>
      </c>
      <c r="K163" s="5">
        <f t="shared" si="93"/>
        <v>2330.67</v>
      </c>
      <c r="L163" s="5">
        <f t="shared" si="74"/>
        <v>69.92</v>
      </c>
      <c r="M163" s="15">
        <f t="shared" si="75"/>
        <v>2400.59</v>
      </c>
      <c r="N163" s="15">
        <f t="shared" si="76"/>
        <v>480.12</v>
      </c>
      <c r="O163" s="100">
        <f t="shared" si="77"/>
        <v>2880.71</v>
      </c>
      <c r="P163" s="15">
        <f t="shared" si="101"/>
        <v>48.01</v>
      </c>
      <c r="Q163" s="101">
        <v>8</v>
      </c>
      <c r="R163" s="102">
        <f t="shared" si="80"/>
        <v>18</v>
      </c>
      <c r="S163" s="104">
        <f t="shared" si="104"/>
        <v>55.2</v>
      </c>
    </row>
    <row r="164" spans="1:19" ht="15.75" x14ac:dyDescent="0.25">
      <c r="A164" s="87">
        <v>124</v>
      </c>
      <c r="B164" s="107" t="s">
        <v>116</v>
      </c>
      <c r="C164" s="27" t="s">
        <v>18</v>
      </c>
      <c r="D164" s="103">
        <v>1475.88</v>
      </c>
      <c r="E164" s="103">
        <v>18.079999999999998</v>
      </c>
      <c r="F164" s="103">
        <v>532.22</v>
      </c>
      <c r="G164" s="103">
        <v>117.09</v>
      </c>
      <c r="H164" s="11">
        <v>175.99</v>
      </c>
      <c r="I164" s="5">
        <f t="shared" si="103"/>
        <v>2319.2600000000002</v>
      </c>
      <c r="J164" s="103">
        <v>11.41</v>
      </c>
      <c r="K164" s="5">
        <f t="shared" si="93"/>
        <v>2330.67</v>
      </c>
      <c r="L164" s="5">
        <f t="shared" si="74"/>
        <v>69.92</v>
      </c>
      <c r="M164" s="15">
        <f t="shared" si="75"/>
        <v>2400.59</v>
      </c>
      <c r="N164" s="15">
        <f t="shared" si="76"/>
        <v>480.12</v>
      </c>
      <c r="O164" s="100">
        <f t="shared" si="77"/>
        <v>2880.71</v>
      </c>
      <c r="P164" s="15">
        <f t="shared" si="101"/>
        <v>48.01</v>
      </c>
      <c r="Q164" s="101">
        <v>8</v>
      </c>
      <c r="R164" s="102">
        <f t="shared" si="80"/>
        <v>18</v>
      </c>
      <c r="S164" s="104">
        <f t="shared" si="104"/>
        <v>55.2</v>
      </c>
    </row>
    <row r="165" spans="1:19" ht="15.75" x14ac:dyDescent="0.25">
      <c r="A165" s="87">
        <v>125</v>
      </c>
      <c r="B165" s="107" t="s">
        <v>117</v>
      </c>
      <c r="C165" s="27" t="s">
        <v>18</v>
      </c>
      <c r="D165" s="103">
        <v>1475.88</v>
      </c>
      <c r="E165" s="103">
        <v>18.079999999999998</v>
      </c>
      <c r="F165" s="103">
        <v>532.22</v>
      </c>
      <c r="G165" s="103">
        <v>117.09</v>
      </c>
      <c r="H165" s="11">
        <v>175.99</v>
      </c>
      <c r="I165" s="5">
        <f t="shared" si="103"/>
        <v>2319.2600000000002</v>
      </c>
      <c r="J165" s="103">
        <v>11.41</v>
      </c>
      <c r="K165" s="5">
        <f t="shared" si="93"/>
        <v>2330.67</v>
      </c>
      <c r="L165" s="5">
        <f t="shared" si="74"/>
        <v>69.92</v>
      </c>
      <c r="M165" s="15">
        <f t="shared" si="75"/>
        <v>2400.59</v>
      </c>
      <c r="N165" s="15">
        <f t="shared" si="76"/>
        <v>480.12</v>
      </c>
      <c r="O165" s="100">
        <f t="shared" si="77"/>
        <v>2880.71</v>
      </c>
      <c r="P165" s="15">
        <f t="shared" si="101"/>
        <v>48.01</v>
      </c>
      <c r="Q165" s="101">
        <v>8</v>
      </c>
      <c r="R165" s="102">
        <f t="shared" si="80"/>
        <v>18</v>
      </c>
      <c r="S165" s="104">
        <f t="shared" si="104"/>
        <v>55.2</v>
      </c>
    </row>
    <row r="166" spans="1:19" ht="15.75" x14ac:dyDescent="0.25">
      <c r="A166" s="87">
        <v>126</v>
      </c>
      <c r="B166" s="107" t="s">
        <v>118</v>
      </c>
      <c r="C166" s="27" t="s">
        <v>119</v>
      </c>
      <c r="D166" s="103">
        <v>2427.87</v>
      </c>
      <c r="E166" s="103">
        <v>21</v>
      </c>
      <c r="F166" s="103">
        <v>580.29999999999995</v>
      </c>
      <c r="G166" s="103">
        <v>127.67</v>
      </c>
      <c r="H166" s="11">
        <v>195.01</v>
      </c>
      <c r="I166" s="5">
        <f>E166+F166+G166+H166+D166</f>
        <v>3351.85</v>
      </c>
      <c r="J166" s="103">
        <v>12.67</v>
      </c>
      <c r="K166" s="5">
        <f t="shared" si="93"/>
        <v>3364.52</v>
      </c>
      <c r="L166" s="5">
        <f t="shared" si="74"/>
        <v>100.94</v>
      </c>
      <c r="M166" s="15">
        <f t="shared" si="75"/>
        <v>3465.46</v>
      </c>
      <c r="N166" s="15">
        <f t="shared" si="76"/>
        <v>693.09</v>
      </c>
      <c r="O166" s="100">
        <f t="shared" si="77"/>
        <v>4158.55</v>
      </c>
      <c r="P166" s="15">
        <f t="shared" si="101"/>
        <v>69.31</v>
      </c>
      <c r="Q166" s="101">
        <f>106+2</f>
        <v>108</v>
      </c>
      <c r="R166" s="102">
        <f t="shared" si="80"/>
        <v>1.93</v>
      </c>
      <c r="S166" s="104">
        <f>ROUND(451.2/Q166,2)</f>
        <v>4.18</v>
      </c>
    </row>
    <row r="167" spans="1:19" ht="15.75" x14ac:dyDescent="0.25">
      <c r="A167" s="87">
        <v>127</v>
      </c>
      <c r="B167" s="107" t="s">
        <v>120</v>
      </c>
      <c r="C167" s="36" t="s">
        <v>121</v>
      </c>
      <c r="D167" s="103">
        <v>2639</v>
      </c>
      <c r="E167" s="3">
        <v>21</v>
      </c>
      <c r="F167" s="3">
        <v>580.29999999999995</v>
      </c>
      <c r="G167" s="3">
        <v>127.67</v>
      </c>
      <c r="H167" s="11">
        <v>195.01</v>
      </c>
      <c r="I167" s="5">
        <f>E167+F167+G167+H167+D167</f>
        <v>3562.98</v>
      </c>
      <c r="J167" s="103">
        <v>12.67</v>
      </c>
      <c r="K167" s="5">
        <f t="shared" si="93"/>
        <v>3575.65</v>
      </c>
      <c r="L167" s="5">
        <f t="shared" si="74"/>
        <v>107.27</v>
      </c>
      <c r="M167" s="15">
        <f t="shared" si="75"/>
        <v>3682.92</v>
      </c>
      <c r="N167" s="15">
        <f t="shared" si="76"/>
        <v>736.58</v>
      </c>
      <c r="O167" s="100">
        <f t="shared" si="77"/>
        <v>4419.5</v>
      </c>
      <c r="P167" s="15">
        <f t="shared" si="101"/>
        <v>73.66</v>
      </c>
      <c r="Q167" s="101">
        <f>128+2</f>
        <v>130</v>
      </c>
      <c r="R167" s="102">
        <f t="shared" si="80"/>
        <v>1.7</v>
      </c>
      <c r="S167" s="104">
        <f>ROUND(452.88/Q167,2)</f>
        <v>3.48</v>
      </c>
    </row>
    <row r="168" spans="1:19" ht="15.75" x14ac:dyDescent="0.25">
      <c r="A168" s="220">
        <v>128</v>
      </c>
      <c r="B168" s="215" t="s">
        <v>122</v>
      </c>
      <c r="C168" s="27" t="s">
        <v>20</v>
      </c>
      <c r="D168" s="175">
        <f>1475.88*4</f>
        <v>5903.52</v>
      </c>
      <c r="E168" s="195">
        <f>18.08*4</f>
        <v>72.319999999999993</v>
      </c>
      <c r="F168" s="195">
        <f>532.22*4</f>
        <v>2128.88</v>
      </c>
      <c r="G168" s="195">
        <f>117.09*4</f>
        <v>468.36</v>
      </c>
      <c r="H168" s="167">
        <f>175.99*4</f>
        <v>703.96</v>
      </c>
      <c r="I168" s="169">
        <f>E168+F168+G168+H168+D168</f>
        <v>9277.0400000000009</v>
      </c>
      <c r="J168" s="167">
        <f>11.41*4</f>
        <v>45.64</v>
      </c>
      <c r="K168" s="169">
        <f t="shared" si="93"/>
        <v>9322.68</v>
      </c>
      <c r="L168" s="169">
        <f t="shared" ref="L168:L231" si="105">ROUND(K168*3%,2)</f>
        <v>279.68</v>
      </c>
      <c r="M168" s="169">
        <f t="shared" ref="M168:M231" si="106">K168+L168</f>
        <v>9602.36</v>
      </c>
      <c r="N168" s="173">
        <f t="shared" ref="N168:N231" si="107">ROUND(M168*20%,2)</f>
        <v>1920.47</v>
      </c>
      <c r="O168" s="185">
        <f t="shared" ref="O168:O231" si="108">M168+N168</f>
        <v>11522.83</v>
      </c>
      <c r="P168" s="83">
        <f>ROUND(O168/5/12,2)</f>
        <v>192.05</v>
      </c>
      <c r="Q168" s="180">
        <f>20+20+20+15</f>
        <v>75</v>
      </c>
      <c r="R168" s="164">
        <f t="shared" si="80"/>
        <v>7.68</v>
      </c>
      <c r="S168" s="166">
        <f>ROUND(441.63*4/Q168,2)</f>
        <v>23.55</v>
      </c>
    </row>
    <row r="169" spans="1:19" ht="15.75" x14ac:dyDescent="0.25">
      <c r="A169" s="223"/>
      <c r="B169" s="218"/>
      <c r="C169" s="29" t="s">
        <v>20</v>
      </c>
      <c r="D169" s="176"/>
      <c r="E169" s="196"/>
      <c r="F169" s="196"/>
      <c r="G169" s="196"/>
      <c r="H169" s="171">
        <f>ROUND((E169+F169+G169)*11.7%,2)</f>
        <v>0</v>
      </c>
      <c r="I169" s="172">
        <f t="shared" ref="I169:I216" si="109">E169+F169+G169+H169</f>
        <v>0</v>
      </c>
      <c r="J169" s="171">
        <f t="shared" ref="J169:J216" si="110">ROUND(I169*11.6%,2)</f>
        <v>0</v>
      </c>
      <c r="K169" s="172">
        <f t="shared" si="93"/>
        <v>0</v>
      </c>
      <c r="L169" s="172">
        <f t="shared" si="105"/>
        <v>0</v>
      </c>
      <c r="M169" s="172">
        <f t="shared" si="106"/>
        <v>0</v>
      </c>
      <c r="N169" s="191">
        <f t="shared" si="107"/>
        <v>0</v>
      </c>
      <c r="O169" s="198">
        <f t="shared" si="108"/>
        <v>0</v>
      </c>
      <c r="P169" s="89"/>
      <c r="Q169" s="188"/>
      <c r="R169" s="224" t="e">
        <f t="shared" si="80"/>
        <v>#DIV/0!</v>
      </c>
      <c r="S169" s="166" t="e">
        <f t="shared" ref="S169:S194" si="111">ROUND(512.79/Q169,2)</f>
        <v>#DIV/0!</v>
      </c>
    </row>
    <row r="170" spans="1:19" ht="15.75" x14ac:dyDescent="0.25">
      <c r="A170" s="223"/>
      <c r="B170" s="218"/>
      <c r="C170" s="29" t="s">
        <v>20</v>
      </c>
      <c r="D170" s="176"/>
      <c r="E170" s="196"/>
      <c r="F170" s="196"/>
      <c r="G170" s="196"/>
      <c r="H170" s="171">
        <f>ROUND((E170+F170+G170)*11.7%,2)</f>
        <v>0</v>
      </c>
      <c r="I170" s="172">
        <f t="shared" si="109"/>
        <v>0</v>
      </c>
      <c r="J170" s="171">
        <f t="shared" si="110"/>
        <v>0</v>
      </c>
      <c r="K170" s="172">
        <f t="shared" si="93"/>
        <v>0</v>
      </c>
      <c r="L170" s="172">
        <f t="shared" si="105"/>
        <v>0</v>
      </c>
      <c r="M170" s="172">
        <f t="shared" si="106"/>
        <v>0</v>
      </c>
      <c r="N170" s="191">
        <f t="shared" si="107"/>
        <v>0</v>
      </c>
      <c r="O170" s="198">
        <f t="shared" si="108"/>
        <v>0</v>
      </c>
      <c r="P170" s="89"/>
      <c r="Q170" s="188"/>
      <c r="R170" s="224" t="e">
        <f t="shared" si="80"/>
        <v>#DIV/0!</v>
      </c>
      <c r="S170" s="166" t="e">
        <f t="shared" si="111"/>
        <v>#DIV/0!</v>
      </c>
    </row>
    <row r="171" spans="1:19" ht="15.75" x14ac:dyDescent="0.25">
      <c r="A171" s="221"/>
      <c r="B171" s="216"/>
      <c r="C171" s="30" t="s">
        <v>20</v>
      </c>
      <c r="D171" s="177"/>
      <c r="E171" s="197"/>
      <c r="F171" s="197"/>
      <c r="G171" s="197"/>
      <c r="H171" s="168">
        <f>ROUND((E171+F171+G171)*11.7%,2)</f>
        <v>0</v>
      </c>
      <c r="I171" s="170">
        <f t="shared" si="109"/>
        <v>0</v>
      </c>
      <c r="J171" s="168">
        <f t="shared" si="110"/>
        <v>0</v>
      </c>
      <c r="K171" s="170">
        <f t="shared" si="93"/>
        <v>0</v>
      </c>
      <c r="L171" s="170">
        <f t="shared" si="105"/>
        <v>0</v>
      </c>
      <c r="M171" s="170">
        <f t="shared" si="106"/>
        <v>0</v>
      </c>
      <c r="N171" s="174">
        <f t="shared" si="107"/>
        <v>0</v>
      </c>
      <c r="O171" s="186">
        <f t="shared" si="108"/>
        <v>0</v>
      </c>
      <c r="P171" s="84"/>
      <c r="Q171" s="181"/>
      <c r="R171" s="165" t="e">
        <f t="shared" si="80"/>
        <v>#DIV/0!</v>
      </c>
      <c r="S171" s="166" t="e">
        <f t="shared" si="111"/>
        <v>#DIV/0!</v>
      </c>
    </row>
    <row r="172" spans="1:19" ht="15.75" x14ac:dyDescent="0.25">
      <c r="A172" s="87">
        <v>129</v>
      </c>
      <c r="B172" s="107" t="s">
        <v>123</v>
      </c>
      <c r="C172" s="29" t="s">
        <v>16</v>
      </c>
      <c r="D172" s="103">
        <v>2210.63</v>
      </c>
      <c r="E172" s="103">
        <v>18.079999999999998</v>
      </c>
      <c r="F172" s="103">
        <v>532.22</v>
      </c>
      <c r="G172" s="103">
        <v>117.09</v>
      </c>
      <c r="H172" s="11">
        <v>175.99</v>
      </c>
      <c r="I172" s="5">
        <f t="shared" ref="I172:I179" si="112">E172+F172+G172+H172+D172</f>
        <v>3054.01</v>
      </c>
      <c r="J172" s="103">
        <v>11.41</v>
      </c>
      <c r="K172" s="5">
        <f t="shared" si="93"/>
        <v>3065.42</v>
      </c>
      <c r="L172" s="5">
        <f t="shared" si="105"/>
        <v>91.96</v>
      </c>
      <c r="M172" s="15">
        <f t="shared" si="106"/>
        <v>3157.38</v>
      </c>
      <c r="N172" s="15">
        <f t="shared" si="107"/>
        <v>631.48</v>
      </c>
      <c r="O172" s="100">
        <f t="shared" si="108"/>
        <v>3788.86</v>
      </c>
      <c r="P172" s="15">
        <f t="shared" ref="P172:P178" si="113">ROUND(O172/5/12,2)</f>
        <v>63.15</v>
      </c>
      <c r="Q172" s="101">
        <f>49+1</f>
        <v>50</v>
      </c>
      <c r="R172" s="102">
        <f t="shared" si="80"/>
        <v>3.79</v>
      </c>
      <c r="S172" s="104">
        <f>ROUND(441.63/Q172,2)</f>
        <v>8.83</v>
      </c>
    </row>
    <row r="173" spans="1:19" ht="15.75" x14ac:dyDescent="0.25">
      <c r="A173" s="87">
        <v>130</v>
      </c>
      <c r="B173" s="107" t="s">
        <v>124</v>
      </c>
      <c r="C173" s="27" t="s">
        <v>14</v>
      </c>
      <c r="D173" s="103">
        <v>2210.63</v>
      </c>
      <c r="E173" s="103">
        <v>18.079999999999998</v>
      </c>
      <c r="F173" s="103">
        <v>532.22</v>
      </c>
      <c r="G173" s="103">
        <v>117.09</v>
      </c>
      <c r="H173" s="11">
        <v>175.99</v>
      </c>
      <c r="I173" s="5">
        <f t="shared" si="112"/>
        <v>3054.01</v>
      </c>
      <c r="J173" s="103">
        <v>11.41</v>
      </c>
      <c r="K173" s="5">
        <f t="shared" si="93"/>
        <v>3065.42</v>
      </c>
      <c r="L173" s="5">
        <f t="shared" si="105"/>
        <v>91.96</v>
      </c>
      <c r="M173" s="15">
        <f t="shared" si="106"/>
        <v>3157.38</v>
      </c>
      <c r="N173" s="15">
        <f t="shared" si="107"/>
        <v>631.48</v>
      </c>
      <c r="O173" s="100">
        <f t="shared" si="108"/>
        <v>3788.86</v>
      </c>
      <c r="P173" s="15">
        <f t="shared" si="113"/>
        <v>63.15</v>
      </c>
      <c r="Q173" s="101">
        <f>56+1</f>
        <v>57</v>
      </c>
      <c r="R173" s="102">
        <f t="shared" si="80"/>
        <v>3.32</v>
      </c>
      <c r="S173" s="104">
        <f t="shared" ref="S173:S177" si="114">ROUND(441.63/Q173,2)</f>
        <v>7.75</v>
      </c>
    </row>
    <row r="174" spans="1:19" ht="16.5" thickBot="1" x14ac:dyDescent="0.3">
      <c r="A174" s="93">
        <v>131</v>
      </c>
      <c r="B174" s="134" t="s">
        <v>125</v>
      </c>
      <c r="C174" s="36" t="s">
        <v>14</v>
      </c>
      <c r="D174" s="85">
        <v>2210.63</v>
      </c>
      <c r="E174" s="85">
        <v>18.079999999999998</v>
      </c>
      <c r="F174" s="85">
        <v>532.22</v>
      </c>
      <c r="G174" s="85">
        <v>117.09</v>
      </c>
      <c r="H174" s="81">
        <v>175.99</v>
      </c>
      <c r="I174" s="83">
        <f t="shared" si="112"/>
        <v>3054.01</v>
      </c>
      <c r="J174" s="85">
        <v>11.41</v>
      </c>
      <c r="K174" s="83">
        <f t="shared" si="93"/>
        <v>3065.42</v>
      </c>
      <c r="L174" s="83">
        <f t="shared" si="105"/>
        <v>91.96</v>
      </c>
      <c r="M174" s="73">
        <f t="shared" si="106"/>
        <v>3157.38</v>
      </c>
      <c r="N174" s="73">
        <f t="shared" si="107"/>
        <v>631.48</v>
      </c>
      <c r="O174" s="76">
        <f t="shared" si="108"/>
        <v>3788.86</v>
      </c>
      <c r="P174" s="73">
        <f t="shared" si="113"/>
        <v>63.15</v>
      </c>
      <c r="Q174" s="95">
        <f>64+1</f>
        <v>65</v>
      </c>
      <c r="R174" s="78">
        <f t="shared" si="80"/>
        <v>2.91</v>
      </c>
      <c r="S174" s="135">
        <f t="shared" si="114"/>
        <v>6.79</v>
      </c>
    </row>
    <row r="175" spans="1:19" ht="15.75" x14ac:dyDescent="0.25">
      <c r="A175" s="115">
        <v>132</v>
      </c>
      <c r="B175" s="128" t="s">
        <v>126</v>
      </c>
      <c r="C175" s="117" t="s">
        <v>16</v>
      </c>
      <c r="D175" s="118">
        <v>2210.63</v>
      </c>
      <c r="E175" s="118">
        <v>18.079999999999998</v>
      </c>
      <c r="F175" s="118">
        <v>532.22</v>
      </c>
      <c r="G175" s="118">
        <v>117.09</v>
      </c>
      <c r="H175" s="119">
        <v>175.99</v>
      </c>
      <c r="I175" s="120">
        <f t="shared" si="112"/>
        <v>3054.01</v>
      </c>
      <c r="J175" s="118">
        <v>11.41</v>
      </c>
      <c r="K175" s="120">
        <f t="shared" si="93"/>
        <v>3065.42</v>
      </c>
      <c r="L175" s="120">
        <f t="shared" si="105"/>
        <v>91.96</v>
      </c>
      <c r="M175" s="121">
        <f t="shared" si="106"/>
        <v>3157.38</v>
      </c>
      <c r="N175" s="121">
        <f t="shared" si="107"/>
        <v>631.48</v>
      </c>
      <c r="O175" s="122">
        <f t="shared" si="108"/>
        <v>3788.86</v>
      </c>
      <c r="P175" s="121">
        <f t="shared" si="113"/>
        <v>63.15</v>
      </c>
      <c r="Q175" s="129">
        <f>53+3</f>
        <v>56</v>
      </c>
      <c r="R175" s="124">
        <f t="shared" ref="R175:R238" si="115">ROUND(P175*3/Q175,2)</f>
        <v>3.38</v>
      </c>
      <c r="S175" s="130">
        <f t="shared" si="114"/>
        <v>7.89</v>
      </c>
    </row>
    <row r="176" spans="1:19" ht="15.75" x14ac:dyDescent="0.25">
      <c r="A176" s="87">
        <v>133</v>
      </c>
      <c r="B176" s="107" t="s">
        <v>780</v>
      </c>
      <c r="C176" s="26" t="s">
        <v>16</v>
      </c>
      <c r="D176" s="103">
        <v>2210.63</v>
      </c>
      <c r="E176" s="103">
        <v>18.079999999999998</v>
      </c>
      <c r="F176" s="103">
        <v>532.22</v>
      </c>
      <c r="G176" s="103">
        <v>117.09</v>
      </c>
      <c r="H176" s="11">
        <v>175.99</v>
      </c>
      <c r="I176" s="5">
        <f t="shared" si="112"/>
        <v>3054.01</v>
      </c>
      <c r="J176" s="103">
        <v>11.41</v>
      </c>
      <c r="K176" s="5">
        <f t="shared" si="93"/>
        <v>3065.42</v>
      </c>
      <c r="L176" s="5">
        <f t="shared" si="105"/>
        <v>91.96</v>
      </c>
      <c r="M176" s="15">
        <f t="shared" si="106"/>
        <v>3157.38</v>
      </c>
      <c r="N176" s="15">
        <f t="shared" si="107"/>
        <v>631.48</v>
      </c>
      <c r="O176" s="100">
        <f t="shared" si="108"/>
        <v>3788.86</v>
      </c>
      <c r="P176" s="15">
        <f t="shared" si="113"/>
        <v>63.15</v>
      </c>
      <c r="Q176" s="101">
        <f>176+4</f>
        <v>180</v>
      </c>
      <c r="R176" s="102">
        <f t="shared" si="115"/>
        <v>1.05</v>
      </c>
      <c r="S176" s="49">
        <f t="shared" si="114"/>
        <v>2.4500000000000002</v>
      </c>
    </row>
    <row r="177" spans="1:19" ht="15.75" x14ac:dyDescent="0.25">
      <c r="A177" s="87">
        <v>135</v>
      </c>
      <c r="B177" s="107" t="s">
        <v>127</v>
      </c>
      <c r="C177" s="28" t="s">
        <v>16</v>
      </c>
      <c r="D177" s="103">
        <v>2210.63</v>
      </c>
      <c r="E177" s="103">
        <v>18.079999999999998</v>
      </c>
      <c r="F177" s="103">
        <v>532.22</v>
      </c>
      <c r="G177" s="103">
        <v>117.09</v>
      </c>
      <c r="H177" s="11">
        <v>175.99</v>
      </c>
      <c r="I177" s="5">
        <f t="shared" si="112"/>
        <v>3054.01</v>
      </c>
      <c r="J177" s="103">
        <v>11.41</v>
      </c>
      <c r="K177" s="5">
        <f t="shared" si="93"/>
        <v>3065.42</v>
      </c>
      <c r="L177" s="5">
        <f t="shared" si="105"/>
        <v>91.96</v>
      </c>
      <c r="M177" s="15">
        <f t="shared" si="106"/>
        <v>3157.38</v>
      </c>
      <c r="N177" s="15">
        <f t="shared" si="107"/>
        <v>631.48</v>
      </c>
      <c r="O177" s="100">
        <f t="shared" si="108"/>
        <v>3788.86</v>
      </c>
      <c r="P177" s="15">
        <f t="shared" si="113"/>
        <v>63.15</v>
      </c>
      <c r="Q177" s="101">
        <v>45</v>
      </c>
      <c r="R177" s="102">
        <f t="shared" si="115"/>
        <v>4.21</v>
      </c>
      <c r="S177" s="104">
        <f t="shared" si="114"/>
        <v>9.81</v>
      </c>
    </row>
    <row r="178" spans="1:19" ht="15.75" x14ac:dyDescent="0.25">
      <c r="A178" s="87">
        <v>136</v>
      </c>
      <c r="B178" s="107" t="s">
        <v>128</v>
      </c>
      <c r="C178" s="26" t="s">
        <v>19</v>
      </c>
      <c r="D178" s="103">
        <v>1962.25</v>
      </c>
      <c r="E178" s="103">
        <v>18.079999999999998</v>
      </c>
      <c r="F178" s="103">
        <v>532.22</v>
      </c>
      <c r="G178" s="103">
        <v>117.09</v>
      </c>
      <c r="H178" s="11">
        <v>175.99</v>
      </c>
      <c r="I178" s="5">
        <f t="shared" si="112"/>
        <v>2805.63</v>
      </c>
      <c r="J178" s="103">
        <v>11.41</v>
      </c>
      <c r="K178" s="5">
        <f t="shared" si="93"/>
        <v>2817.04</v>
      </c>
      <c r="L178" s="5">
        <f t="shared" si="105"/>
        <v>84.51</v>
      </c>
      <c r="M178" s="15">
        <f t="shared" si="106"/>
        <v>2901.55</v>
      </c>
      <c r="N178" s="15">
        <f t="shared" si="107"/>
        <v>580.30999999999995</v>
      </c>
      <c r="O178" s="100">
        <f t="shared" si="108"/>
        <v>3481.86</v>
      </c>
      <c r="P178" s="15">
        <f t="shared" si="113"/>
        <v>58.03</v>
      </c>
      <c r="Q178" s="101">
        <v>76</v>
      </c>
      <c r="R178" s="102">
        <f t="shared" si="115"/>
        <v>2.29</v>
      </c>
      <c r="S178" s="104">
        <f>ROUND(441.63/Q178,2)</f>
        <v>5.81</v>
      </c>
    </row>
    <row r="179" spans="1:19" ht="15.75" customHeight="1" x14ac:dyDescent="0.25">
      <c r="A179" s="220">
        <v>137</v>
      </c>
      <c r="B179" s="215" t="s">
        <v>785</v>
      </c>
      <c r="C179" s="27" t="s">
        <v>129</v>
      </c>
      <c r="D179" s="175">
        <f>2210.63*2</f>
        <v>4421.26</v>
      </c>
      <c r="E179" s="195">
        <f>18.08*2</f>
        <v>36.159999999999997</v>
      </c>
      <c r="F179" s="195">
        <f>532.22*2</f>
        <v>1064.44</v>
      </c>
      <c r="G179" s="195">
        <f>117.09*2</f>
        <v>234.18</v>
      </c>
      <c r="H179" s="167">
        <f>175.99*2</f>
        <v>351.98</v>
      </c>
      <c r="I179" s="169">
        <f t="shared" si="112"/>
        <v>6108.02</v>
      </c>
      <c r="J179" s="167">
        <f>11.41*2</f>
        <v>22.82</v>
      </c>
      <c r="K179" s="169">
        <f t="shared" si="93"/>
        <v>6130.84</v>
      </c>
      <c r="L179" s="169">
        <f t="shared" si="105"/>
        <v>183.93</v>
      </c>
      <c r="M179" s="169">
        <f t="shared" si="106"/>
        <v>6314.77</v>
      </c>
      <c r="N179" s="173">
        <f t="shared" si="107"/>
        <v>1262.95</v>
      </c>
      <c r="O179" s="185">
        <f t="shared" si="108"/>
        <v>7577.72</v>
      </c>
      <c r="P179" s="83">
        <f>ROUND(O179/5/12,2)</f>
        <v>126.3</v>
      </c>
      <c r="Q179" s="180">
        <f>45+44+1</f>
        <v>90</v>
      </c>
      <c r="R179" s="182">
        <f t="shared" si="115"/>
        <v>4.21</v>
      </c>
      <c r="S179" s="166">
        <f>ROUND((441.63+469.47)/Q179,2)</f>
        <v>10.119999999999999</v>
      </c>
    </row>
    <row r="180" spans="1:19" ht="15.75" customHeight="1" x14ac:dyDescent="0.25">
      <c r="A180" s="221"/>
      <c r="B180" s="216"/>
      <c r="C180" s="25" t="s">
        <v>100</v>
      </c>
      <c r="D180" s="177"/>
      <c r="E180" s="197"/>
      <c r="F180" s="197"/>
      <c r="G180" s="197"/>
      <c r="H180" s="168">
        <f>ROUND((E180+F180+G180)*11.7%,2)</f>
        <v>0</v>
      </c>
      <c r="I180" s="170">
        <f t="shared" si="109"/>
        <v>0</v>
      </c>
      <c r="J180" s="168">
        <f t="shared" si="110"/>
        <v>0</v>
      </c>
      <c r="K180" s="170">
        <f t="shared" si="93"/>
        <v>0</v>
      </c>
      <c r="L180" s="170">
        <f t="shared" si="105"/>
        <v>0</v>
      </c>
      <c r="M180" s="170">
        <f t="shared" si="106"/>
        <v>0</v>
      </c>
      <c r="N180" s="174">
        <f t="shared" si="107"/>
        <v>0</v>
      </c>
      <c r="O180" s="186">
        <f t="shared" si="108"/>
        <v>0</v>
      </c>
      <c r="P180" s="84"/>
      <c r="Q180" s="181"/>
      <c r="R180" s="183" t="e">
        <f t="shared" si="115"/>
        <v>#DIV/0!</v>
      </c>
      <c r="S180" s="166" t="e">
        <f t="shared" si="111"/>
        <v>#DIV/0!</v>
      </c>
    </row>
    <row r="181" spans="1:19" ht="15.75" x14ac:dyDescent="0.25">
      <c r="A181" s="87">
        <v>138</v>
      </c>
      <c r="B181" s="107" t="s">
        <v>130</v>
      </c>
      <c r="C181" s="29" t="s">
        <v>16</v>
      </c>
      <c r="D181" s="103">
        <v>2210.63</v>
      </c>
      <c r="E181" s="103">
        <v>18.079999999999998</v>
      </c>
      <c r="F181" s="103">
        <v>532.22</v>
      </c>
      <c r="G181" s="103">
        <v>117.09</v>
      </c>
      <c r="H181" s="11">
        <v>175.99</v>
      </c>
      <c r="I181" s="5">
        <f>E181+F181+G181+H181+D181</f>
        <v>3054.01</v>
      </c>
      <c r="J181" s="103">
        <v>11.41</v>
      </c>
      <c r="K181" s="5">
        <f t="shared" si="93"/>
        <v>3065.42</v>
      </c>
      <c r="L181" s="5">
        <f t="shared" si="105"/>
        <v>91.96</v>
      </c>
      <c r="M181" s="15">
        <f t="shared" si="106"/>
        <v>3157.38</v>
      </c>
      <c r="N181" s="15">
        <f t="shared" si="107"/>
        <v>631.48</v>
      </c>
      <c r="O181" s="100">
        <f t="shared" si="108"/>
        <v>3788.86</v>
      </c>
      <c r="P181" s="15">
        <f t="shared" ref="P181:P182" si="116">ROUND(O181/5/12,2)</f>
        <v>63.15</v>
      </c>
      <c r="Q181" s="101">
        <v>75</v>
      </c>
      <c r="R181" s="102">
        <f t="shared" si="115"/>
        <v>2.5299999999999998</v>
      </c>
      <c r="S181" s="104">
        <f>ROUND(441.63/Q181,2)</f>
        <v>5.89</v>
      </c>
    </row>
    <row r="182" spans="1:19" ht="15.75" x14ac:dyDescent="0.25">
      <c r="A182" s="87">
        <v>139</v>
      </c>
      <c r="B182" s="107" t="s">
        <v>131</v>
      </c>
      <c r="C182" s="31" t="s">
        <v>132</v>
      </c>
      <c r="D182" s="103">
        <v>2210.63</v>
      </c>
      <c r="E182" s="103">
        <v>18.079999999999998</v>
      </c>
      <c r="F182" s="103">
        <v>532.22</v>
      </c>
      <c r="G182" s="103">
        <v>117.09</v>
      </c>
      <c r="H182" s="11">
        <v>175.99</v>
      </c>
      <c r="I182" s="5">
        <f>E182+F182+G182+H182+D182</f>
        <v>3054.01</v>
      </c>
      <c r="J182" s="103">
        <v>11.41</v>
      </c>
      <c r="K182" s="5">
        <f t="shared" si="93"/>
        <v>3065.42</v>
      </c>
      <c r="L182" s="5">
        <f t="shared" si="105"/>
        <v>91.96</v>
      </c>
      <c r="M182" s="15">
        <f t="shared" si="106"/>
        <v>3157.38</v>
      </c>
      <c r="N182" s="15">
        <f t="shared" si="107"/>
        <v>631.48</v>
      </c>
      <c r="O182" s="100">
        <f t="shared" si="108"/>
        <v>3788.86</v>
      </c>
      <c r="P182" s="15">
        <f t="shared" si="116"/>
        <v>63.15</v>
      </c>
      <c r="Q182" s="101">
        <f>73+2</f>
        <v>75</v>
      </c>
      <c r="R182" s="102">
        <f t="shared" si="115"/>
        <v>2.5299999999999998</v>
      </c>
      <c r="S182" s="48">
        <f>ROUND(469.47/Q182,2)</f>
        <v>6.26</v>
      </c>
    </row>
    <row r="183" spans="1:19" ht="15" customHeight="1" x14ac:dyDescent="0.25">
      <c r="A183" s="220">
        <v>140</v>
      </c>
      <c r="B183" s="215" t="s">
        <v>786</v>
      </c>
      <c r="C183" s="27" t="s">
        <v>12</v>
      </c>
      <c r="D183" s="190">
        <f>2210.63+2427.87</f>
        <v>4638.5</v>
      </c>
      <c r="E183" s="222">
        <f>18.08+21</f>
        <v>39.08</v>
      </c>
      <c r="F183" s="222">
        <f>532.22+580.3</f>
        <v>1112.52</v>
      </c>
      <c r="G183" s="190">
        <f>117.09+127.67</f>
        <v>244.76</v>
      </c>
      <c r="H183" s="167">
        <f>175.99+195.01</f>
        <v>371</v>
      </c>
      <c r="I183" s="169">
        <f>E183+F183+G183+H183+D183</f>
        <v>6405.86</v>
      </c>
      <c r="J183" s="167">
        <f>11.41+12.67</f>
        <v>24.08</v>
      </c>
      <c r="K183" s="169">
        <f t="shared" si="93"/>
        <v>6429.94</v>
      </c>
      <c r="L183" s="169">
        <f t="shared" si="105"/>
        <v>192.9</v>
      </c>
      <c r="M183" s="169">
        <f t="shared" si="106"/>
        <v>6622.8399999999992</v>
      </c>
      <c r="N183" s="173">
        <f t="shared" si="107"/>
        <v>1324.57</v>
      </c>
      <c r="O183" s="185">
        <f t="shared" si="108"/>
        <v>7947.4099999999989</v>
      </c>
      <c r="P183" s="83">
        <f>ROUND(O183/5/12,2)</f>
        <v>132.46</v>
      </c>
      <c r="Q183" s="180">
        <f>144+72</f>
        <v>216</v>
      </c>
      <c r="R183" s="182">
        <f t="shared" si="115"/>
        <v>1.84</v>
      </c>
      <c r="S183" s="166">
        <f>ROUND((441.63+451.2)/Q183,2)</f>
        <v>4.13</v>
      </c>
    </row>
    <row r="184" spans="1:19" ht="15" customHeight="1" x14ac:dyDescent="0.25">
      <c r="A184" s="221"/>
      <c r="B184" s="216"/>
      <c r="C184" s="28" t="s">
        <v>16</v>
      </c>
      <c r="D184" s="177"/>
      <c r="E184" s="197"/>
      <c r="F184" s="197"/>
      <c r="G184" s="199"/>
      <c r="H184" s="168">
        <f>ROUND((E184+F184+G184)*11.7%,2)</f>
        <v>0</v>
      </c>
      <c r="I184" s="170">
        <f t="shared" ref="I184" si="117">E184+F184+G184+H184</f>
        <v>0</v>
      </c>
      <c r="J184" s="168">
        <f t="shared" ref="J184" si="118">ROUND(I184*11.6%,2)</f>
        <v>0</v>
      </c>
      <c r="K184" s="170">
        <f t="shared" si="93"/>
        <v>0</v>
      </c>
      <c r="L184" s="170">
        <f t="shared" si="105"/>
        <v>0</v>
      </c>
      <c r="M184" s="170">
        <f t="shared" si="106"/>
        <v>0</v>
      </c>
      <c r="N184" s="174">
        <f t="shared" si="107"/>
        <v>0</v>
      </c>
      <c r="O184" s="186">
        <f t="shared" si="108"/>
        <v>0</v>
      </c>
      <c r="P184" s="84"/>
      <c r="Q184" s="181"/>
      <c r="R184" s="183" t="e">
        <f t="shared" si="115"/>
        <v>#DIV/0!</v>
      </c>
      <c r="S184" s="166" t="e">
        <f t="shared" si="111"/>
        <v>#DIV/0!</v>
      </c>
    </row>
    <row r="185" spans="1:19" ht="15.75" customHeight="1" x14ac:dyDescent="0.25">
      <c r="A185" s="220">
        <v>141</v>
      </c>
      <c r="B185" s="215" t="s">
        <v>787</v>
      </c>
      <c r="C185" s="27" t="s">
        <v>14</v>
      </c>
      <c r="D185" s="175">
        <f>2210.63*2</f>
        <v>4421.26</v>
      </c>
      <c r="E185" s="195">
        <f>18.08*2</f>
        <v>36.159999999999997</v>
      </c>
      <c r="F185" s="195">
        <f>532.22*2</f>
        <v>1064.44</v>
      </c>
      <c r="G185" s="195">
        <f>117.09*2</f>
        <v>234.18</v>
      </c>
      <c r="H185" s="167">
        <f>175.99*2</f>
        <v>351.98</v>
      </c>
      <c r="I185" s="169">
        <f t="shared" ref="I185" si="119">E185+F185+G185+H185+D185</f>
        <v>6108.02</v>
      </c>
      <c r="J185" s="167">
        <f>11.41*2</f>
        <v>22.82</v>
      </c>
      <c r="K185" s="169">
        <f t="shared" si="93"/>
        <v>6130.84</v>
      </c>
      <c r="L185" s="169">
        <f t="shared" si="105"/>
        <v>183.93</v>
      </c>
      <c r="M185" s="169">
        <f t="shared" si="106"/>
        <v>6314.77</v>
      </c>
      <c r="N185" s="173">
        <f t="shared" si="107"/>
        <v>1262.95</v>
      </c>
      <c r="O185" s="185">
        <f t="shared" si="108"/>
        <v>7577.72</v>
      </c>
      <c r="P185" s="83">
        <f>ROUND(O185/5/12,2)</f>
        <v>126.3</v>
      </c>
      <c r="Q185" s="180">
        <f>59+59+2</f>
        <v>120</v>
      </c>
      <c r="R185" s="182">
        <f t="shared" si="115"/>
        <v>3.16</v>
      </c>
      <c r="S185" s="166">
        <f>ROUND(441.63*2/Q185,2)</f>
        <v>7.36</v>
      </c>
    </row>
    <row r="186" spans="1:19" ht="15.75" customHeight="1" x14ac:dyDescent="0.25">
      <c r="A186" s="221"/>
      <c r="B186" s="216"/>
      <c r="C186" s="25" t="s">
        <v>14</v>
      </c>
      <c r="D186" s="177"/>
      <c r="E186" s="197"/>
      <c r="F186" s="197"/>
      <c r="G186" s="197"/>
      <c r="H186" s="168">
        <f>ROUND((E186+F186+G186)*11.7%,2)</f>
        <v>0</v>
      </c>
      <c r="I186" s="170">
        <f t="shared" ref="I186" si="120">E186+F186+G186+H186</f>
        <v>0</v>
      </c>
      <c r="J186" s="168">
        <f t="shared" ref="J186" si="121">ROUND(I186*11.6%,2)</f>
        <v>0</v>
      </c>
      <c r="K186" s="170">
        <f t="shared" si="93"/>
        <v>0</v>
      </c>
      <c r="L186" s="170">
        <f t="shared" si="105"/>
        <v>0</v>
      </c>
      <c r="M186" s="170">
        <f t="shared" si="106"/>
        <v>0</v>
      </c>
      <c r="N186" s="174">
        <f t="shared" si="107"/>
        <v>0</v>
      </c>
      <c r="O186" s="186">
        <f t="shared" si="108"/>
        <v>0</v>
      </c>
      <c r="P186" s="84"/>
      <c r="Q186" s="181"/>
      <c r="R186" s="183" t="e">
        <f t="shared" si="115"/>
        <v>#DIV/0!</v>
      </c>
      <c r="S186" s="166"/>
    </row>
    <row r="187" spans="1:19" ht="15.75" x14ac:dyDescent="0.25">
      <c r="A187" s="87">
        <v>142</v>
      </c>
      <c r="B187" s="107" t="s">
        <v>133</v>
      </c>
      <c r="C187" s="26" t="s">
        <v>24</v>
      </c>
      <c r="D187" s="103">
        <v>1962.25</v>
      </c>
      <c r="E187" s="103">
        <v>18.079999999999998</v>
      </c>
      <c r="F187" s="103">
        <v>532.22</v>
      </c>
      <c r="G187" s="103">
        <v>117.09</v>
      </c>
      <c r="H187" s="11">
        <v>175.99</v>
      </c>
      <c r="I187" s="5">
        <f>E187+F187+G187+H187+D187</f>
        <v>2805.63</v>
      </c>
      <c r="J187" s="103">
        <v>11.41</v>
      </c>
      <c r="K187" s="5">
        <f t="shared" si="93"/>
        <v>2817.04</v>
      </c>
      <c r="L187" s="5">
        <f t="shared" si="105"/>
        <v>84.51</v>
      </c>
      <c r="M187" s="15">
        <f t="shared" si="106"/>
        <v>2901.55</v>
      </c>
      <c r="N187" s="15">
        <f t="shared" si="107"/>
        <v>580.30999999999995</v>
      </c>
      <c r="O187" s="100">
        <f t="shared" si="108"/>
        <v>3481.86</v>
      </c>
      <c r="P187" s="15">
        <f t="shared" ref="P187:P191" si="122">ROUND(O187/5/12,2)</f>
        <v>58.03</v>
      </c>
      <c r="Q187" s="101">
        <v>46</v>
      </c>
      <c r="R187" s="102">
        <f t="shared" si="115"/>
        <v>3.78</v>
      </c>
      <c r="S187" s="104">
        <f t="shared" ref="S187" si="123">ROUND(441.63/Q187,2)</f>
        <v>9.6</v>
      </c>
    </row>
    <row r="188" spans="1:19" ht="15.75" x14ac:dyDescent="0.25">
      <c r="A188" s="87">
        <v>143</v>
      </c>
      <c r="B188" s="107" t="s">
        <v>134</v>
      </c>
      <c r="C188" s="26" t="s">
        <v>16</v>
      </c>
      <c r="D188" s="103">
        <v>2210.63</v>
      </c>
      <c r="E188" s="103">
        <v>18.079999999999998</v>
      </c>
      <c r="F188" s="103">
        <v>532.22</v>
      </c>
      <c r="G188" s="103">
        <v>117.09</v>
      </c>
      <c r="H188" s="11">
        <v>175.99</v>
      </c>
      <c r="I188" s="5">
        <f>E188+F188+G188+H188+D188</f>
        <v>3054.01</v>
      </c>
      <c r="J188" s="103">
        <v>11.41</v>
      </c>
      <c r="K188" s="5">
        <f t="shared" si="93"/>
        <v>3065.42</v>
      </c>
      <c r="L188" s="5">
        <f t="shared" si="105"/>
        <v>91.96</v>
      </c>
      <c r="M188" s="15">
        <f t="shared" si="106"/>
        <v>3157.38</v>
      </c>
      <c r="N188" s="15">
        <f t="shared" si="107"/>
        <v>631.48</v>
      </c>
      <c r="O188" s="100">
        <f t="shared" si="108"/>
        <v>3788.86</v>
      </c>
      <c r="P188" s="15">
        <f t="shared" si="122"/>
        <v>63.15</v>
      </c>
      <c r="Q188" s="101">
        <v>81</v>
      </c>
      <c r="R188" s="102">
        <f t="shared" si="115"/>
        <v>2.34</v>
      </c>
      <c r="S188" s="104">
        <f>ROUND(441.63/Q188,2)</f>
        <v>5.45</v>
      </c>
    </row>
    <row r="189" spans="1:19" ht="15.75" x14ac:dyDescent="0.25">
      <c r="A189" s="87">
        <v>144</v>
      </c>
      <c r="B189" s="107" t="s">
        <v>135</v>
      </c>
      <c r="C189" s="31" t="s">
        <v>136</v>
      </c>
      <c r="D189" s="103">
        <v>2427.87</v>
      </c>
      <c r="E189" s="103">
        <v>21</v>
      </c>
      <c r="F189" s="103">
        <v>580.29999999999995</v>
      </c>
      <c r="G189" s="103">
        <v>127.67</v>
      </c>
      <c r="H189" s="11">
        <v>195.01</v>
      </c>
      <c r="I189" s="5">
        <f>E189+F189+G189+H189+D189</f>
        <v>3351.85</v>
      </c>
      <c r="J189" s="103">
        <v>12.67</v>
      </c>
      <c r="K189" s="5">
        <f t="shared" si="93"/>
        <v>3364.52</v>
      </c>
      <c r="L189" s="5">
        <f t="shared" si="105"/>
        <v>100.94</v>
      </c>
      <c r="M189" s="15">
        <f t="shared" si="106"/>
        <v>3465.46</v>
      </c>
      <c r="N189" s="15">
        <f t="shared" si="107"/>
        <v>693.09</v>
      </c>
      <c r="O189" s="100">
        <f t="shared" si="108"/>
        <v>4158.55</v>
      </c>
      <c r="P189" s="15">
        <f t="shared" si="122"/>
        <v>69.31</v>
      </c>
      <c r="Q189" s="101">
        <f>137+3</f>
        <v>140</v>
      </c>
      <c r="R189" s="102">
        <f t="shared" si="115"/>
        <v>1.49</v>
      </c>
      <c r="S189" s="104">
        <f>ROUND(482.49/Q189,2)</f>
        <v>3.45</v>
      </c>
    </row>
    <row r="190" spans="1:19" ht="15.75" x14ac:dyDescent="0.25">
      <c r="A190" s="87">
        <v>145</v>
      </c>
      <c r="B190" s="107" t="s">
        <v>137</v>
      </c>
      <c r="C190" s="27" t="s">
        <v>14</v>
      </c>
      <c r="D190" s="103">
        <v>2210.63</v>
      </c>
      <c r="E190" s="103">
        <v>18.079999999999998</v>
      </c>
      <c r="F190" s="103">
        <v>532.22</v>
      </c>
      <c r="G190" s="103">
        <v>117.09</v>
      </c>
      <c r="H190" s="11">
        <v>175.99</v>
      </c>
      <c r="I190" s="5">
        <f>E190+F190+G190+H190+D190</f>
        <v>3054.01</v>
      </c>
      <c r="J190" s="103">
        <v>11.41</v>
      </c>
      <c r="K190" s="5">
        <f t="shared" si="93"/>
        <v>3065.42</v>
      </c>
      <c r="L190" s="5">
        <f t="shared" si="105"/>
        <v>91.96</v>
      </c>
      <c r="M190" s="15">
        <f t="shared" si="106"/>
        <v>3157.38</v>
      </c>
      <c r="N190" s="15">
        <f t="shared" si="107"/>
        <v>631.48</v>
      </c>
      <c r="O190" s="100">
        <f t="shared" si="108"/>
        <v>3788.86</v>
      </c>
      <c r="P190" s="15">
        <f t="shared" si="122"/>
        <v>63.15</v>
      </c>
      <c r="Q190" s="101">
        <v>82</v>
      </c>
      <c r="R190" s="102">
        <f t="shared" si="115"/>
        <v>2.31</v>
      </c>
      <c r="S190" s="104">
        <f t="shared" ref="S190" si="124">ROUND(441.63/Q190,2)</f>
        <v>5.39</v>
      </c>
    </row>
    <row r="191" spans="1:19" ht="15.75" x14ac:dyDescent="0.25">
      <c r="A191" s="87">
        <v>146</v>
      </c>
      <c r="B191" s="107" t="s">
        <v>138</v>
      </c>
      <c r="C191" s="26" t="s">
        <v>49</v>
      </c>
      <c r="D191" s="103">
        <v>1962.25</v>
      </c>
      <c r="E191" s="103">
        <v>18.079999999999998</v>
      </c>
      <c r="F191" s="103">
        <v>532.22</v>
      </c>
      <c r="G191" s="103">
        <v>117.09</v>
      </c>
      <c r="H191" s="11">
        <v>175.99</v>
      </c>
      <c r="I191" s="5">
        <f>E191+F191+G191+H191+D191</f>
        <v>2805.63</v>
      </c>
      <c r="J191" s="103">
        <v>11.41</v>
      </c>
      <c r="K191" s="5">
        <f t="shared" si="93"/>
        <v>2817.04</v>
      </c>
      <c r="L191" s="5">
        <f t="shared" si="105"/>
        <v>84.51</v>
      </c>
      <c r="M191" s="15">
        <f t="shared" si="106"/>
        <v>2901.55</v>
      </c>
      <c r="N191" s="15">
        <f t="shared" si="107"/>
        <v>580.30999999999995</v>
      </c>
      <c r="O191" s="100">
        <f t="shared" si="108"/>
        <v>3481.86</v>
      </c>
      <c r="P191" s="15">
        <f t="shared" si="122"/>
        <v>58.03</v>
      </c>
      <c r="Q191" s="101">
        <f>16+2</f>
        <v>18</v>
      </c>
      <c r="R191" s="102">
        <f t="shared" si="115"/>
        <v>9.67</v>
      </c>
      <c r="S191" s="104">
        <f>ROUND(441.63/Q191,2)</f>
        <v>24.54</v>
      </c>
    </row>
    <row r="192" spans="1:19" ht="15.75" customHeight="1" x14ac:dyDescent="0.25">
      <c r="A192" s="220">
        <v>147</v>
      </c>
      <c r="B192" s="215" t="s">
        <v>788</v>
      </c>
      <c r="C192" s="27" t="s">
        <v>60</v>
      </c>
      <c r="D192" s="175">
        <f>1475.88+2427.87*2</f>
        <v>6331.62</v>
      </c>
      <c r="E192" s="195">
        <f>18.08+21*2</f>
        <v>60.08</v>
      </c>
      <c r="F192" s="195">
        <f>532.22+580.3*2</f>
        <v>1692.82</v>
      </c>
      <c r="G192" s="195">
        <f>117.09+127.67*2</f>
        <v>372.43</v>
      </c>
      <c r="H192" s="167">
        <f>175.99+195.01*2</f>
        <v>566.01</v>
      </c>
      <c r="I192" s="169">
        <f t="shared" ref="I192" si="125">E192+F192+G192+H192+D192</f>
        <v>9022.9599999999991</v>
      </c>
      <c r="J192" s="167">
        <f>11.41+12.67*2</f>
        <v>36.75</v>
      </c>
      <c r="K192" s="169">
        <f t="shared" si="93"/>
        <v>9059.7099999999991</v>
      </c>
      <c r="L192" s="169">
        <f t="shared" si="105"/>
        <v>271.79000000000002</v>
      </c>
      <c r="M192" s="173">
        <f t="shared" si="106"/>
        <v>9331.5</v>
      </c>
      <c r="N192" s="173">
        <f t="shared" si="107"/>
        <v>1866.3</v>
      </c>
      <c r="O192" s="178">
        <f t="shared" si="108"/>
        <v>11197.8</v>
      </c>
      <c r="P192" s="73">
        <f>ROUND(O192/5/12,2)</f>
        <v>186.63</v>
      </c>
      <c r="Q192" s="180">
        <f>214+3</f>
        <v>217</v>
      </c>
      <c r="R192" s="182">
        <f t="shared" si="115"/>
        <v>2.58</v>
      </c>
      <c r="S192" s="166">
        <f>ROUND((441.63+451.2*2)/Q192,2)</f>
        <v>6.19</v>
      </c>
    </row>
    <row r="193" spans="1:19" ht="15.75" customHeight="1" x14ac:dyDescent="0.25">
      <c r="A193" s="223"/>
      <c r="B193" s="218"/>
      <c r="C193" s="29" t="s">
        <v>60</v>
      </c>
      <c r="D193" s="176"/>
      <c r="E193" s="196"/>
      <c r="F193" s="196"/>
      <c r="G193" s="196"/>
      <c r="H193" s="171">
        <f>ROUND((E193+F193+G193)*11.7%,2)</f>
        <v>0</v>
      </c>
      <c r="I193" s="172">
        <f t="shared" si="109"/>
        <v>0</v>
      </c>
      <c r="J193" s="171">
        <f t="shared" si="110"/>
        <v>0</v>
      </c>
      <c r="K193" s="172">
        <f t="shared" si="93"/>
        <v>0</v>
      </c>
      <c r="L193" s="172">
        <f t="shared" si="105"/>
        <v>0</v>
      </c>
      <c r="M193" s="191">
        <f t="shared" si="106"/>
        <v>0</v>
      </c>
      <c r="N193" s="191">
        <f t="shared" si="107"/>
        <v>0</v>
      </c>
      <c r="O193" s="187">
        <f t="shared" si="108"/>
        <v>0</v>
      </c>
      <c r="P193" s="74"/>
      <c r="Q193" s="188"/>
      <c r="R193" s="189" t="e">
        <f t="shared" si="115"/>
        <v>#DIV/0!</v>
      </c>
      <c r="S193" s="166" t="e">
        <f t="shared" si="111"/>
        <v>#DIV/0!</v>
      </c>
    </row>
    <row r="194" spans="1:19" ht="15.75" customHeight="1" x14ac:dyDescent="0.25">
      <c r="A194" s="221"/>
      <c r="B194" s="216"/>
      <c r="C194" s="25" t="s">
        <v>20</v>
      </c>
      <c r="D194" s="177"/>
      <c r="E194" s="197"/>
      <c r="F194" s="197"/>
      <c r="G194" s="197"/>
      <c r="H194" s="168">
        <f>ROUND((E194+F194+G194)*11.7%,2)</f>
        <v>0</v>
      </c>
      <c r="I194" s="170">
        <f t="shared" si="109"/>
        <v>0</v>
      </c>
      <c r="J194" s="168">
        <f t="shared" si="110"/>
        <v>0</v>
      </c>
      <c r="K194" s="170">
        <f t="shared" si="93"/>
        <v>0</v>
      </c>
      <c r="L194" s="170">
        <f t="shared" si="105"/>
        <v>0</v>
      </c>
      <c r="M194" s="174">
        <f t="shared" si="106"/>
        <v>0</v>
      </c>
      <c r="N194" s="174">
        <f t="shared" si="107"/>
        <v>0</v>
      </c>
      <c r="O194" s="179">
        <f t="shared" si="108"/>
        <v>0</v>
      </c>
      <c r="P194" s="75"/>
      <c r="Q194" s="181"/>
      <c r="R194" s="183" t="e">
        <f t="shared" si="115"/>
        <v>#DIV/0!</v>
      </c>
      <c r="S194" s="166" t="e">
        <f t="shared" si="111"/>
        <v>#DIV/0!</v>
      </c>
    </row>
    <row r="195" spans="1:19" ht="15.75" x14ac:dyDescent="0.25">
      <c r="A195" s="87">
        <v>148</v>
      </c>
      <c r="B195" s="107" t="s">
        <v>139</v>
      </c>
      <c r="C195" s="26" t="s">
        <v>19</v>
      </c>
      <c r="D195" s="103">
        <v>1962.25</v>
      </c>
      <c r="E195" s="103">
        <v>18.079999999999998</v>
      </c>
      <c r="F195" s="103">
        <v>532.22</v>
      </c>
      <c r="G195" s="103">
        <v>117.09</v>
      </c>
      <c r="H195" s="11">
        <v>175.99</v>
      </c>
      <c r="I195" s="5">
        <f>E195+F195+G195+H195+D195</f>
        <v>2805.63</v>
      </c>
      <c r="J195" s="103">
        <v>11.41</v>
      </c>
      <c r="K195" s="5">
        <f t="shared" si="93"/>
        <v>2817.04</v>
      </c>
      <c r="L195" s="5">
        <f t="shared" si="105"/>
        <v>84.51</v>
      </c>
      <c r="M195" s="15">
        <f t="shared" si="106"/>
        <v>2901.55</v>
      </c>
      <c r="N195" s="15">
        <f t="shared" si="107"/>
        <v>580.30999999999995</v>
      </c>
      <c r="O195" s="100">
        <f t="shared" si="108"/>
        <v>3481.86</v>
      </c>
      <c r="P195" s="15">
        <f t="shared" ref="P195:P207" si="126">ROUND(O195/5/12,2)</f>
        <v>58.03</v>
      </c>
      <c r="Q195" s="101">
        <v>41</v>
      </c>
      <c r="R195" s="102">
        <f t="shared" si="115"/>
        <v>4.25</v>
      </c>
      <c r="S195" s="104">
        <f>ROUND(441.63/Q195,2)</f>
        <v>10.77</v>
      </c>
    </row>
    <row r="196" spans="1:19" ht="15.75" x14ac:dyDescent="0.25">
      <c r="A196" s="87">
        <v>149</v>
      </c>
      <c r="B196" s="107" t="s">
        <v>140</v>
      </c>
      <c r="C196" s="26" t="s">
        <v>141</v>
      </c>
      <c r="D196" s="103">
        <v>2639</v>
      </c>
      <c r="E196" s="3">
        <v>21</v>
      </c>
      <c r="F196" s="3">
        <v>580.29999999999995</v>
      </c>
      <c r="G196" s="3">
        <v>127.67</v>
      </c>
      <c r="H196" s="11">
        <v>195.01</v>
      </c>
      <c r="I196" s="5">
        <f>E196+F196+G196+H196+D196</f>
        <v>3562.98</v>
      </c>
      <c r="J196" s="103">
        <v>12.67</v>
      </c>
      <c r="K196" s="5">
        <f t="shared" si="93"/>
        <v>3575.65</v>
      </c>
      <c r="L196" s="5">
        <f t="shared" si="105"/>
        <v>107.27</v>
      </c>
      <c r="M196" s="15">
        <f t="shared" si="106"/>
        <v>3682.92</v>
      </c>
      <c r="N196" s="15">
        <f t="shared" si="107"/>
        <v>736.58</v>
      </c>
      <c r="O196" s="100">
        <f t="shared" si="108"/>
        <v>4419.5</v>
      </c>
      <c r="P196" s="15">
        <f t="shared" si="126"/>
        <v>73.66</v>
      </c>
      <c r="Q196" s="101">
        <f>178+2</f>
        <v>180</v>
      </c>
      <c r="R196" s="102">
        <f t="shared" si="115"/>
        <v>1.23</v>
      </c>
      <c r="S196" s="104">
        <f>ROUND(452.88/Q196,2)</f>
        <v>2.52</v>
      </c>
    </row>
    <row r="197" spans="1:19" ht="15.75" x14ac:dyDescent="0.25">
      <c r="A197" s="87">
        <v>150</v>
      </c>
      <c r="B197" s="107" t="s">
        <v>142</v>
      </c>
      <c r="C197" s="26" t="s">
        <v>18</v>
      </c>
      <c r="D197" s="103">
        <v>1475.88</v>
      </c>
      <c r="E197" s="103">
        <v>18.079999999999998</v>
      </c>
      <c r="F197" s="103">
        <v>532.22</v>
      </c>
      <c r="G197" s="103">
        <v>117.09</v>
      </c>
      <c r="H197" s="11">
        <v>175.99</v>
      </c>
      <c r="I197" s="5">
        <f t="shared" ref="I197:I198" si="127">E197+F197+G197+H197+D197</f>
        <v>2319.2600000000002</v>
      </c>
      <c r="J197" s="103">
        <v>11.41</v>
      </c>
      <c r="K197" s="5">
        <f t="shared" si="93"/>
        <v>2330.67</v>
      </c>
      <c r="L197" s="5">
        <f t="shared" si="105"/>
        <v>69.92</v>
      </c>
      <c r="M197" s="15">
        <f t="shared" si="106"/>
        <v>2400.59</v>
      </c>
      <c r="N197" s="15">
        <f t="shared" si="107"/>
        <v>480.12</v>
      </c>
      <c r="O197" s="100">
        <f t="shared" si="108"/>
        <v>2880.71</v>
      </c>
      <c r="P197" s="15">
        <f t="shared" si="126"/>
        <v>48.01</v>
      </c>
      <c r="Q197" s="101">
        <v>8</v>
      </c>
      <c r="R197" s="102">
        <f t="shared" si="115"/>
        <v>18</v>
      </c>
      <c r="S197" s="104">
        <f t="shared" ref="S197:S202" si="128">ROUND(441.63/Q197,2)</f>
        <v>55.2</v>
      </c>
    </row>
    <row r="198" spans="1:19" ht="15.75" x14ac:dyDescent="0.25">
      <c r="A198" s="87">
        <v>151</v>
      </c>
      <c r="B198" s="107" t="s">
        <v>143</v>
      </c>
      <c r="C198" s="26" t="s">
        <v>18</v>
      </c>
      <c r="D198" s="103">
        <v>1475.88</v>
      </c>
      <c r="E198" s="103">
        <v>18.079999999999998</v>
      </c>
      <c r="F198" s="103">
        <v>532.22</v>
      </c>
      <c r="G198" s="103">
        <v>117.09</v>
      </c>
      <c r="H198" s="11">
        <v>175.99</v>
      </c>
      <c r="I198" s="5">
        <f t="shared" si="127"/>
        <v>2319.2600000000002</v>
      </c>
      <c r="J198" s="103">
        <v>11.41</v>
      </c>
      <c r="K198" s="5">
        <f t="shared" si="93"/>
        <v>2330.67</v>
      </c>
      <c r="L198" s="5">
        <f t="shared" si="105"/>
        <v>69.92</v>
      </c>
      <c r="M198" s="15">
        <f t="shared" si="106"/>
        <v>2400.59</v>
      </c>
      <c r="N198" s="15">
        <f t="shared" si="107"/>
        <v>480.12</v>
      </c>
      <c r="O198" s="100">
        <f t="shared" si="108"/>
        <v>2880.71</v>
      </c>
      <c r="P198" s="15">
        <f t="shared" si="126"/>
        <v>48.01</v>
      </c>
      <c r="Q198" s="101">
        <v>12</v>
      </c>
      <c r="R198" s="102">
        <f t="shared" si="115"/>
        <v>12</v>
      </c>
      <c r="S198" s="104">
        <f t="shared" si="128"/>
        <v>36.799999999999997</v>
      </c>
    </row>
    <row r="199" spans="1:19" ht="15.75" x14ac:dyDescent="0.25">
      <c r="A199" s="87">
        <v>152</v>
      </c>
      <c r="B199" s="107" t="s">
        <v>144</v>
      </c>
      <c r="C199" s="26" t="s">
        <v>14</v>
      </c>
      <c r="D199" s="103">
        <v>2210.63</v>
      </c>
      <c r="E199" s="103">
        <v>18.079999999999998</v>
      </c>
      <c r="F199" s="103">
        <v>532.22</v>
      </c>
      <c r="G199" s="103">
        <v>117.09</v>
      </c>
      <c r="H199" s="11">
        <v>175.99</v>
      </c>
      <c r="I199" s="5">
        <f>E199+F199+G199+H199+D199</f>
        <v>3054.01</v>
      </c>
      <c r="J199" s="103">
        <v>11.41</v>
      </c>
      <c r="K199" s="5">
        <f t="shared" si="93"/>
        <v>3065.42</v>
      </c>
      <c r="L199" s="5">
        <f t="shared" si="105"/>
        <v>91.96</v>
      </c>
      <c r="M199" s="15">
        <f t="shared" si="106"/>
        <v>3157.38</v>
      </c>
      <c r="N199" s="15">
        <f t="shared" si="107"/>
        <v>631.48</v>
      </c>
      <c r="O199" s="100">
        <f t="shared" si="108"/>
        <v>3788.86</v>
      </c>
      <c r="P199" s="15">
        <f t="shared" si="126"/>
        <v>63.15</v>
      </c>
      <c r="Q199" s="101">
        <f>77+1</f>
        <v>78</v>
      </c>
      <c r="R199" s="102">
        <f t="shared" si="115"/>
        <v>2.4300000000000002</v>
      </c>
      <c r="S199" s="104">
        <f t="shared" si="128"/>
        <v>5.66</v>
      </c>
    </row>
    <row r="200" spans="1:19" ht="15.75" x14ac:dyDescent="0.25">
      <c r="A200" s="87">
        <v>153</v>
      </c>
      <c r="B200" s="107" t="s">
        <v>145</v>
      </c>
      <c r="C200" s="26" t="s">
        <v>18</v>
      </c>
      <c r="D200" s="103">
        <v>1475.88</v>
      </c>
      <c r="E200" s="103">
        <v>18.079999999999998</v>
      </c>
      <c r="F200" s="103">
        <v>532.22</v>
      </c>
      <c r="G200" s="103">
        <v>117.09</v>
      </c>
      <c r="H200" s="11">
        <v>175.99</v>
      </c>
      <c r="I200" s="5">
        <f t="shared" ref="I200" si="129">E200+F200+G200+H200+D200</f>
        <v>2319.2600000000002</v>
      </c>
      <c r="J200" s="103">
        <v>11.41</v>
      </c>
      <c r="K200" s="5">
        <f t="shared" si="93"/>
        <v>2330.67</v>
      </c>
      <c r="L200" s="5">
        <f t="shared" si="105"/>
        <v>69.92</v>
      </c>
      <c r="M200" s="15">
        <f t="shared" si="106"/>
        <v>2400.59</v>
      </c>
      <c r="N200" s="15">
        <f t="shared" si="107"/>
        <v>480.12</v>
      </c>
      <c r="O200" s="100">
        <f t="shared" si="108"/>
        <v>2880.71</v>
      </c>
      <c r="P200" s="15">
        <f t="shared" si="126"/>
        <v>48.01</v>
      </c>
      <c r="Q200" s="101">
        <f>29+1</f>
        <v>30</v>
      </c>
      <c r="R200" s="102">
        <f t="shared" si="115"/>
        <v>4.8</v>
      </c>
      <c r="S200" s="104">
        <f t="shared" si="128"/>
        <v>14.72</v>
      </c>
    </row>
    <row r="201" spans="1:19" ht="18" customHeight="1" x14ac:dyDescent="0.25">
      <c r="A201" s="87">
        <v>154</v>
      </c>
      <c r="B201" s="107" t="s">
        <v>146</v>
      </c>
      <c r="C201" s="27" t="s">
        <v>147</v>
      </c>
      <c r="D201" s="103">
        <v>1962.25</v>
      </c>
      <c r="E201" s="103">
        <v>18.079999999999998</v>
      </c>
      <c r="F201" s="103">
        <v>532.22</v>
      </c>
      <c r="G201" s="103">
        <v>117.09</v>
      </c>
      <c r="H201" s="11">
        <v>175.99</v>
      </c>
      <c r="I201" s="5">
        <f t="shared" ref="I201:I208" si="130">E201+F201+G201+H201+D201</f>
        <v>2805.63</v>
      </c>
      <c r="J201" s="103">
        <v>11.41</v>
      </c>
      <c r="K201" s="5">
        <f t="shared" si="93"/>
        <v>2817.04</v>
      </c>
      <c r="L201" s="5">
        <f t="shared" si="105"/>
        <v>84.51</v>
      </c>
      <c r="M201" s="15">
        <f t="shared" si="106"/>
        <v>2901.55</v>
      </c>
      <c r="N201" s="15">
        <f t="shared" si="107"/>
        <v>580.30999999999995</v>
      </c>
      <c r="O201" s="100">
        <f t="shared" si="108"/>
        <v>3481.86</v>
      </c>
      <c r="P201" s="15">
        <f t="shared" si="126"/>
        <v>58.03</v>
      </c>
      <c r="Q201" s="101">
        <v>31</v>
      </c>
      <c r="R201" s="102">
        <f t="shared" si="115"/>
        <v>5.62</v>
      </c>
      <c r="S201" s="104">
        <f t="shared" si="128"/>
        <v>14.25</v>
      </c>
    </row>
    <row r="202" spans="1:19" ht="18" customHeight="1" x14ac:dyDescent="0.25">
      <c r="A202" s="87">
        <v>155</v>
      </c>
      <c r="B202" s="107" t="s">
        <v>148</v>
      </c>
      <c r="C202" s="26" t="s">
        <v>14</v>
      </c>
      <c r="D202" s="103">
        <v>2210.63</v>
      </c>
      <c r="E202" s="103">
        <v>18.079999999999998</v>
      </c>
      <c r="F202" s="103">
        <v>532.22</v>
      </c>
      <c r="G202" s="103">
        <v>117.09</v>
      </c>
      <c r="H202" s="11">
        <v>175.99</v>
      </c>
      <c r="I202" s="5">
        <f t="shared" si="130"/>
        <v>3054.01</v>
      </c>
      <c r="J202" s="103">
        <v>11.41</v>
      </c>
      <c r="K202" s="5">
        <f t="shared" ref="K202:K265" si="131">I202+J202</f>
        <v>3065.42</v>
      </c>
      <c r="L202" s="5">
        <f t="shared" si="105"/>
        <v>91.96</v>
      </c>
      <c r="M202" s="15">
        <f t="shared" si="106"/>
        <v>3157.38</v>
      </c>
      <c r="N202" s="15">
        <f t="shared" si="107"/>
        <v>631.48</v>
      </c>
      <c r="O202" s="100">
        <f t="shared" si="108"/>
        <v>3788.86</v>
      </c>
      <c r="P202" s="15">
        <f t="shared" si="126"/>
        <v>63.15</v>
      </c>
      <c r="Q202" s="101">
        <f>43+2</f>
        <v>45</v>
      </c>
      <c r="R202" s="102">
        <f t="shared" si="115"/>
        <v>4.21</v>
      </c>
      <c r="S202" s="104">
        <f t="shared" si="128"/>
        <v>9.81</v>
      </c>
    </row>
    <row r="203" spans="1:19" ht="18" customHeight="1" x14ac:dyDescent="0.25">
      <c r="A203" s="87">
        <v>156</v>
      </c>
      <c r="B203" s="107" t="s">
        <v>149</v>
      </c>
      <c r="C203" s="26" t="s">
        <v>49</v>
      </c>
      <c r="D203" s="103">
        <v>1962.25</v>
      </c>
      <c r="E203" s="103">
        <v>18.079999999999998</v>
      </c>
      <c r="F203" s="103">
        <v>532.22</v>
      </c>
      <c r="G203" s="103">
        <v>117.09</v>
      </c>
      <c r="H203" s="11">
        <v>175.99</v>
      </c>
      <c r="I203" s="5">
        <f t="shared" si="130"/>
        <v>2805.63</v>
      </c>
      <c r="J203" s="103">
        <v>11.41</v>
      </c>
      <c r="K203" s="5">
        <f t="shared" si="131"/>
        <v>2817.04</v>
      </c>
      <c r="L203" s="5">
        <f t="shared" si="105"/>
        <v>84.51</v>
      </c>
      <c r="M203" s="15">
        <f t="shared" si="106"/>
        <v>2901.55</v>
      </c>
      <c r="N203" s="15">
        <f t="shared" si="107"/>
        <v>580.30999999999995</v>
      </c>
      <c r="O203" s="100">
        <f t="shared" si="108"/>
        <v>3481.86</v>
      </c>
      <c r="P203" s="15">
        <f t="shared" si="126"/>
        <v>58.03</v>
      </c>
      <c r="Q203" s="101">
        <f>41+1</f>
        <v>42</v>
      </c>
      <c r="R203" s="102">
        <f t="shared" si="115"/>
        <v>4.1500000000000004</v>
      </c>
      <c r="S203" s="104">
        <f>ROUND(441.63/Q203,2)</f>
        <v>10.52</v>
      </c>
    </row>
    <row r="204" spans="1:19" ht="18" customHeight="1" x14ac:dyDescent="0.25">
      <c r="A204" s="87">
        <v>157</v>
      </c>
      <c r="B204" s="107" t="s">
        <v>150</v>
      </c>
      <c r="C204" s="26" t="s">
        <v>12</v>
      </c>
      <c r="D204" s="103">
        <v>2427.87</v>
      </c>
      <c r="E204" s="103">
        <v>21</v>
      </c>
      <c r="F204" s="103">
        <v>580.29999999999995</v>
      </c>
      <c r="G204" s="103">
        <v>127.67</v>
      </c>
      <c r="H204" s="11">
        <v>195.01</v>
      </c>
      <c r="I204" s="5">
        <f t="shared" si="130"/>
        <v>3351.85</v>
      </c>
      <c r="J204" s="103">
        <v>12.67</v>
      </c>
      <c r="K204" s="5">
        <f t="shared" si="131"/>
        <v>3364.52</v>
      </c>
      <c r="L204" s="5">
        <f t="shared" si="105"/>
        <v>100.94</v>
      </c>
      <c r="M204" s="15">
        <f t="shared" si="106"/>
        <v>3465.46</v>
      </c>
      <c r="N204" s="15">
        <f t="shared" si="107"/>
        <v>693.09</v>
      </c>
      <c r="O204" s="100">
        <f t="shared" si="108"/>
        <v>4158.55</v>
      </c>
      <c r="P204" s="15">
        <f t="shared" si="126"/>
        <v>69.31</v>
      </c>
      <c r="Q204" s="101">
        <f>99+1</f>
        <v>100</v>
      </c>
      <c r="R204" s="102">
        <f t="shared" si="115"/>
        <v>2.08</v>
      </c>
      <c r="S204" s="48">
        <f>ROUND(451.2/Q204,2)</f>
        <v>4.51</v>
      </c>
    </row>
    <row r="205" spans="1:19" ht="18" customHeight="1" x14ac:dyDescent="0.25">
      <c r="A205" s="87">
        <v>158</v>
      </c>
      <c r="B205" s="107" t="s">
        <v>151</v>
      </c>
      <c r="C205" s="26" t="s">
        <v>24</v>
      </c>
      <c r="D205" s="103">
        <v>1962.25</v>
      </c>
      <c r="E205" s="103">
        <v>18.079999999999998</v>
      </c>
      <c r="F205" s="103">
        <v>532.22</v>
      </c>
      <c r="G205" s="103">
        <v>117.09</v>
      </c>
      <c r="H205" s="11">
        <v>175.99</v>
      </c>
      <c r="I205" s="5">
        <f t="shared" si="130"/>
        <v>2805.63</v>
      </c>
      <c r="J205" s="103">
        <v>11.41</v>
      </c>
      <c r="K205" s="5">
        <f t="shared" si="131"/>
        <v>2817.04</v>
      </c>
      <c r="L205" s="5">
        <f t="shared" si="105"/>
        <v>84.51</v>
      </c>
      <c r="M205" s="15">
        <f t="shared" si="106"/>
        <v>2901.55</v>
      </c>
      <c r="N205" s="15">
        <f t="shared" si="107"/>
        <v>580.30999999999995</v>
      </c>
      <c r="O205" s="100">
        <f t="shared" si="108"/>
        <v>3481.86</v>
      </c>
      <c r="P205" s="15">
        <f t="shared" si="126"/>
        <v>58.03</v>
      </c>
      <c r="Q205" s="101">
        <v>35</v>
      </c>
      <c r="R205" s="102">
        <f t="shared" si="115"/>
        <v>4.97</v>
      </c>
      <c r="S205" s="104">
        <f t="shared" ref="S205:S206" si="132">ROUND(441.63/Q205,2)</f>
        <v>12.62</v>
      </c>
    </row>
    <row r="206" spans="1:19" ht="18" customHeight="1" x14ac:dyDescent="0.25">
      <c r="A206" s="87">
        <v>159</v>
      </c>
      <c r="B206" s="107" t="s">
        <v>152</v>
      </c>
      <c r="C206" s="26" t="s">
        <v>24</v>
      </c>
      <c r="D206" s="103">
        <v>1962.25</v>
      </c>
      <c r="E206" s="103">
        <v>18.079999999999998</v>
      </c>
      <c r="F206" s="103">
        <v>532.22</v>
      </c>
      <c r="G206" s="103">
        <v>117.09</v>
      </c>
      <c r="H206" s="11">
        <v>175.99</v>
      </c>
      <c r="I206" s="5">
        <f t="shared" si="130"/>
        <v>2805.63</v>
      </c>
      <c r="J206" s="103">
        <v>11.41</v>
      </c>
      <c r="K206" s="5">
        <f t="shared" si="131"/>
        <v>2817.04</v>
      </c>
      <c r="L206" s="5">
        <f t="shared" si="105"/>
        <v>84.51</v>
      </c>
      <c r="M206" s="15">
        <f t="shared" si="106"/>
        <v>2901.55</v>
      </c>
      <c r="N206" s="15">
        <f t="shared" si="107"/>
        <v>580.30999999999995</v>
      </c>
      <c r="O206" s="100">
        <f t="shared" si="108"/>
        <v>3481.86</v>
      </c>
      <c r="P206" s="15">
        <f t="shared" si="126"/>
        <v>58.03</v>
      </c>
      <c r="Q206" s="101">
        <f>53+2</f>
        <v>55</v>
      </c>
      <c r="R206" s="102">
        <f t="shared" si="115"/>
        <v>3.17</v>
      </c>
      <c r="S206" s="104">
        <f t="shared" si="132"/>
        <v>8.0299999999999994</v>
      </c>
    </row>
    <row r="207" spans="1:19" ht="18" customHeight="1" x14ac:dyDescent="0.25">
      <c r="A207" s="87">
        <v>160</v>
      </c>
      <c r="B207" s="107" t="s">
        <v>153</v>
      </c>
      <c r="C207" s="31" t="s">
        <v>154</v>
      </c>
      <c r="D207" s="103">
        <v>2427.87</v>
      </c>
      <c r="E207" s="103">
        <v>21</v>
      </c>
      <c r="F207" s="103">
        <v>580.29999999999995</v>
      </c>
      <c r="G207" s="103">
        <v>127.67</v>
      </c>
      <c r="H207" s="11">
        <v>195.01</v>
      </c>
      <c r="I207" s="5">
        <f t="shared" si="130"/>
        <v>3351.85</v>
      </c>
      <c r="J207" s="103">
        <v>12.67</v>
      </c>
      <c r="K207" s="5">
        <f t="shared" si="131"/>
        <v>3364.52</v>
      </c>
      <c r="L207" s="5">
        <f t="shared" si="105"/>
        <v>100.94</v>
      </c>
      <c r="M207" s="15">
        <f t="shared" si="106"/>
        <v>3465.46</v>
      </c>
      <c r="N207" s="15">
        <f t="shared" si="107"/>
        <v>693.09</v>
      </c>
      <c r="O207" s="100">
        <f t="shared" si="108"/>
        <v>4158.55</v>
      </c>
      <c r="P207" s="15">
        <f t="shared" si="126"/>
        <v>69.31</v>
      </c>
      <c r="Q207" s="101">
        <v>66</v>
      </c>
      <c r="R207" s="102">
        <f t="shared" si="115"/>
        <v>3.15</v>
      </c>
      <c r="S207" s="48">
        <f>ROUND(482.49/Q207,2)</f>
        <v>7.31</v>
      </c>
    </row>
    <row r="208" spans="1:19" ht="15.75" x14ac:dyDescent="0.25">
      <c r="A208" s="220">
        <v>161</v>
      </c>
      <c r="B208" s="215" t="s">
        <v>789</v>
      </c>
      <c r="C208" s="27" t="s">
        <v>49</v>
      </c>
      <c r="D208" s="175">
        <f>1962.25*8+3502.25</f>
        <v>19200.25</v>
      </c>
      <c r="E208" s="195">
        <f>18.08*8+21</f>
        <v>165.64</v>
      </c>
      <c r="F208" s="195">
        <f>532.22*8+546.46</f>
        <v>4804.22</v>
      </c>
      <c r="G208" s="195">
        <f>117.09*8+120.22</f>
        <v>1056.94</v>
      </c>
      <c r="H208" s="167">
        <f>175.99*8+184.09</f>
        <v>1592.01</v>
      </c>
      <c r="I208" s="169">
        <f t="shared" si="130"/>
        <v>26819.06</v>
      </c>
      <c r="J208" s="167">
        <f>11.41*8+12.03</f>
        <v>103.31</v>
      </c>
      <c r="K208" s="169">
        <f t="shared" si="131"/>
        <v>26922.370000000003</v>
      </c>
      <c r="L208" s="169">
        <f t="shared" si="105"/>
        <v>807.67</v>
      </c>
      <c r="M208" s="169">
        <f t="shared" si="106"/>
        <v>27730.04</v>
      </c>
      <c r="N208" s="173">
        <f t="shared" si="107"/>
        <v>5546.01</v>
      </c>
      <c r="O208" s="185">
        <f t="shared" si="108"/>
        <v>33276.050000000003</v>
      </c>
      <c r="P208" s="83">
        <f>ROUND(O208/5/12,2)</f>
        <v>554.6</v>
      </c>
      <c r="Q208" s="180">
        <f>36+35+36+36+36+36+36+35+3</f>
        <v>289</v>
      </c>
      <c r="R208" s="182">
        <f t="shared" si="115"/>
        <v>5.76</v>
      </c>
      <c r="S208" s="219">
        <f>ROUND((441.63*8+705.6)/Q208,2)</f>
        <v>14.67</v>
      </c>
    </row>
    <row r="209" spans="1:19" ht="15.75" customHeight="1" x14ac:dyDescent="0.25">
      <c r="A209" s="223"/>
      <c r="B209" s="218"/>
      <c r="C209" s="29" t="s">
        <v>49</v>
      </c>
      <c r="D209" s="176"/>
      <c r="E209" s="196"/>
      <c r="F209" s="196"/>
      <c r="G209" s="196"/>
      <c r="H209" s="171">
        <f t="shared" ref="H209:H216" si="133">ROUND((E209+F209+G209)*11.7%,2)</f>
        <v>0</v>
      </c>
      <c r="I209" s="172">
        <f t="shared" si="109"/>
        <v>0</v>
      </c>
      <c r="J209" s="171">
        <f t="shared" si="110"/>
        <v>0</v>
      </c>
      <c r="K209" s="172">
        <f t="shared" si="131"/>
        <v>0</v>
      </c>
      <c r="L209" s="172">
        <f t="shared" si="105"/>
        <v>0</v>
      </c>
      <c r="M209" s="172">
        <f t="shared" si="106"/>
        <v>0</v>
      </c>
      <c r="N209" s="191">
        <f t="shared" si="107"/>
        <v>0</v>
      </c>
      <c r="O209" s="198">
        <f t="shared" si="108"/>
        <v>0</v>
      </c>
      <c r="P209" s="89"/>
      <c r="Q209" s="188"/>
      <c r="R209" s="189" t="e">
        <f t="shared" si="115"/>
        <v>#DIV/0!</v>
      </c>
      <c r="S209" s="219" t="e">
        <f t="shared" ref="S209:S270" si="134">ROUND(512.79/Q209,2)</f>
        <v>#DIV/0!</v>
      </c>
    </row>
    <row r="210" spans="1:19" ht="15.75" customHeight="1" x14ac:dyDescent="0.25">
      <c r="A210" s="223"/>
      <c r="B210" s="218"/>
      <c r="C210" s="29" t="s">
        <v>49</v>
      </c>
      <c r="D210" s="176"/>
      <c r="E210" s="196"/>
      <c r="F210" s="196"/>
      <c r="G210" s="196"/>
      <c r="H210" s="171">
        <f t="shared" si="133"/>
        <v>0</v>
      </c>
      <c r="I210" s="172">
        <f t="shared" si="109"/>
        <v>0</v>
      </c>
      <c r="J210" s="171">
        <f t="shared" si="110"/>
        <v>0</v>
      </c>
      <c r="K210" s="172">
        <f t="shared" si="131"/>
        <v>0</v>
      </c>
      <c r="L210" s="172">
        <f t="shared" si="105"/>
        <v>0</v>
      </c>
      <c r="M210" s="172">
        <f t="shared" si="106"/>
        <v>0</v>
      </c>
      <c r="N210" s="191">
        <f t="shared" si="107"/>
        <v>0</v>
      </c>
      <c r="O210" s="198">
        <f t="shared" si="108"/>
        <v>0</v>
      </c>
      <c r="P210" s="89"/>
      <c r="Q210" s="188"/>
      <c r="R210" s="189" t="e">
        <f t="shared" si="115"/>
        <v>#DIV/0!</v>
      </c>
      <c r="S210" s="219" t="e">
        <f t="shared" si="134"/>
        <v>#DIV/0!</v>
      </c>
    </row>
    <row r="211" spans="1:19" ht="15.75" customHeight="1" x14ac:dyDescent="0.25">
      <c r="A211" s="223"/>
      <c r="B211" s="218"/>
      <c r="C211" s="29" t="s">
        <v>49</v>
      </c>
      <c r="D211" s="176"/>
      <c r="E211" s="196"/>
      <c r="F211" s="196"/>
      <c r="G211" s="196"/>
      <c r="H211" s="171">
        <f t="shared" si="133"/>
        <v>0</v>
      </c>
      <c r="I211" s="172">
        <f t="shared" si="109"/>
        <v>0</v>
      </c>
      <c r="J211" s="171">
        <f t="shared" si="110"/>
        <v>0</v>
      </c>
      <c r="K211" s="172">
        <f t="shared" si="131"/>
        <v>0</v>
      </c>
      <c r="L211" s="172">
        <f t="shared" si="105"/>
        <v>0</v>
      </c>
      <c r="M211" s="172">
        <f t="shared" si="106"/>
        <v>0</v>
      </c>
      <c r="N211" s="191">
        <f t="shared" si="107"/>
        <v>0</v>
      </c>
      <c r="O211" s="198">
        <f t="shared" si="108"/>
        <v>0</v>
      </c>
      <c r="P211" s="89"/>
      <c r="Q211" s="188"/>
      <c r="R211" s="189" t="e">
        <f t="shared" si="115"/>
        <v>#DIV/0!</v>
      </c>
      <c r="S211" s="219" t="e">
        <f t="shared" si="134"/>
        <v>#DIV/0!</v>
      </c>
    </row>
    <row r="212" spans="1:19" ht="15.75" customHeight="1" x14ac:dyDescent="0.25">
      <c r="A212" s="223"/>
      <c r="B212" s="218"/>
      <c r="C212" s="29" t="s">
        <v>49</v>
      </c>
      <c r="D212" s="176"/>
      <c r="E212" s="196"/>
      <c r="F212" s="196"/>
      <c r="G212" s="196"/>
      <c r="H212" s="171">
        <f t="shared" si="133"/>
        <v>0</v>
      </c>
      <c r="I212" s="172">
        <f t="shared" si="109"/>
        <v>0</v>
      </c>
      <c r="J212" s="171">
        <f t="shared" si="110"/>
        <v>0</v>
      </c>
      <c r="K212" s="172">
        <f t="shared" si="131"/>
        <v>0</v>
      </c>
      <c r="L212" s="172">
        <f t="shared" si="105"/>
        <v>0</v>
      </c>
      <c r="M212" s="172">
        <f t="shared" si="106"/>
        <v>0</v>
      </c>
      <c r="N212" s="191">
        <f t="shared" si="107"/>
        <v>0</v>
      </c>
      <c r="O212" s="198">
        <f t="shared" si="108"/>
        <v>0</v>
      </c>
      <c r="P212" s="89"/>
      <c r="Q212" s="188"/>
      <c r="R212" s="189" t="e">
        <f t="shared" si="115"/>
        <v>#DIV/0!</v>
      </c>
      <c r="S212" s="219" t="e">
        <f t="shared" si="134"/>
        <v>#DIV/0!</v>
      </c>
    </row>
    <row r="213" spans="1:19" ht="15.75" customHeight="1" x14ac:dyDescent="0.25">
      <c r="A213" s="223"/>
      <c r="B213" s="218"/>
      <c r="C213" s="29" t="s">
        <v>49</v>
      </c>
      <c r="D213" s="176"/>
      <c r="E213" s="196"/>
      <c r="F213" s="196"/>
      <c r="G213" s="196"/>
      <c r="H213" s="171">
        <f t="shared" si="133"/>
        <v>0</v>
      </c>
      <c r="I213" s="172">
        <f t="shared" si="109"/>
        <v>0</v>
      </c>
      <c r="J213" s="171">
        <f t="shared" si="110"/>
        <v>0</v>
      </c>
      <c r="K213" s="172">
        <f t="shared" si="131"/>
        <v>0</v>
      </c>
      <c r="L213" s="172">
        <f t="shared" si="105"/>
        <v>0</v>
      </c>
      <c r="M213" s="172">
        <f t="shared" si="106"/>
        <v>0</v>
      </c>
      <c r="N213" s="191">
        <f t="shared" si="107"/>
        <v>0</v>
      </c>
      <c r="O213" s="198">
        <f t="shared" si="108"/>
        <v>0</v>
      </c>
      <c r="P213" s="89"/>
      <c r="Q213" s="188"/>
      <c r="R213" s="189" t="e">
        <f t="shared" si="115"/>
        <v>#DIV/0!</v>
      </c>
      <c r="S213" s="219" t="e">
        <f t="shared" si="134"/>
        <v>#DIV/0!</v>
      </c>
    </row>
    <row r="214" spans="1:19" ht="15.75" customHeight="1" x14ac:dyDescent="0.25">
      <c r="A214" s="223"/>
      <c r="B214" s="218"/>
      <c r="C214" s="29" t="s">
        <v>49</v>
      </c>
      <c r="D214" s="176"/>
      <c r="E214" s="196"/>
      <c r="F214" s="196"/>
      <c r="G214" s="196"/>
      <c r="H214" s="171">
        <f t="shared" si="133"/>
        <v>0</v>
      </c>
      <c r="I214" s="172">
        <f t="shared" si="109"/>
        <v>0</v>
      </c>
      <c r="J214" s="171">
        <f t="shared" si="110"/>
        <v>0</v>
      </c>
      <c r="K214" s="172">
        <f t="shared" si="131"/>
        <v>0</v>
      </c>
      <c r="L214" s="172">
        <f t="shared" si="105"/>
        <v>0</v>
      </c>
      <c r="M214" s="172">
        <f t="shared" si="106"/>
        <v>0</v>
      </c>
      <c r="N214" s="191">
        <f t="shared" si="107"/>
        <v>0</v>
      </c>
      <c r="O214" s="198">
        <f t="shared" si="108"/>
        <v>0</v>
      </c>
      <c r="P214" s="89"/>
      <c r="Q214" s="188"/>
      <c r="R214" s="189" t="e">
        <f t="shared" si="115"/>
        <v>#DIV/0!</v>
      </c>
      <c r="S214" s="219" t="e">
        <f t="shared" si="134"/>
        <v>#DIV/0!</v>
      </c>
    </row>
    <row r="215" spans="1:19" ht="15.75" customHeight="1" x14ac:dyDescent="0.25">
      <c r="A215" s="223"/>
      <c r="B215" s="218"/>
      <c r="C215" s="29" t="s">
        <v>49</v>
      </c>
      <c r="D215" s="176"/>
      <c r="E215" s="196"/>
      <c r="F215" s="196"/>
      <c r="G215" s="196"/>
      <c r="H215" s="171">
        <f t="shared" si="133"/>
        <v>0</v>
      </c>
      <c r="I215" s="172">
        <f t="shared" si="109"/>
        <v>0</v>
      </c>
      <c r="J215" s="171">
        <f t="shared" si="110"/>
        <v>0</v>
      </c>
      <c r="K215" s="172">
        <f t="shared" si="131"/>
        <v>0</v>
      </c>
      <c r="L215" s="172">
        <f t="shared" si="105"/>
        <v>0</v>
      </c>
      <c r="M215" s="172">
        <f t="shared" si="106"/>
        <v>0</v>
      </c>
      <c r="N215" s="191">
        <f t="shared" si="107"/>
        <v>0</v>
      </c>
      <c r="O215" s="198">
        <f t="shared" si="108"/>
        <v>0</v>
      </c>
      <c r="P215" s="89"/>
      <c r="Q215" s="188"/>
      <c r="R215" s="189" t="e">
        <f t="shared" si="115"/>
        <v>#DIV/0!</v>
      </c>
      <c r="S215" s="219" t="e">
        <f t="shared" si="134"/>
        <v>#DIV/0!</v>
      </c>
    </row>
    <row r="216" spans="1:19" ht="15.75" customHeight="1" x14ac:dyDescent="0.25">
      <c r="A216" s="221"/>
      <c r="B216" s="216"/>
      <c r="C216" s="30" t="s">
        <v>155</v>
      </c>
      <c r="D216" s="177"/>
      <c r="E216" s="197"/>
      <c r="F216" s="197"/>
      <c r="G216" s="197"/>
      <c r="H216" s="168">
        <f t="shared" si="133"/>
        <v>0</v>
      </c>
      <c r="I216" s="170">
        <f t="shared" si="109"/>
        <v>0</v>
      </c>
      <c r="J216" s="168">
        <f t="shared" si="110"/>
        <v>0</v>
      </c>
      <c r="K216" s="170">
        <f t="shared" si="131"/>
        <v>0</v>
      </c>
      <c r="L216" s="170">
        <f t="shared" si="105"/>
        <v>0</v>
      </c>
      <c r="M216" s="170">
        <f t="shared" si="106"/>
        <v>0</v>
      </c>
      <c r="N216" s="174">
        <f t="shared" si="107"/>
        <v>0</v>
      </c>
      <c r="O216" s="186">
        <f t="shared" si="108"/>
        <v>0</v>
      </c>
      <c r="P216" s="84"/>
      <c r="Q216" s="181"/>
      <c r="R216" s="183" t="e">
        <f t="shared" si="115"/>
        <v>#DIV/0!</v>
      </c>
      <c r="S216" s="219" t="e">
        <f t="shared" si="134"/>
        <v>#DIV/0!</v>
      </c>
    </row>
    <row r="217" spans="1:19" ht="15.75" x14ac:dyDescent="0.25">
      <c r="A217" s="220">
        <v>162</v>
      </c>
      <c r="B217" s="215" t="s">
        <v>790</v>
      </c>
      <c r="C217" s="27" t="s">
        <v>15</v>
      </c>
      <c r="D217" s="175">
        <f>1962.25*6</f>
        <v>11773.5</v>
      </c>
      <c r="E217" s="190">
        <f>18.08*6</f>
        <v>108.47999999999999</v>
      </c>
      <c r="F217" s="190">
        <f>532.22*6</f>
        <v>3193.32</v>
      </c>
      <c r="G217" s="190">
        <f>117.09*6</f>
        <v>702.54</v>
      </c>
      <c r="H217" s="167">
        <f>175.99*6</f>
        <v>1055.94</v>
      </c>
      <c r="I217" s="169">
        <f>SUM(D217:H222)</f>
        <v>16833.78</v>
      </c>
      <c r="J217" s="167">
        <f>11.41*6</f>
        <v>68.460000000000008</v>
      </c>
      <c r="K217" s="169">
        <f t="shared" si="131"/>
        <v>16902.239999999998</v>
      </c>
      <c r="L217" s="169">
        <f t="shared" si="105"/>
        <v>507.07</v>
      </c>
      <c r="M217" s="173">
        <f t="shared" si="106"/>
        <v>17409.309999999998</v>
      </c>
      <c r="N217" s="173">
        <f t="shared" si="107"/>
        <v>3481.86</v>
      </c>
      <c r="O217" s="178">
        <f t="shared" si="108"/>
        <v>20891.169999999998</v>
      </c>
      <c r="P217" s="73">
        <f>ROUND(O217/5/12,2)</f>
        <v>348.19</v>
      </c>
      <c r="Q217" s="192">
        <f>36+36+35+53+53+53+5</f>
        <v>271</v>
      </c>
      <c r="R217" s="182">
        <f t="shared" si="115"/>
        <v>3.85</v>
      </c>
      <c r="S217" s="166">
        <f>ROUND(441.63*6/Q217,2)</f>
        <v>9.7799999999999994</v>
      </c>
    </row>
    <row r="218" spans="1:19" ht="15" customHeight="1" x14ac:dyDescent="0.25">
      <c r="A218" s="223"/>
      <c r="B218" s="218"/>
      <c r="C218" s="29" t="s">
        <v>49</v>
      </c>
      <c r="D218" s="176"/>
      <c r="E218" s="200"/>
      <c r="F218" s="200"/>
      <c r="G218" s="200"/>
      <c r="H218" s="171"/>
      <c r="I218" s="172"/>
      <c r="J218" s="171"/>
      <c r="K218" s="172">
        <f t="shared" si="131"/>
        <v>0</v>
      </c>
      <c r="L218" s="172">
        <f t="shared" si="105"/>
        <v>0</v>
      </c>
      <c r="M218" s="191">
        <f t="shared" si="106"/>
        <v>0</v>
      </c>
      <c r="N218" s="191">
        <f t="shared" si="107"/>
        <v>0</v>
      </c>
      <c r="O218" s="187">
        <f t="shared" si="108"/>
        <v>0</v>
      </c>
      <c r="P218" s="74"/>
      <c r="Q218" s="193"/>
      <c r="R218" s="189" t="e">
        <f t="shared" si="115"/>
        <v>#DIV/0!</v>
      </c>
      <c r="S218" s="166" t="e">
        <f t="shared" si="134"/>
        <v>#DIV/0!</v>
      </c>
    </row>
    <row r="219" spans="1:19" ht="15" customHeight="1" x14ac:dyDescent="0.25">
      <c r="A219" s="223"/>
      <c r="B219" s="218"/>
      <c r="C219" s="29" t="s">
        <v>49</v>
      </c>
      <c r="D219" s="176"/>
      <c r="E219" s="200"/>
      <c r="F219" s="200"/>
      <c r="G219" s="200"/>
      <c r="H219" s="171"/>
      <c r="I219" s="172"/>
      <c r="J219" s="171"/>
      <c r="K219" s="172">
        <f t="shared" si="131"/>
        <v>0</v>
      </c>
      <c r="L219" s="172">
        <f t="shared" si="105"/>
        <v>0</v>
      </c>
      <c r="M219" s="191">
        <f t="shared" si="106"/>
        <v>0</v>
      </c>
      <c r="N219" s="191">
        <f t="shared" si="107"/>
        <v>0</v>
      </c>
      <c r="O219" s="187">
        <f t="shared" si="108"/>
        <v>0</v>
      </c>
      <c r="P219" s="74"/>
      <c r="Q219" s="193"/>
      <c r="R219" s="189" t="e">
        <f t="shared" si="115"/>
        <v>#DIV/0!</v>
      </c>
      <c r="S219" s="166" t="e">
        <f t="shared" si="134"/>
        <v>#DIV/0!</v>
      </c>
    </row>
    <row r="220" spans="1:19" ht="15" customHeight="1" x14ac:dyDescent="0.25">
      <c r="A220" s="223"/>
      <c r="B220" s="218"/>
      <c r="C220" s="29" t="s">
        <v>49</v>
      </c>
      <c r="D220" s="176"/>
      <c r="E220" s="200"/>
      <c r="F220" s="200"/>
      <c r="G220" s="200"/>
      <c r="H220" s="171"/>
      <c r="I220" s="172"/>
      <c r="J220" s="171"/>
      <c r="K220" s="172">
        <f t="shared" si="131"/>
        <v>0</v>
      </c>
      <c r="L220" s="172">
        <f t="shared" si="105"/>
        <v>0</v>
      </c>
      <c r="M220" s="191">
        <f t="shared" si="106"/>
        <v>0</v>
      </c>
      <c r="N220" s="191">
        <f t="shared" si="107"/>
        <v>0</v>
      </c>
      <c r="O220" s="187">
        <f t="shared" si="108"/>
        <v>0</v>
      </c>
      <c r="P220" s="74"/>
      <c r="Q220" s="193"/>
      <c r="R220" s="189" t="e">
        <f t="shared" si="115"/>
        <v>#DIV/0!</v>
      </c>
      <c r="S220" s="166" t="e">
        <f t="shared" si="134"/>
        <v>#DIV/0!</v>
      </c>
    </row>
    <row r="221" spans="1:19" ht="15" customHeight="1" x14ac:dyDescent="0.25">
      <c r="A221" s="223"/>
      <c r="B221" s="218"/>
      <c r="C221" s="29" t="s">
        <v>49</v>
      </c>
      <c r="D221" s="176"/>
      <c r="E221" s="200"/>
      <c r="F221" s="200"/>
      <c r="G221" s="200"/>
      <c r="H221" s="171"/>
      <c r="I221" s="172"/>
      <c r="J221" s="171"/>
      <c r="K221" s="172">
        <f t="shared" si="131"/>
        <v>0</v>
      </c>
      <c r="L221" s="172">
        <f t="shared" si="105"/>
        <v>0</v>
      </c>
      <c r="M221" s="191">
        <f t="shared" si="106"/>
        <v>0</v>
      </c>
      <c r="N221" s="191">
        <f t="shared" si="107"/>
        <v>0</v>
      </c>
      <c r="O221" s="187">
        <f t="shared" si="108"/>
        <v>0</v>
      </c>
      <c r="P221" s="74"/>
      <c r="Q221" s="193"/>
      <c r="R221" s="189" t="e">
        <f t="shared" si="115"/>
        <v>#DIV/0!</v>
      </c>
      <c r="S221" s="166" t="e">
        <f t="shared" si="134"/>
        <v>#DIV/0!</v>
      </c>
    </row>
    <row r="222" spans="1:19" ht="15.75" x14ac:dyDescent="0.25">
      <c r="A222" s="221"/>
      <c r="B222" s="216"/>
      <c r="C222" s="29" t="s">
        <v>49</v>
      </c>
      <c r="D222" s="177"/>
      <c r="E222" s="199"/>
      <c r="F222" s="199"/>
      <c r="G222" s="199"/>
      <c r="H222" s="168"/>
      <c r="I222" s="170"/>
      <c r="J222" s="168"/>
      <c r="K222" s="170">
        <f t="shared" si="131"/>
        <v>0</v>
      </c>
      <c r="L222" s="170">
        <f t="shared" si="105"/>
        <v>0</v>
      </c>
      <c r="M222" s="174">
        <f t="shared" si="106"/>
        <v>0</v>
      </c>
      <c r="N222" s="174">
        <f t="shared" si="107"/>
        <v>0</v>
      </c>
      <c r="O222" s="179">
        <f t="shared" si="108"/>
        <v>0</v>
      </c>
      <c r="P222" s="75"/>
      <c r="Q222" s="194"/>
      <c r="R222" s="183" t="e">
        <f t="shared" si="115"/>
        <v>#DIV/0!</v>
      </c>
      <c r="S222" s="166" t="e">
        <f t="shared" si="134"/>
        <v>#DIV/0!</v>
      </c>
    </row>
    <row r="223" spans="1:19" ht="16.5" thickBot="1" x14ac:dyDescent="0.3">
      <c r="A223" s="23">
        <v>163</v>
      </c>
      <c r="B223" s="126" t="s">
        <v>156</v>
      </c>
      <c r="C223" s="112" t="s">
        <v>157</v>
      </c>
      <c r="D223" s="57">
        <v>2639</v>
      </c>
      <c r="E223" s="137">
        <v>21</v>
      </c>
      <c r="F223" s="137">
        <v>580.29999999999995</v>
      </c>
      <c r="G223" s="137">
        <v>127.67</v>
      </c>
      <c r="H223" s="58">
        <v>195.01</v>
      </c>
      <c r="I223" s="59">
        <f>E223+F223+G223+H223+D223</f>
        <v>3562.98</v>
      </c>
      <c r="J223" s="57">
        <v>12.67</v>
      </c>
      <c r="K223" s="59">
        <f t="shared" si="131"/>
        <v>3575.65</v>
      </c>
      <c r="L223" s="59">
        <f t="shared" si="105"/>
        <v>107.27</v>
      </c>
      <c r="M223" s="60">
        <f t="shared" si="106"/>
        <v>3682.92</v>
      </c>
      <c r="N223" s="60">
        <f t="shared" si="107"/>
        <v>736.58</v>
      </c>
      <c r="O223" s="61">
        <f t="shared" si="108"/>
        <v>4419.5</v>
      </c>
      <c r="P223" s="60">
        <f t="shared" ref="P223:P224" si="135">ROUND(O223/5/12,2)</f>
        <v>73.66</v>
      </c>
      <c r="Q223" s="113">
        <f>196+6</f>
        <v>202</v>
      </c>
      <c r="R223" s="53">
        <f t="shared" si="115"/>
        <v>1.0900000000000001</v>
      </c>
      <c r="S223" s="127">
        <f>ROUND(452.88/Q223,2)</f>
        <v>2.2400000000000002</v>
      </c>
    </row>
    <row r="224" spans="1:19" ht="15.75" x14ac:dyDescent="0.25">
      <c r="A224" s="115">
        <v>164</v>
      </c>
      <c r="B224" s="128" t="s">
        <v>158</v>
      </c>
      <c r="C224" s="117" t="s">
        <v>12</v>
      </c>
      <c r="D224" s="118">
        <v>2427.87</v>
      </c>
      <c r="E224" s="118">
        <v>21</v>
      </c>
      <c r="F224" s="118">
        <v>580.29999999999995</v>
      </c>
      <c r="G224" s="118">
        <v>127.67</v>
      </c>
      <c r="H224" s="119">
        <v>195.01</v>
      </c>
      <c r="I224" s="120">
        <f>E224+F224+G224+H224+D224</f>
        <v>3351.85</v>
      </c>
      <c r="J224" s="118">
        <v>12.67</v>
      </c>
      <c r="K224" s="120">
        <f t="shared" si="131"/>
        <v>3364.52</v>
      </c>
      <c r="L224" s="120">
        <f t="shared" si="105"/>
        <v>100.94</v>
      </c>
      <c r="M224" s="121">
        <f t="shared" si="106"/>
        <v>3465.46</v>
      </c>
      <c r="N224" s="121">
        <f t="shared" si="107"/>
        <v>693.09</v>
      </c>
      <c r="O224" s="122">
        <f t="shared" si="108"/>
        <v>4158.55</v>
      </c>
      <c r="P224" s="121">
        <f t="shared" si="135"/>
        <v>69.31</v>
      </c>
      <c r="Q224" s="129">
        <f>107+1</f>
        <v>108</v>
      </c>
      <c r="R224" s="124">
        <f t="shared" si="115"/>
        <v>1.93</v>
      </c>
      <c r="S224" s="125">
        <f>ROUND(451.2/Q224,2)</f>
        <v>4.18</v>
      </c>
    </row>
    <row r="225" spans="1:19" ht="15.75" x14ac:dyDescent="0.25">
      <c r="A225" s="223">
        <v>165</v>
      </c>
      <c r="B225" s="218" t="s">
        <v>791</v>
      </c>
      <c r="C225" s="28" t="s">
        <v>15</v>
      </c>
      <c r="D225" s="176">
        <f>1962.25*5+3502.25</f>
        <v>13313.5</v>
      </c>
      <c r="E225" s="200">
        <f>18.08*5+21</f>
        <v>111.39999999999999</v>
      </c>
      <c r="F225" s="200">
        <f>532.22*5+546.46</f>
        <v>3207.5600000000004</v>
      </c>
      <c r="G225" s="200">
        <f>117.09*5+120.22</f>
        <v>705.67000000000007</v>
      </c>
      <c r="H225" s="171">
        <f>175.99*5+184.09</f>
        <v>1064.04</v>
      </c>
      <c r="I225" s="172">
        <f>SUM(D225:H230)</f>
        <v>18402.169999999998</v>
      </c>
      <c r="J225" s="171">
        <f>11.41*5+12.03</f>
        <v>69.08</v>
      </c>
      <c r="K225" s="172">
        <f t="shared" si="131"/>
        <v>18471.25</v>
      </c>
      <c r="L225" s="172">
        <f t="shared" si="105"/>
        <v>554.14</v>
      </c>
      <c r="M225" s="191">
        <f t="shared" si="106"/>
        <v>19025.39</v>
      </c>
      <c r="N225" s="191">
        <f t="shared" si="107"/>
        <v>3805.08</v>
      </c>
      <c r="O225" s="187">
        <f t="shared" si="108"/>
        <v>22830.47</v>
      </c>
      <c r="P225" s="74">
        <f>ROUND(O225/5/12,2)</f>
        <v>380.51</v>
      </c>
      <c r="Q225" s="193">
        <f>36+36+54+63+54</f>
        <v>243</v>
      </c>
      <c r="R225" s="189">
        <f t="shared" si="115"/>
        <v>4.7</v>
      </c>
      <c r="S225" s="225">
        <f>ROUND((441.63*5+705.6)/Q225,2)</f>
        <v>11.99</v>
      </c>
    </row>
    <row r="226" spans="1:19" ht="15.75" x14ac:dyDescent="0.25">
      <c r="A226" s="223"/>
      <c r="B226" s="218"/>
      <c r="C226" s="29" t="s">
        <v>49</v>
      </c>
      <c r="D226" s="176"/>
      <c r="E226" s="200"/>
      <c r="F226" s="200"/>
      <c r="G226" s="200"/>
      <c r="H226" s="171"/>
      <c r="I226" s="172"/>
      <c r="J226" s="171"/>
      <c r="K226" s="172">
        <f t="shared" si="131"/>
        <v>0</v>
      </c>
      <c r="L226" s="172">
        <f t="shared" si="105"/>
        <v>0</v>
      </c>
      <c r="M226" s="191">
        <f t="shared" si="106"/>
        <v>0</v>
      </c>
      <c r="N226" s="191">
        <f t="shared" si="107"/>
        <v>0</v>
      </c>
      <c r="O226" s="187">
        <f t="shared" si="108"/>
        <v>0</v>
      </c>
      <c r="P226" s="74"/>
      <c r="Q226" s="193"/>
      <c r="R226" s="189" t="e">
        <f t="shared" si="115"/>
        <v>#DIV/0!</v>
      </c>
      <c r="S226" s="166" t="e">
        <f t="shared" si="134"/>
        <v>#DIV/0!</v>
      </c>
    </row>
    <row r="227" spans="1:19" ht="15.75" x14ac:dyDescent="0.25">
      <c r="A227" s="223"/>
      <c r="B227" s="218"/>
      <c r="C227" s="29" t="s">
        <v>49</v>
      </c>
      <c r="D227" s="176"/>
      <c r="E227" s="200"/>
      <c r="F227" s="200"/>
      <c r="G227" s="200"/>
      <c r="H227" s="171"/>
      <c r="I227" s="172"/>
      <c r="J227" s="171"/>
      <c r="K227" s="172">
        <f t="shared" si="131"/>
        <v>0</v>
      </c>
      <c r="L227" s="172">
        <f t="shared" si="105"/>
        <v>0</v>
      </c>
      <c r="M227" s="191">
        <f t="shared" si="106"/>
        <v>0</v>
      </c>
      <c r="N227" s="191">
        <f t="shared" si="107"/>
        <v>0</v>
      </c>
      <c r="O227" s="187">
        <f t="shared" si="108"/>
        <v>0</v>
      </c>
      <c r="P227" s="74"/>
      <c r="Q227" s="193"/>
      <c r="R227" s="189" t="e">
        <f t="shared" si="115"/>
        <v>#DIV/0!</v>
      </c>
      <c r="S227" s="166" t="e">
        <f t="shared" si="134"/>
        <v>#DIV/0!</v>
      </c>
    </row>
    <row r="228" spans="1:19" ht="15.75" x14ac:dyDescent="0.25">
      <c r="A228" s="223"/>
      <c r="B228" s="218"/>
      <c r="C228" s="29" t="s">
        <v>49</v>
      </c>
      <c r="D228" s="176"/>
      <c r="E228" s="200"/>
      <c r="F228" s="200"/>
      <c r="G228" s="200"/>
      <c r="H228" s="171"/>
      <c r="I228" s="172"/>
      <c r="J228" s="171"/>
      <c r="K228" s="172">
        <f t="shared" si="131"/>
        <v>0</v>
      </c>
      <c r="L228" s="172">
        <f t="shared" si="105"/>
        <v>0</v>
      </c>
      <c r="M228" s="191">
        <f t="shared" si="106"/>
        <v>0</v>
      </c>
      <c r="N228" s="191">
        <f t="shared" si="107"/>
        <v>0</v>
      </c>
      <c r="O228" s="187">
        <f t="shared" si="108"/>
        <v>0</v>
      </c>
      <c r="P228" s="74"/>
      <c r="Q228" s="193"/>
      <c r="R228" s="189" t="e">
        <f t="shared" si="115"/>
        <v>#DIV/0!</v>
      </c>
      <c r="S228" s="166" t="e">
        <f t="shared" si="134"/>
        <v>#DIV/0!</v>
      </c>
    </row>
    <row r="229" spans="1:19" ht="15.75" x14ac:dyDescent="0.25">
      <c r="A229" s="223"/>
      <c r="B229" s="218"/>
      <c r="C229" s="29" t="s">
        <v>49</v>
      </c>
      <c r="D229" s="176"/>
      <c r="E229" s="200"/>
      <c r="F229" s="200"/>
      <c r="G229" s="200"/>
      <c r="H229" s="171"/>
      <c r="I229" s="172"/>
      <c r="J229" s="171"/>
      <c r="K229" s="172">
        <f t="shared" si="131"/>
        <v>0</v>
      </c>
      <c r="L229" s="172">
        <f t="shared" si="105"/>
        <v>0</v>
      </c>
      <c r="M229" s="191">
        <f t="shared" si="106"/>
        <v>0</v>
      </c>
      <c r="N229" s="191">
        <f t="shared" si="107"/>
        <v>0</v>
      </c>
      <c r="O229" s="187">
        <f t="shared" si="108"/>
        <v>0</v>
      </c>
      <c r="P229" s="74"/>
      <c r="Q229" s="193"/>
      <c r="R229" s="189" t="e">
        <f t="shared" si="115"/>
        <v>#DIV/0!</v>
      </c>
      <c r="S229" s="166" t="e">
        <f t="shared" si="134"/>
        <v>#DIV/0!</v>
      </c>
    </row>
    <row r="230" spans="1:19" ht="15.75" x14ac:dyDescent="0.25">
      <c r="A230" s="221"/>
      <c r="B230" s="216"/>
      <c r="C230" s="29" t="s">
        <v>159</v>
      </c>
      <c r="D230" s="177"/>
      <c r="E230" s="199"/>
      <c r="F230" s="199"/>
      <c r="G230" s="199"/>
      <c r="H230" s="168"/>
      <c r="I230" s="170"/>
      <c r="J230" s="168"/>
      <c r="K230" s="170">
        <f t="shared" si="131"/>
        <v>0</v>
      </c>
      <c r="L230" s="170">
        <f t="shared" si="105"/>
        <v>0</v>
      </c>
      <c r="M230" s="174">
        <f t="shared" si="106"/>
        <v>0</v>
      </c>
      <c r="N230" s="174">
        <f t="shared" si="107"/>
        <v>0</v>
      </c>
      <c r="O230" s="179">
        <f t="shared" si="108"/>
        <v>0</v>
      </c>
      <c r="P230" s="75"/>
      <c r="Q230" s="194"/>
      <c r="R230" s="183" t="e">
        <f t="shared" si="115"/>
        <v>#DIV/0!</v>
      </c>
      <c r="S230" s="166" t="e">
        <f t="shared" si="134"/>
        <v>#DIV/0!</v>
      </c>
    </row>
    <row r="231" spans="1:19" ht="15.75" x14ac:dyDescent="0.25">
      <c r="A231" s="87">
        <v>166</v>
      </c>
      <c r="B231" s="107" t="s">
        <v>160</v>
      </c>
      <c r="C231" s="26" t="s">
        <v>12</v>
      </c>
      <c r="D231" s="103">
        <v>2427.87</v>
      </c>
      <c r="E231" s="103">
        <v>21</v>
      </c>
      <c r="F231" s="103">
        <v>580.29999999999995</v>
      </c>
      <c r="G231" s="103">
        <v>127.67</v>
      </c>
      <c r="H231" s="11">
        <v>195.01</v>
      </c>
      <c r="I231" s="5">
        <f t="shared" ref="I231:I232" si="136">E231+F231+G231+H231+D231</f>
        <v>3351.85</v>
      </c>
      <c r="J231" s="103">
        <v>12.67</v>
      </c>
      <c r="K231" s="5">
        <f t="shared" si="131"/>
        <v>3364.52</v>
      </c>
      <c r="L231" s="5">
        <f t="shared" si="105"/>
        <v>100.94</v>
      </c>
      <c r="M231" s="15">
        <f t="shared" si="106"/>
        <v>3465.46</v>
      </c>
      <c r="N231" s="15">
        <f t="shared" si="107"/>
        <v>693.09</v>
      </c>
      <c r="O231" s="100">
        <f t="shared" si="108"/>
        <v>4158.55</v>
      </c>
      <c r="P231" s="15">
        <f t="shared" ref="P231:P238" si="137">ROUND(O231/5/12,2)</f>
        <v>69.31</v>
      </c>
      <c r="Q231" s="101">
        <v>180</v>
      </c>
      <c r="R231" s="102">
        <f t="shared" si="115"/>
        <v>1.1599999999999999</v>
      </c>
      <c r="S231" s="48">
        <f t="shared" ref="S231:S232" si="138">ROUND(451.2/Q231,2)</f>
        <v>2.5099999999999998</v>
      </c>
    </row>
    <row r="232" spans="1:19" ht="15.75" x14ac:dyDescent="0.25">
      <c r="A232" s="87">
        <v>167</v>
      </c>
      <c r="B232" s="107" t="s">
        <v>161</v>
      </c>
      <c r="C232" s="26" t="s">
        <v>12</v>
      </c>
      <c r="D232" s="103">
        <v>2427.87</v>
      </c>
      <c r="E232" s="103">
        <v>21</v>
      </c>
      <c r="F232" s="103">
        <v>580.29999999999995</v>
      </c>
      <c r="G232" s="103">
        <v>127.67</v>
      </c>
      <c r="H232" s="11">
        <v>195.01</v>
      </c>
      <c r="I232" s="5">
        <f t="shared" si="136"/>
        <v>3351.85</v>
      </c>
      <c r="J232" s="103">
        <v>12.67</v>
      </c>
      <c r="K232" s="5">
        <f t="shared" si="131"/>
        <v>3364.52</v>
      </c>
      <c r="L232" s="5">
        <f t="shared" ref="L232:L295" si="139">ROUND(K232*3%,2)</f>
        <v>100.94</v>
      </c>
      <c r="M232" s="15">
        <f t="shared" ref="M232:M295" si="140">K232+L232</f>
        <v>3465.46</v>
      </c>
      <c r="N232" s="15">
        <f t="shared" ref="N232:N295" si="141">ROUND(M232*20%,2)</f>
        <v>693.09</v>
      </c>
      <c r="O232" s="100">
        <f t="shared" ref="O232:O295" si="142">M232+N232</f>
        <v>4158.55</v>
      </c>
      <c r="P232" s="15">
        <f t="shared" si="137"/>
        <v>69.31</v>
      </c>
      <c r="Q232" s="101">
        <v>121</v>
      </c>
      <c r="R232" s="102">
        <f t="shared" si="115"/>
        <v>1.72</v>
      </c>
      <c r="S232" s="48">
        <f t="shared" si="138"/>
        <v>3.73</v>
      </c>
    </row>
    <row r="233" spans="1:19" ht="15.75" x14ac:dyDescent="0.25">
      <c r="A233" s="87">
        <v>168</v>
      </c>
      <c r="B233" s="107" t="s">
        <v>164</v>
      </c>
      <c r="C233" s="26" t="s">
        <v>159</v>
      </c>
      <c r="D233" s="103">
        <v>3502.25</v>
      </c>
      <c r="E233" s="103">
        <v>21</v>
      </c>
      <c r="F233" s="103">
        <v>546.46</v>
      </c>
      <c r="G233" s="103">
        <v>120.22</v>
      </c>
      <c r="H233" s="11">
        <v>184.09</v>
      </c>
      <c r="I233" s="5">
        <f t="shared" ref="I233" si="143">E233+F233+G233+H233+D233</f>
        <v>4374.0200000000004</v>
      </c>
      <c r="J233" s="103">
        <v>12.03</v>
      </c>
      <c r="K233" s="5">
        <f t="shared" si="131"/>
        <v>4386.05</v>
      </c>
      <c r="L233" s="5">
        <f t="shared" si="139"/>
        <v>131.58000000000001</v>
      </c>
      <c r="M233" s="15">
        <f t="shared" si="140"/>
        <v>4517.63</v>
      </c>
      <c r="N233" s="15">
        <f t="shared" si="141"/>
        <v>903.53</v>
      </c>
      <c r="O233" s="100">
        <f t="shared" si="142"/>
        <v>5421.16</v>
      </c>
      <c r="P233" s="15">
        <f t="shared" si="137"/>
        <v>90.35</v>
      </c>
      <c r="Q233" s="101">
        <f>257+4</f>
        <v>261</v>
      </c>
      <c r="R233" s="102">
        <f t="shared" si="115"/>
        <v>1.04</v>
      </c>
      <c r="S233" s="48">
        <f>ROUND(705.6/Q233,2)</f>
        <v>2.7</v>
      </c>
    </row>
    <row r="234" spans="1:19" ht="15.75" x14ac:dyDescent="0.25">
      <c r="A234" s="87">
        <v>169</v>
      </c>
      <c r="B234" s="107" t="s">
        <v>165</v>
      </c>
      <c r="C234" s="26" t="s">
        <v>12</v>
      </c>
      <c r="D234" s="103">
        <v>2427.87</v>
      </c>
      <c r="E234" s="103">
        <v>21</v>
      </c>
      <c r="F234" s="103">
        <v>580.29999999999995</v>
      </c>
      <c r="G234" s="103">
        <v>127.67</v>
      </c>
      <c r="H234" s="11">
        <v>195.01</v>
      </c>
      <c r="I234" s="5">
        <f>E234+F234+G234+H234+D234</f>
        <v>3351.85</v>
      </c>
      <c r="J234" s="103">
        <v>12.67</v>
      </c>
      <c r="K234" s="5">
        <f t="shared" si="131"/>
        <v>3364.52</v>
      </c>
      <c r="L234" s="5">
        <f t="shared" si="139"/>
        <v>100.94</v>
      </c>
      <c r="M234" s="15">
        <f t="shared" si="140"/>
        <v>3465.46</v>
      </c>
      <c r="N234" s="15">
        <f t="shared" si="141"/>
        <v>693.09</v>
      </c>
      <c r="O234" s="100">
        <f t="shared" si="142"/>
        <v>4158.55</v>
      </c>
      <c r="P234" s="15">
        <f t="shared" si="137"/>
        <v>69.31</v>
      </c>
      <c r="Q234" s="101">
        <f>114+3</f>
        <v>117</v>
      </c>
      <c r="R234" s="102">
        <f t="shared" si="115"/>
        <v>1.78</v>
      </c>
      <c r="S234" s="48">
        <f>ROUND(451.2/Q234,2)</f>
        <v>3.86</v>
      </c>
    </row>
    <row r="235" spans="1:19" ht="15.75" x14ac:dyDescent="0.25">
      <c r="A235" s="87">
        <v>170</v>
      </c>
      <c r="B235" s="107" t="s">
        <v>166</v>
      </c>
      <c r="C235" s="31" t="s">
        <v>167</v>
      </c>
      <c r="D235" s="103">
        <v>2210.63</v>
      </c>
      <c r="E235" s="103">
        <v>18.079999999999998</v>
      </c>
      <c r="F235" s="103">
        <v>532.22</v>
      </c>
      <c r="G235" s="103">
        <v>117.09</v>
      </c>
      <c r="H235" s="11">
        <v>175.99</v>
      </c>
      <c r="I235" s="5">
        <f>E235+F235+G235+H235+D235</f>
        <v>3054.01</v>
      </c>
      <c r="J235" s="103">
        <v>11.41</v>
      </c>
      <c r="K235" s="5">
        <f t="shared" si="131"/>
        <v>3065.42</v>
      </c>
      <c r="L235" s="5">
        <f t="shared" si="139"/>
        <v>91.96</v>
      </c>
      <c r="M235" s="15">
        <f t="shared" si="140"/>
        <v>3157.38</v>
      </c>
      <c r="N235" s="15">
        <f t="shared" si="141"/>
        <v>631.48</v>
      </c>
      <c r="O235" s="100">
        <f t="shared" si="142"/>
        <v>3788.86</v>
      </c>
      <c r="P235" s="15">
        <f t="shared" si="137"/>
        <v>63.15</v>
      </c>
      <c r="Q235" s="101">
        <f>144+1</f>
        <v>145</v>
      </c>
      <c r="R235" s="102">
        <f t="shared" si="115"/>
        <v>1.31</v>
      </c>
      <c r="S235" s="48">
        <f>ROUND(469.47/Q235,2)</f>
        <v>3.24</v>
      </c>
    </row>
    <row r="236" spans="1:19" ht="26.25" x14ac:dyDescent="0.25">
      <c r="A236" s="87">
        <v>171</v>
      </c>
      <c r="B236" s="99" t="s">
        <v>168</v>
      </c>
      <c r="C236" s="37" t="s">
        <v>169</v>
      </c>
      <c r="D236" s="103">
        <v>1962.25</v>
      </c>
      <c r="E236" s="103">
        <v>18.079999999999998</v>
      </c>
      <c r="F236" s="103">
        <v>532.22</v>
      </c>
      <c r="G236" s="103">
        <v>117.09</v>
      </c>
      <c r="H236" s="11">
        <v>175.99</v>
      </c>
      <c r="I236" s="5">
        <f>E236+F236+G236+H236+D236</f>
        <v>2805.63</v>
      </c>
      <c r="J236" s="103">
        <v>11.41</v>
      </c>
      <c r="K236" s="5">
        <f t="shared" si="131"/>
        <v>2817.04</v>
      </c>
      <c r="L236" s="5">
        <f t="shared" si="139"/>
        <v>84.51</v>
      </c>
      <c r="M236" s="15">
        <f t="shared" si="140"/>
        <v>2901.55</v>
      </c>
      <c r="N236" s="15">
        <f t="shared" si="141"/>
        <v>580.30999999999995</v>
      </c>
      <c r="O236" s="100">
        <f t="shared" si="142"/>
        <v>3481.86</v>
      </c>
      <c r="P236" s="15">
        <f t="shared" si="137"/>
        <v>58.03</v>
      </c>
      <c r="Q236" s="101">
        <f>32+8</f>
        <v>40</v>
      </c>
      <c r="R236" s="102">
        <f t="shared" si="115"/>
        <v>4.3499999999999996</v>
      </c>
      <c r="S236" s="104">
        <f>ROUND(469.47/Q236,2)</f>
        <v>11.74</v>
      </c>
    </row>
    <row r="237" spans="1:19" ht="15.75" x14ac:dyDescent="0.25">
      <c r="A237" s="87">
        <v>172</v>
      </c>
      <c r="B237" s="107" t="s">
        <v>170</v>
      </c>
      <c r="C237" s="26" t="s">
        <v>119</v>
      </c>
      <c r="D237" s="103">
        <v>2427.87</v>
      </c>
      <c r="E237" s="103">
        <v>21</v>
      </c>
      <c r="F237" s="103">
        <v>580.29999999999995</v>
      </c>
      <c r="G237" s="103">
        <v>127.67</v>
      </c>
      <c r="H237" s="11">
        <v>195.01</v>
      </c>
      <c r="I237" s="5">
        <f t="shared" ref="I237:I238" si="144">E237+F237+G237+H237+D237</f>
        <v>3351.85</v>
      </c>
      <c r="J237" s="103">
        <v>12.67</v>
      </c>
      <c r="K237" s="5">
        <f t="shared" si="131"/>
        <v>3364.52</v>
      </c>
      <c r="L237" s="5">
        <f t="shared" si="139"/>
        <v>100.94</v>
      </c>
      <c r="M237" s="15">
        <f t="shared" si="140"/>
        <v>3465.46</v>
      </c>
      <c r="N237" s="15">
        <f t="shared" si="141"/>
        <v>693.09</v>
      </c>
      <c r="O237" s="100">
        <f t="shared" si="142"/>
        <v>4158.55</v>
      </c>
      <c r="P237" s="15">
        <f t="shared" si="137"/>
        <v>69.31</v>
      </c>
      <c r="Q237" s="101">
        <f>101+7</f>
        <v>108</v>
      </c>
      <c r="R237" s="102">
        <f t="shared" si="115"/>
        <v>1.93</v>
      </c>
      <c r="S237" s="48">
        <f>ROUND(451.2/Q237,2)</f>
        <v>4.18</v>
      </c>
    </row>
    <row r="238" spans="1:19" ht="15.75" x14ac:dyDescent="0.25">
      <c r="A238" s="87">
        <v>173</v>
      </c>
      <c r="B238" s="107" t="s">
        <v>171</v>
      </c>
      <c r="C238" s="28" t="s">
        <v>12</v>
      </c>
      <c r="D238" s="103">
        <v>2427.87</v>
      </c>
      <c r="E238" s="103">
        <v>21</v>
      </c>
      <c r="F238" s="103">
        <v>580.29999999999995</v>
      </c>
      <c r="G238" s="103">
        <v>127.67</v>
      </c>
      <c r="H238" s="11">
        <v>195.01</v>
      </c>
      <c r="I238" s="5">
        <f t="shared" si="144"/>
        <v>3351.85</v>
      </c>
      <c r="J238" s="103">
        <v>12.67</v>
      </c>
      <c r="K238" s="5">
        <f t="shared" si="131"/>
        <v>3364.52</v>
      </c>
      <c r="L238" s="5">
        <f t="shared" si="139"/>
        <v>100.94</v>
      </c>
      <c r="M238" s="15">
        <f t="shared" si="140"/>
        <v>3465.46</v>
      </c>
      <c r="N238" s="15">
        <f t="shared" si="141"/>
        <v>693.09</v>
      </c>
      <c r="O238" s="100">
        <f t="shared" si="142"/>
        <v>4158.55</v>
      </c>
      <c r="P238" s="15">
        <f t="shared" si="137"/>
        <v>69.31</v>
      </c>
      <c r="Q238" s="101">
        <f>96+4</f>
        <v>100</v>
      </c>
      <c r="R238" s="102">
        <f t="shared" si="115"/>
        <v>2.08</v>
      </c>
      <c r="S238" s="48">
        <f>ROUND(451.2/Q238,2)</f>
        <v>4.51</v>
      </c>
    </row>
    <row r="239" spans="1:19" ht="15" customHeight="1" x14ac:dyDescent="0.25">
      <c r="A239" s="220">
        <v>174</v>
      </c>
      <c r="B239" s="215" t="s">
        <v>871</v>
      </c>
      <c r="C239" s="27" t="s">
        <v>24</v>
      </c>
      <c r="D239" s="175">
        <f>1962.25*3</f>
        <v>5886.75</v>
      </c>
      <c r="E239" s="195">
        <f>18.08*3</f>
        <v>54.239999999999995</v>
      </c>
      <c r="F239" s="195">
        <f>532.22*3</f>
        <v>1596.66</v>
      </c>
      <c r="G239" s="195">
        <f>117.09*3</f>
        <v>351.27</v>
      </c>
      <c r="H239" s="167">
        <f>175.99*3</f>
        <v>527.97</v>
      </c>
      <c r="I239" s="169">
        <f>E239+F239+G239+H239+D239</f>
        <v>8416.89</v>
      </c>
      <c r="J239" s="167">
        <f>11.41*3</f>
        <v>34.230000000000004</v>
      </c>
      <c r="K239" s="169">
        <f t="shared" si="131"/>
        <v>8451.119999999999</v>
      </c>
      <c r="L239" s="169">
        <f t="shared" si="139"/>
        <v>253.53</v>
      </c>
      <c r="M239" s="169">
        <f t="shared" si="140"/>
        <v>8704.65</v>
      </c>
      <c r="N239" s="173">
        <f t="shared" si="141"/>
        <v>1740.93</v>
      </c>
      <c r="O239" s="178">
        <f t="shared" si="142"/>
        <v>10445.58</v>
      </c>
      <c r="P239" s="73">
        <f>ROUND(O239/5/12,2)</f>
        <v>174.09</v>
      </c>
      <c r="Q239" s="180">
        <f>35+36+35+1</f>
        <v>107</v>
      </c>
      <c r="R239" s="182">
        <f t="shared" ref="R239:R302" si="145">ROUND(P239*3/Q239,2)</f>
        <v>4.88</v>
      </c>
      <c r="S239" s="166">
        <f>ROUND(441.63*3/Q239,2)</f>
        <v>12.38</v>
      </c>
    </row>
    <row r="240" spans="1:19" ht="15" customHeight="1" x14ac:dyDescent="0.25">
      <c r="A240" s="223"/>
      <c r="B240" s="218"/>
      <c r="C240" s="29" t="s">
        <v>49</v>
      </c>
      <c r="D240" s="176"/>
      <c r="E240" s="196"/>
      <c r="F240" s="196"/>
      <c r="G240" s="196"/>
      <c r="H240" s="171">
        <f>ROUND((E240+F240+G240)*11.7%,2)</f>
        <v>0</v>
      </c>
      <c r="I240" s="172">
        <f t="shared" ref="I240:I241" si="146">E240+F240+G240+H240</f>
        <v>0</v>
      </c>
      <c r="J240" s="171">
        <f t="shared" ref="J240:J241" si="147">ROUND(I240*11.6%,2)</f>
        <v>0</v>
      </c>
      <c r="K240" s="172">
        <f t="shared" si="131"/>
        <v>0</v>
      </c>
      <c r="L240" s="172">
        <f t="shared" si="139"/>
        <v>0</v>
      </c>
      <c r="M240" s="172">
        <f t="shared" si="140"/>
        <v>0</v>
      </c>
      <c r="N240" s="191">
        <f t="shared" si="141"/>
        <v>0</v>
      </c>
      <c r="O240" s="187">
        <f t="shared" si="142"/>
        <v>0</v>
      </c>
      <c r="P240" s="74"/>
      <c r="Q240" s="188"/>
      <c r="R240" s="189" t="e">
        <f t="shared" si="145"/>
        <v>#DIV/0!</v>
      </c>
      <c r="S240" s="166" t="e">
        <f t="shared" si="134"/>
        <v>#DIV/0!</v>
      </c>
    </row>
    <row r="241" spans="1:19" ht="15" customHeight="1" x14ac:dyDescent="0.25">
      <c r="A241" s="221"/>
      <c r="B241" s="216"/>
      <c r="C241" s="30" t="s">
        <v>49</v>
      </c>
      <c r="D241" s="177"/>
      <c r="E241" s="197"/>
      <c r="F241" s="197"/>
      <c r="G241" s="197"/>
      <c r="H241" s="168">
        <f>ROUND((E241+F241+G241)*11.7%,2)</f>
        <v>0</v>
      </c>
      <c r="I241" s="170">
        <f t="shared" si="146"/>
        <v>0</v>
      </c>
      <c r="J241" s="168">
        <f t="shared" si="147"/>
        <v>0</v>
      </c>
      <c r="K241" s="170">
        <f t="shared" si="131"/>
        <v>0</v>
      </c>
      <c r="L241" s="170">
        <f t="shared" si="139"/>
        <v>0</v>
      </c>
      <c r="M241" s="170">
        <f t="shared" si="140"/>
        <v>0</v>
      </c>
      <c r="N241" s="174">
        <f t="shared" si="141"/>
        <v>0</v>
      </c>
      <c r="O241" s="179">
        <f t="shared" si="142"/>
        <v>0</v>
      </c>
      <c r="P241" s="75"/>
      <c r="Q241" s="181"/>
      <c r="R241" s="183" t="e">
        <f t="shared" si="145"/>
        <v>#DIV/0!</v>
      </c>
      <c r="S241" s="166" t="e">
        <f t="shared" si="134"/>
        <v>#DIV/0!</v>
      </c>
    </row>
    <row r="242" spans="1:19" ht="15.75" x14ac:dyDescent="0.25">
      <c r="A242" s="87">
        <v>175</v>
      </c>
      <c r="B242" s="107" t="s">
        <v>172</v>
      </c>
      <c r="C242" s="26" t="s">
        <v>24</v>
      </c>
      <c r="D242" s="103">
        <v>1962.25</v>
      </c>
      <c r="E242" s="103">
        <v>18.079999999999998</v>
      </c>
      <c r="F242" s="103">
        <v>532.22</v>
      </c>
      <c r="G242" s="103">
        <v>117.09</v>
      </c>
      <c r="H242" s="11">
        <v>175.99</v>
      </c>
      <c r="I242" s="5">
        <f>E242+F242+G242+H242+D242</f>
        <v>2805.63</v>
      </c>
      <c r="J242" s="103">
        <v>11.41</v>
      </c>
      <c r="K242" s="5">
        <f t="shared" si="131"/>
        <v>2817.04</v>
      </c>
      <c r="L242" s="5">
        <f t="shared" si="139"/>
        <v>84.51</v>
      </c>
      <c r="M242" s="15">
        <f t="shared" si="140"/>
        <v>2901.55</v>
      </c>
      <c r="N242" s="15">
        <f t="shared" si="141"/>
        <v>580.30999999999995</v>
      </c>
      <c r="O242" s="100">
        <f t="shared" si="142"/>
        <v>3481.86</v>
      </c>
      <c r="P242" s="15">
        <f t="shared" ref="P242:P243" si="148">ROUND(O242/5/12,2)</f>
        <v>58.03</v>
      </c>
      <c r="Q242" s="101">
        <v>116</v>
      </c>
      <c r="R242" s="102">
        <f t="shared" si="145"/>
        <v>1.5</v>
      </c>
      <c r="S242" s="48">
        <f>ROUND(441.63/Q242,2)</f>
        <v>3.81</v>
      </c>
    </row>
    <row r="243" spans="1:19" ht="15.75" x14ac:dyDescent="0.25">
      <c r="A243" s="87">
        <v>176</v>
      </c>
      <c r="B243" s="107" t="s">
        <v>174</v>
      </c>
      <c r="C243" s="26" t="s">
        <v>16</v>
      </c>
      <c r="D243" s="103">
        <v>2210.63</v>
      </c>
      <c r="E243" s="103">
        <v>18.079999999999998</v>
      </c>
      <c r="F243" s="103">
        <v>532.22</v>
      </c>
      <c r="G243" s="103">
        <v>117.09</v>
      </c>
      <c r="H243" s="11">
        <v>175.99</v>
      </c>
      <c r="I243" s="5">
        <f>E243+F243+G243+H243+D243</f>
        <v>3054.01</v>
      </c>
      <c r="J243" s="103">
        <v>11.41</v>
      </c>
      <c r="K243" s="5">
        <f t="shared" si="131"/>
        <v>3065.42</v>
      </c>
      <c r="L243" s="5">
        <f t="shared" si="139"/>
        <v>91.96</v>
      </c>
      <c r="M243" s="15">
        <f t="shared" si="140"/>
        <v>3157.38</v>
      </c>
      <c r="N243" s="15">
        <f t="shared" si="141"/>
        <v>631.48</v>
      </c>
      <c r="O243" s="100">
        <f t="shared" si="142"/>
        <v>3788.86</v>
      </c>
      <c r="P243" s="15">
        <f t="shared" si="148"/>
        <v>63.15</v>
      </c>
      <c r="Q243" s="101">
        <v>100</v>
      </c>
      <c r="R243" s="102">
        <f t="shared" si="145"/>
        <v>1.89</v>
      </c>
      <c r="S243" s="48">
        <f>ROUND(441.63/Q243,2)</f>
        <v>4.42</v>
      </c>
    </row>
    <row r="244" spans="1:19" ht="15" customHeight="1" x14ac:dyDescent="0.25">
      <c r="A244" s="220">
        <v>177</v>
      </c>
      <c r="B244" s="215" t="s">
        <v>869</v>
      </c>
      <c r="C244" s="27" t="s">
        <v>15</v>
      </c>
      <c r="D244" s="175">
        <f>1962.25*2</f>
        <v>3924.5</v>
      </c>
      <c r="E244" s="195">
        <f>18.08*2</f>
        <v>36.159999999999997</v>
      </c>
      <c r="F244" s="195">
        <f>532.22*2</f>
        <v>1064.44</v>
      </c>
      <c r="G244" s="195">
        <f>117.09*2</f>
        <v>234.18</v>
      </c>
      <c r="H244" s="167">
        <f>175.99*2</f>
        <v>351.98</v>
      </c>
      <c r="I244" s="169">
        <f>E244+F244+G244+H244+D244</f>
        <v>5611.26</v>
      </c>
      <c r="J244" s="167">
        <f>11.41*2</f>
        <v>22.82</v>
      </c>
      <c r="K244" s="169">
        <f t="shared" si="131"/>
        <v>5634.08</v>
      </c>
      <c r="L244" s="169">
        <f t="shared" si="139"/>
        <v>169.02</v>
      </c>
      <c r="M244" s="169">
        <f t="shared" si="140"/>
        <v>5803.1</v>
      </c>
      <c r="N244" s="173">
        <f t="shared" si="141"/>
        <v>1160.6199999999999</v>
      </c>
      <c r="O244" s="185">
        <f t="shared" si="142"/>
        <v>6963.72</v>
      </c>
      <c r="P244" s="83">
        <f>ROUND(O244/5/12,2)</f>
        <v>116.06</v>
      </c>
      <c r="Q244" s="180">
        <f>20+29+4</f>
        <v>53</v>
      </c>
      <c r="R244" s="182">
        <f t="shared" si="145"/>
        <v>6.57</v>
      </c>
      <c r="S244" s="166">
        <f>ROUND(441.63*2/Q244,2)</f>
        <v>16.670000000000002</v>
      </c>
    </row>
    <row r="245" spans="1:19" ht="15" customHeight="1" x14ac:dyDescent="0.25">
      <c r="A245" s="221"/>
      <c r="B245" s="216"/>
      <c r="C245" s="30" t="s">
        <v>49</v>
      </c>
      <c r="D245" s="177"/>
      <c r="E245" s="197"/>
      <c r="F245" s="197"/>
      <c r="G245" s="197"/>
      <c r="H245" s="168">
        <f>ROUND((E245+F245+G245)*11.7%,2)</f>
        <v>0</v>
      </c>
      <c r="I245" s="170">
        <f t="shared" ref="I245" si="149">E245+F245+G245+H245</f>
        <v>0</v>
      </c>
      <c r="J245" s="168">
        <f t="shared" ref="J245" si="150">ROUND(I245*11.6%,2)</f>
        <v>0</v>
      </c>
      <c r="K245" s="170">
        <f t="shared" si="131"/>
        <v>0</v>
      </c>
      <c r="L245" s="170">
        <f t="shared" si="139"/>
        <v>0</v>
      </c>
      <c r="M245" s="170">
        <f t="shared" si="140"/>
        <v>0</v>
      </c>
      <c r="N245" s="174">
        <f t="shared" si="141"/>
        <v>0</v>
      </c>
      <c r="O245" s="186">
        <f t="shared" si="142"/>
        <v>0</v>
      </c>
      <c r="P245" s="84"/>
      <c r="Q245" s="181"/>
      <c r="R245" s="183" t="e">
        <f t="shared" si="145"/>
        <v>#DIV/0!</v>
      </c>
      <c r="S245" s="166" t="e">
        <f t="shared" si="134"/>
        <v>#DIV/0!</v>
      </c>
    </row>
    <row r="246" spans="1:19" ht="15.75" x14ac:dyDescent="0.25">
      <c r="A246" s="87">
        <v>178</v>
      </c>
      <c r="B246" s="107" t="s">
        <v>173</v>
      </c>
      <c r="C246" s="27" t="s">
        <v>60</v>
      </c>
      <c r="D246" s="103">
        <v>2427.87</v>
      </c>
      <c r="E246" s="103">
        <v>21</v>
      </c>
      <c r="F246" s="103">
        <v>580.29999999999995</v>
      </c>
      <c r="G246" s="103">
        <v>127.67</v>
      </c>
      <c r="H246" s="11">
        <v>195.01</v>
      </c>
      <c r="I246" s="5">
        <f t="shared" ref="I246:I251" si="151">E246+F246+G246+H246+D246</f>
        <v>3351.85</v>
      </c>
      <c r="J246" s="103">
        <v>12.67</v>
      </c>
      <c r="K246" s="5">
        <f t="shared" si="131"/>
        <v>3364.52</v>
      </c>
      <c r="L246" s="5">
        <f t="shared" si="139"/>
        <v>100.94</v>
      </c>
      <c r="M246" s="15">
        <f t="shared" si="140"/>
        <v>3465.46</v>
      </c>
      <c r="N246" s="15">
        <f t="shared" si="141"/>
        <v>693.09</v>
      </c>
      <c r="O246" s="100">
        <f t="shared" si="142"/>
        <v>4158.55</v>
      </c>
      <c r="P246" s="15">
        <f t="shared" ref="P246:P250" si="152">ROUND(O246/5/12,2)</f>
        <v>69.31</v>
      </c>
      <c r="Q246" s="101">
        <f>100+1</f>
        <v>101</v>
      </c>
      <c r="R246" s="102">
        <f t="shared" si="145"/>
        <v>2.06</v>
      </c>
      <c r="S246" s="48">
        <f>ROUND(451.2/Q246,2)</f>
        <v>4.47</v>
      </c>
    </row>
    <row r="247" spans="1:19" ht="15.75" x14ac:dyDescent="0.25">
      <c r="A247" s="87">
        <v>179</v>
      </c>
      <c r="B247" s="107" t="s">
        <v>175</v>
      </c>
      <c r="C247" s="26" t="s">
        <v>16</v>
      </c>
      <c r="D247" s="103">
        <v>2210.63</v>
      </c>
      <c r="E247" s="103">
        <v>18.079999999999998</v>
      </c>
      <c r="F247" s="103">
        <v>532.22</v>
      </c>
      <c r="G247" s="103">
        <v>117.09</v>
      </c>
      <c r="H247" s="11">
        <v>175.99</v>
      </c>
      <c r="I247" s="5">
        <f t="shared" si="151"/>
        <v>3054.01</v>
      </c>
      <c r="J247" s="103">
        <v>11.41</v>
      </c>
      <c r="K247" s="5">
        <f t="shared" si="131"/>
        <v>3065.42</v>
      </c>
      <c r="L247" s="5">
        <f t="shared" si="139"/>
        <v>91.96</v>
      </c>
      <c r="M247" s="15">
        <f t="shared" si="140"/>
        <v>3157.38</v>
      </c>
      <c r="N247" s="15">
        <f t="shared" si="141"/>
        <v>631.48</v>
      </c>
      <c r="O247" s="100">
        <f t="shared" si="142"/>
        <v>3788.86</v>
      </c>
      <c r="P247" s="15">
        <f t="shared" si="152"/>
        <v>63.15</v>
      </c>
      <c r="Q247" s="101">
        <f>73</f>
        <v>73</v>
      </c>
      <c r="R247" s="102">
        <f t="shared" si="145"/>
        <v>2.6</v>
      </c>
      <c r="S247" s="48">
        <f>ROUND(441.63/Q247,2)</f>
        <v>6.05</v>
      </c>
    </row>
    <row r="248" spans="1:19" ht="15.75" x14ac:dyDescent="0.25">
      <c r="A248" s="87">
        <v>180</v>
      </c>
      <c r="B248" s="107" t="s">
        <v>870</v>
      </c>
      <c r="C248" s="28" t="s">
        <v>12</v>
      </c>
      <c r="D248" s="103">
        <v>2427.87</v>
      </c>
      <c r="E248" s="103">
        <v>21</v>
      </c>
      <c r="F248" s="103">
        <v>580.29999999999995</v>
      </c>
      <c r="G248" s="103">
        <v>127.67</v>
      </c>
      <c r="H248" s="11">
        <v>195.01</v>
      </c>
      <c r="I248" s="5">
        <f t="shared" si="151"/>
        <v>3351.85</v>
      </c>
      <c r="J248" s="103">
        <v>12.67</v>
      </c>
      <c r="K248" s="5">
        <f t="shared" si="131"/>
        <v>3364.52</v>
      </c>
      <c r="L248" s="5">
        <f t="shared" si="139"/>
        <v>100.94</v>
      </c>
      <c r="M248" s="15">
        <f t="shared" si="140"/>
        <v>3465.46</v>
      </c>
      <c r="N248" s="15">
        <f t="shared" si="141"/>
        <v>693.09</v>
      </c>
      <c r="O248" s="100">
        <f t="shared" si="142"/>
        <v>4158.55</v>
      </c>
      <c r="P248" s="15">
        <f t="shared" si="152"/>
        <v>69.31</v>
      </c>
      <c r="Q248" s="101">
        <f>73+3</f>
        <v>76</v>
      </c>
      <c r="R248" s="102">
        <f t="shared" si="145"/>
        <v>2.74</v>
      </c>
      <c r="S248" s="48">
        <f>ROUND(451.2/Q248,2)</f>
        <v>5.94</v>
      </c>
    </row>
    <row r="249" spans="1:19" ht="15.75" x14ac:dyDescent="0.25">
      <c r="A249" s="87">
        <v>181</v>
      </c>
      <c r="B249" s="107" t="s">
        <v>176</v>
      </c>
      <c r="C249" s="27" t="s">
        <v>14</v>
      </c>
      <c r="D249" s="103">
        <v>2210.63</v>
      </c>
      <c r="E249" s="103">
        <v>18.079999999999998</v>
      </c>
      <c r="F249" s="103">
        <v>532.22</v>
      </c>
      <c r="G249" s="103">
        <v>117.09</v>
      </c>
      <c r="H249" s="11">
        <v>175.99</v>
      </c>
      <c r="I249" s="5">
        <f t="shared" si="151"/>
        <v>3054.01</v>
      </c>
      <c r="J249" s="103">
        <v>11.41</v>
      </c>
      <c r="K249" s="5">
        <f t="shared" si="131"/>
        <v>3065.42</v>
      </c>
      <c r="L249" s="5">
        <f t="shared" si="139"/>
        <v>91.96</v>
      </c>
      <c r="M249" s="15">
        <f t="shared" si="140"/>
        <v>3157.38</v>
      </c>
      <c r="N249" s="15">
        <f t="shared" si="141"/>
        <v>631.48</v>
      </c>
      <c r="O249" s="100">
        <f t="shared" si="142"/>
        <v>3788.86</v>
      </c>
      <c r="P249" s="15">
        <f t="shared" si="152"/>
        <v>63.15</v>
      </c>
      <c r="Q249" s="101">
        <f>72+2</f>
        <v>74</v>
      </c>
      <c r="R249" s="102">
        <f t="shared" si="145"/>
        <v>2.56</v>
      </c>
      <c r="S249" s="48">
        <f>ROUND(441.63/Q249,2)</f>
        <v>5.97</v>
      </c>
    </row>
    <row r="250" spans="1:19" ht="15.75" x14ac:dyDescent="0.25">
      <c r="A250" s="87">
        <v>182</v>
      </c>
      <c r="B250" s="107" t="s">
        <v>177</v>
      </c>
      <c r="C250" s="26" t="s">
        <v>16</v>
      </c>
      <c r="D250" s="103">
        <v>2210.63</v>
      </c>
      <c r="E250" s="103">
        <v>18.079999999999998</v>
      </c>
      <c r="F250" s="103">
        <v>532.22</v>
      </c>
      <c r="G250" s="103">
        <v>117.09</v>
      </c>
      <c r="H250" s="11">
        <v>175.99</v>
      </c>
      <c r="I250" s="5">
        <f t="shared" si="151"/>
        <v>3054.01</v>
      </c>
      <c r="J250" s="103">
        <v>11.41</v>
      </c>
      <c r="K250" s="5">
        <f t="shared" si="131"/>
        <v>3065.42</v>
      </c>
      <c r="L250" s="5">
        <f t="shared" si="139"/>
        <v>91.96</v>
      </c>
      <c r="M250" s="15">
        <f t="shared" si="140"/>
        <v>3157.38</v>
      </c>
      <c r="N250" s="15">
        <f t="shared" si="141"/>
        <v>631.48</v>
      </c>
      <c r="O250" s="100">
        <f t="shared" si="142"/>
        <v>3788.86</v>
      </c>
      <c r="P250" s="15">
        <f t="shared" si="152"/>
        <v>63.15</v>
      </c>
      <c r="Q250" s="101">
        <v>101</v>
      </c>
      <c r="R250" s="102">
        <f t="shared" si="145"/>
        <v>1.88</v>
      </c>
      <c r="S250" s="48">
        <f>ROUND(441.63/Q250,2)</f>
        <v>4.37</v>
      </c>
    </row>
    <row r="251" spans="1:19" ht="15.75" customHeight="1" x14ac:dyDescent="0.25">
      <c r="A251" s="220">
        <v>183</v>
      </c>
      <c r="B251" s="215" t="s">
        <v>792</v>
      </c>
      <c r="C251" s="27" t="s">
        <v>15</v>
      </c>
      <c r="D251" s="175">
        <f>1962.25*2</f>
        <v>3924.5</v>
      </c>
      <c r="E251" s="195">
        <f>18.08*2</f>
        <v>36.159999999999997</v>
      </c>
      <c r="F251" s="195">
        <f>532.22*2</f>
        <v>1064.44</v>
      </c>
      <c r="G251" s="195">
        <f>117.09*2</f>
        <v>234.18</v>
      </c>
      <c r="H251" s="167">
        <f>175.99*2</f>
        <v>351.98</v>
      </c>
      <c r="I251" s="169">
        <f t="shared" si="151"/>
        <v>5611.26</v>
      </c>
      <c r="J251" s="167">
        <f>11.41*2</f>
        <v>22.82</v>
      </c>
      <c r="K251" s="169">
        <f t="shared" si="131"/>
        <v>5634.08</v>
      </c>
      <c r="L251" s="169">
        <f t="shared" si="139"/>
        <v>169.02</v>
      </c>
      <c r="M251" s="169">
        <f t="shared" si="140"/>
        <v>5803.1</v>
      </c>
      <c r="N251" s="173">
        <f t="shared" si="141"/>
        <v>1160.6199999999999</v>
      </c>
      <c r="O251" s="185">
        <f t="shared" si="142"/>
        <v>6963.72</v>
      </c>
      <c r="P251" s="83">
        <f>ROUND(O251/5/12,2)</f>
        <v>116.06</v>
      </c>
      <c r="Q251" s="180">
        <f>57+66+4</f>
        <v>127</v>
      </c>
      <c r="R251" s="182">
        <f t="shared" si="145"/>
        <v>2.74</v>
      </c>
      <c r="S251" s="166">
        <f>ROUND(441.63*2/Q251,2)</f>
        <v>6.95</v>
      </c>
    </row>
    <row r="252" spans="1:19" ht="15.75" customHeight="1" x14ac:dyDescent="0.25">
      <c r="A252" s="221"/>
      <c r="B252" s="216"/>
      <c r="C252" s="30" t="s">
        <v>49</v>
      </c>
      <c r="D252" s="177"/>
      <c r="E252" s="197"/>
      <c r="F252" s="197"/>
      <c r="G252" s="197"/>
      <c r="H252" s="168">
        <f>ROUND((E252+F252+G252)*11.7%,2)</f>
        <v>0</v>
      </c>
      <c r="I252" s="170">
        <f t="shared" ref="I252" si="153">E252+F252+G252+H252</f>
        <v>0</v>
      </c>
      <c r="J252" s="168">
        <f t="shared" ref="J252" si="154">ROUND(I252*11.6%,2)</f>
        <v>0</v>
      </c>
      <c r="K252" s="170">
        <f t="shared" si="131"/>
        <v>0</v>
      </c>
      <c r="L252" s="170">
        <f t="shared" si="139"/>
        <v>0</v>
      </c>
      <c r="M252" s="170">
        <f t="shared" si="140"/>
        <v>0</v>
      </c>
      <c r="N252" s="174">
        <f t="shared" si="141"/>
        <v>0</v>
      </c>
      <c r="O252" s="186">
        <f t="shared" si="142"/>
        <v>0</v>
      </c>
      <c r="P252" s="84"/>
      <c r="Q252" s="181"/>
      <c r="R252" s="183" t="e">
        <f t="shared" si="145"/>
        <v>#DIV/0!</v>
      </c>
      <c r="S252" s="166" t="e">
        <f t="shared" si="134"/>
        <v>#DIV/0!</v>
      </c>
    </row>
    <row r="253" spans="1:19" ht="15.75" x14ac:dyDescent="0.25">
      <c r="A253" s="87">
        <v>184</v>
      </c>
      <c r="B253" s="107" t="s">
        <v>178</v>
      </c>
      <c r="C253" s="31" t="s">
        <v>179</v>
      </c>
      <c r="D253" s="103">
        <v>2427.87</v>
      </c>
      <c r="E253" s="3">
        <v>21</v>
      </c>
      <c r="F253" s="3">
        <v>580.29999999999995</v>
      </c>
      <c r="G253" s="3">
        <v>127.67</v>
      </c>
      <c r="H253" s="11">
        <v>195.01</v>
      </c>
      <c r="I253" s="5">
        <f>E253+F253+G253+H253+D253</f>
        <v>3351.85</v>
      </c>
      <c r="J253" s="103">
        <v>12.67</v>
      </c>
      <c r="K253" s="5">
        <f t="shared" si="131"/>
        <v>3364.52</v>
      </c>
      <c r="L253" s="5">
        <f t="shared" si="139"/>
        <v>100.94</v>
      </c>
      <c r="M253" s="15">
        <f t="shared" si="140"/>
        <v>3465.46</v>
      </c>
      <c r="N253" s="15">
        <f t="shared" si="141"/>
        <v>693.09</v>
      </c>
      <c r="O253" s="100">
        <f t="shared" si="142"/>
        <v>4158.55</v>
      </c>
      <c r="P253" s="15">
        <f t="shared" ref="P253:P255" si="155">ROUND(O253/5/12,2)</f>
        <v>69.31</v>
      </c>
      <c r="Q253" s="101">
        <f>127+3</f>
        <v>130</v>
      </c>
      <c r="R253" s="102">
        <f t="shared" si="145"/>
        <v>1.6</v>
      </c>
      <c r="S253" s="104">
        <f>ROUND(482.49/Q253,2)</f>
        <v>3.71</v>
      </c>
    </row>
    <row r="254" spans="1:19" ht="15.75" x14ac:dyDescent="0.25">
      <c r="A254" s="87">
        <v>185</v>
      </c>
      <c r="B254" s="107" t="s">
        <v>180</v>
      </c>
      <c r="C254" s="26" t="s">
        <v>16</v>
      </c>
      <c r="D254" s="103">
        <v>2210.63</v>
      </c>
      <c r="E254" s="103">
        <v>18.079999999999998</v>
      </c>
      <c r="F254" s="103">
        <v>532.22</v>
      </c>
      <c r="G254" s="103">
        <v>117.09</v>
      </c>
      <c r="H254" s="11">
        <v>175.99</v>
      </c>
      <c r="I254" s="5">
        <f>E254+F254+G254+H254+D254</f>
        <v>3054.01</v>
      </c>
      <c r="J254" s="103">
        <v>11.41</v>
      </c>
      <c r="K254" s="5">
        <f t="shared" si="131"/>
        <v>3065.42</v>
      </c>
      <c r="L254" s="5">
        <f t="shared" si="139"/>
        <v>91.96</v>
      </c>
      <c r="M254" s="15">
        <f t="shared" si="140"/>
        <v>3157.38</v>
      </c>
      <c r="N254" s="15">
        <f t="shared" si="141"/>
        <v>631.48</v>
      </c>
      <c r="O254" s="100">
        <f t="shared" si="142"/>
        <v>3788.86</v>
      </c>
      <c r="P254" s="15">
        <f t="shared" si="155"/>
        <v>63.15</v>
      </c>
      <c r="Q254" s="101">
        <v>30</v>
      </c>
      <c r="R254" s="102">
        <f>ROUND(P254*3/Q254,2)-0.01</f>
        <v>6.3100000000000005</v>
      </c>
      <c r="S254" s="48">
        <f>ROUND(441.63/Q254,2)</f>
        <v>14.72</v>
      </c>
    </row>
    <row r="255" spans="1:19" ht="15.75" x14ac:dyDescent="0.25">
      <c r="A255" s="87">
        <v>186</v>
      </c>
      <c r="B255" s="107" t="s">
        <v>181</v>
      </c>
      <c r="C255" s="26" t="s">
        <v>49</v>
      </c>
      <c r="D255" s="103">
        <v>1962.25</v>
      </c>
      <c r="E255" s="103">
        <v>18.079999999999998</v>
      </c>
      <c r="F255" s="103">
        <v>532.22</v>
      </c>
      <c r="G255" s="103">
        <v>117.09</v>
      </c>
      <c r="H255" s="11">
        <v>175.99</v>
      </c>
      <c r="I255" s="5">
        <f>E255+F255+G255+H255+D255</f>
        <v>2805.63</v>
      </c>
      <c r="J255" s="103">
        <v>11.41</v>
      </c>
      <c r="K255" s="5">
        <f t="shared" si="131"/>
        <v>2817.04</v>
      </c>
      <c r="L255" s="5">
        <f t="shared" si="139"/>
        <v>84.51</v>
      </c>
      <c r="M255" s="15">
        <f t="shared" si="140"/>
        <v>2901.55</v>
      </c>
      <c r="N255" s="15">
        <f t="shared" si="141"/>
        <v>580.30999999999995</v>
      </c>
      <c r="O255" s="100">
        <f t="shared" si="142"/>
        <v>3481.86</v>
      </c>
      <c r="P255" s="15">
        <f t="shared" si="155"/>
        <v>58.03</v>
      </c>
      <c r="Q255" s="101">
        <v>30</v>
      </c>
      <c r="R255" s="102">
        <f t="shared" si="145"/>
        <v>5.8</v>
      </c>
      <c r="S255" s="48">
        <f>ROUND(441.63/Q255,2)</f>
        <v>14.72</v>
      </c>
    </row>
    <row r="256" spans="1:19" ht="15.75" x14ac:dyDescent="0.25">
      <c r="A256" s="220">
        <v>187</v>
      </c>
      <c r="B256" s="215" t="s">
        <v>793</v>
      </c>
      <c r="C256" s="27" t="s">
        <v>24</v>
      </c>
      <c r="D256" s="190">
        <f>1962.25+2427.87</f>
        <v>4390.12</v>
      </c>
      <c r="E256" s="222">
        <f>18.08+21</f>
        <v>39.08</v>
      </c>
      <c r="F256" s="222">
        <f>532.22+580.3</f>
        <v>1112.52</v>
      </c>
      <c r="G256" s="222">
        <f>117.09+127.67</f>
        <v>244.76</v>
      </c>
      <c r="H256" s="167">
        <f>175.99+195.01</f>
        <v>371</v>
      </c>
      <c r="I256" s="169">
        <f>E256+F256+G256+H256+D256</f>
        <v>6157.48</v>
      </c>
      <c r="J256" s="167">
        <f>11.41+12.67</f>
        <v>24.08</v>
      </c>
      <c r="K256" s="169">
        <f t="shared" si="131"/>
        <v>6181.5599999999995</v>
      </c>
      <c r="L256" s="169">
        <f t="shared" si="139"/>
        <v>185.45</v>
      </c>
      <c r="M256" s="169">
        <f t="shared" si="140"/>
        <v>6367.0099999999993</v>
      </c>
      <c r="N256" s="173">
        <f t="shared" si="141"/>
        <v>1273.4000000000001</v>
      </c>
      <c r="O256" s="185">
        <f t="shared" si="142"/>
        <v>7640.41</v>
      </c>
      <c r="P256" s="83">
        <f>ROUND(O256/5/12,2)</f>
        <v>127.34</v>
      </c>
      <c r="Q256" s="180">
        <f>42+141</f>
        <v>183</v>
      </c>
      <c r="R256" s="182">
        <f t="shared" si="145"/>
        <v>2.09</v>
      </c>
      <c r="S256" s="166">
        <f>ROUND((441.63+482.49)/Q256,2)</f>
        <v>5.05</v>
      </c>
    </row>
    <row r="257" spans="1:19" ht="15.75" x14ac:dyDescent="0.25">
      <c r="A257" s="221"/>
      <c r="B257" s="216"/>
      <c r="C257" s="30" t="s">
        <v>182</v>
      </c>
      <c r="D257" s="177"/>
      <c r="E257" s="197"/>
      <c r="F257" s="197"/>
      <c r="G257" s="197"/>
      <c r="H257" s="168">
        <f>ROUND((E257+F257+G257)*11.7%,2)</f>
        <v>0</v>
      </c>
      <c r="I257" s="170">
        <f t="shared" ref="I257" si="156">E257+F257+G257+H257</f>
        <v>0</v>
      </c>
      <c r="J257" s="168">
        <f t="shared" ref="J257:J299" si="157">ROUND(I257*11.6%,2)</f>
        <v>0</v>
      </c>
      <c r="K257" s="170">
        <f t="shared" si="131"/>
        <v>0</v>
      </c>
      <c r="L257" s="170">
        <f t="shared" si="139"/>
        <v>0</v>
      </c>
      <c r="M257" s="170">
        <f t="shared" si="140"/>
        <v>0</v>
      </c>
      <c r="N257" s="174">
        <f t="shared" si="141"/>
        <v>0</v>
      </c>
      <c r="O257" s="186">
        <f t="shared" si="142"/>
        <v>0</v>
      </c>
      <c r="P257" s="84"/>
      <c r="Q257" s="181"/>
      <c r="R257" s="183" t="e">
        <f t="shared" si="145"/>
        <v>#DIV/0!</v>
      </c>
      <c r="S257" s="166" t="e">
        <f t="shared" si="134"/>
        <v>#DIV/0!</v>
      </c>
    </row>
    <row r="258" spans="1:19" ht="15.75" x14ac:dyDescent="0.25">
      <c r="A258" s="87">
        <v>188</v>
      </c>
      <c r="B258" s="107" t="s">
        <v>183</v>
      </c>
      <c r="C258" s="26" t="s">
        <v>49</v>
      </c>
      <c r="D258" s="103">
        <v>1962.25</v>
      </c>
      <c r="E258" s="103">
        <v>18.079999999999998</v>
      </c>
      <c r="F258" s="103">
        <v>532.22</v>
      </c>
      <c r="G258" s="103">
        <v>117.09</v>
      </c>
      <c r="H258" s="11">
        <v>175.99</v>
      </c>
      <c r="I258" s="5">
        <f>E258+F258+G258+H258+D258</f>
        <v>2805.63</v>
      </c>
      <c r="J258" s="103">
        <v>11.41</v>
      </c>
      <c r="K258" s="5">
        <f t="shared" si="131"/>
        <v>2817.04</v>
      </c>
      <c r="L258" s="5">
        <f t="shared" si="139"/>
        <v>84.51</v>
      </c>
      <c r="M258" s="15">
        <f t="shared" si="140"/>
        <v>2901.55</v>
      </c>
      <c r="N258" s="15">
        <f t="shared" si="141"/>
        <v>580.30999999999995</v>
      </c>
      <c r="O258" s="100">
        <f t="shared" si="142"/>
        <v>3481.86</v>
      </c>
      <c r="P258" s="15">
        <f>ROUND(O258/5/12,2)</f>
        <v>58.03</v>
      </c>
      <c r="Q258" s="101">
        <f>72+1</f>
        <v>73</v>
      </c>
      <c r="R258" s="102">
        <f t="shared" si="145"/>
        <v>2.38</v>
      </c>
      <c r="S258" s="48">
        <f>ROUND(441.63/Q258,2)</f>
        <v>6.05</v>
      </c>
    </row>
    <row r="259" spans="1:19" ht="15.75" customHeight="1" x14ac:dyDescent="0.25">
      <c r="A259" s="220">
        <v>189</v>
      </c>
      <c r="B259" s="215" t="s">
        <v>794</v>
      </c>
      <c r="C259" s="27" t="s">
        <v>24</v>
      </c>
      <c r="D259" s="175">
        <f>1962.25*3</f>
        <v>5886.75</v>
      </c>
      <c r="E259" s="195">
        <f>18.08*3</f>
        <v>54.239999999999995</v>
      </c>
      <c r="F259" s="195">
        <f>532.22*3</f>
        <v>1596.66</v>
      </c>
      <c r="G259" s="195">
        <f>117.09*3</f>
        <v>351.27</v>
      </c>
      <c r="H259" s="167">
        <f>175.99*3</f>
        <v>527.97</v>
      </c>
      <c r="I259" s="169">
        <f>E259+F259+G259+H259+D259</f>
        <v>8416.89</v>
      </c>
      <c r="J259" s="167">
        <f>11.41*3</f>
        <v>34.230000000000004</v>
      </c>
      <c r="K259" s="169">
        <f t="shared" si="131"/>
        <v>8451.119999999999</v>
      </c>
      <c r="L259" s="169">
        <f t="shared" si="139"/>
        <v>253.53</v>
      </c>
      <c r="M259" s="173">
        <f t="shared" si="140"/>
        <v>8704.65</v>
      </c>
      <c r="N259" s="173">
        <f t="shared" si="141"/>
        <v>1740.93</v>
      </c>
      <c r="O259" s="178">
        <f t="shared" si="142"/>
        <v>10445.58</v>
      </c>
      <c r="P259" s="73">
        <f>ROUND(O259/5/12,2)</f>
        <v>174.09</v>
      </c>
      <c r="Q259" s="180">
        <f>35*2+36+1</f>
        <v>107</v>
      </c>
      <c r="R259" s="182">
        <f t="shared" si="145"/>
        <v>4.88</v>
      </c>
      <c r="S259" s="166">
        <f>ROUND(441.63*3/Q259,2)</f>
        <v>12.38</v>
      </c>
    </row>
    <row r="260" spans="1:19" ht="15.75" customHeight="1" x14ac:dyDescent="0.25">
      <c r="A260" s="223"/>
      <c r="B260" s="218"/>
      <c r="C260" s="29" t="s">
        <v>24</v>
      </c>
      <c r="D260" s="176"/>
      <c r="E260" s="196"/>
      <c r="F260" s="196"/>
      <c r="G260" s="196"/>
      <c r="H260" s="171">
        <f>ROUND((E260+F260+G260)*11.7%,2)</f>
        <v>0</v>
      </c>
      <c r="I260" s="172">
        <f t="shared" ref="I260:I261" si="158">E260+F260+G260+H260</f>
        <v>0</v>
      </c>
      <c r="J260" s="171">
        <f t="shared" ref="J260:J261" si="159">ROUND(I260*11.6%,2)</f>
        <v>0</v>
      </c>
      <c r="K260" s="172">
        <f t="shared" si="131"/>
        <v>0</v>
      </c>
      <c r="L260" s="172">
        <f t="shared" si="139"/>
        <v>0</v>
      </c>
      <c r="M260" s="191">
        <f t="shared" si="140"/>
        <v>0</v>
      </c>
      <c r="N260" s="191">
        <f t="shared" si="141"/>
        <v>0</v>
      </c>
      <c r="O260" s="187">
        <f t="shared" si="142"/>
        <v>0</v>
      </c>
      <c r="P260" s="74"/>
      <c r="Q260" s="188"/>
      <c r="R260" s="189" t="e">
        <f t="shared" si="145"/>
        <v>#DIV/0!</v>
      </c>
      <c r="S260" s="166" t="e">
        <f t="shared" si="134"/>
        <v>#DIV/0!</v>
      </c>
    </row>
    <row r="261" spans="1:19" ht="15.75" customHeight="1" x14ac:dyDescent="0.25">
      <c r="A261" s="221"/>
      <c r="B261" s="216"/>
      <c r="C261" s="35" t="s">
        <v>24</v>
      </c>
      <c r="D261" s="177"/>
      <c r="E261" s="197"/>
      <c r="F261" s="197"/>
      <c r="G261" s="197"/>
      <c r="H261" s="168">
        <f>ROUND((E261+F261+G261)*11.7%,2)</f>
        <v>0</v>
      </c>
      <c r="I261" s="170">
        <f t="shared" si="158"/>
        <v>0</v>
      </c>
      <c r="J261" s="168">
        <f t="shared" si="159"/>
        <v>0</v>
      </c>
      <c r="K261" s="170">
        <f t="shared" si="131"/>
        <v>0</v>
      </c>
      <c r="L261" s="170">
        <f t="shared" si="139"/>
        <v>0</v>
      </c>
      <c r="M261" s="174">
        <f t="shared" si="140"/>
        <v>0</v>
      </c>
      <c r="N261" s="174">
        <f t="shared" si="141"/>
        <v>0</v>
      </c>
      <c r="O261" s="179">
        <f t="shared" si="142"/>
        <v>0</v>
      </c>
      <c r="P261" s="75"/>
      <c r="Q261" s="181"/>
      <c r="R261" s="183" t="e">
        <f t="shared" si="145"/>
        <v>#DIV/0!</v>
      </c>
      <c r="S261" s="166" t="e">
        <f t="shared" si="134"/>
        <v>#DIV/0!</v>
      </c>
    </row>
    <row r="262" spans="1:19" ht="15.75" x14ac:dyDescent="0.25">
      <c r="A262" s="87">
        <v>190</v>
      </c>
      <c r="B262" s="107" t="s">
        <v>184</v>
      </c>
      <c r="C262" s="26" t="s">
        <v>182</v>
      </c>
      <c r="D262" s="103">
        <v>2427.87</v>
      </c>
      <c r="E262" s="103">
        <v>21</v>
      </c>
      <c r="F262" s="103">
        <v>580.29999999999995</v>
      </c>
      <c r="G262" s="103">
        <v>127.67</v>
      </c>
      <c r="H262" s="11">
        <v>195.01</v>
      </c>
      <c r="I262" s="5">
        <f t="shared" ref="I262:I265" si="160">E262+F262+G262+H262+D262</f>
        <v>3351.85</v>
      </c>
      <c r="J262" s="103">
        <v>12.67</v>
      </c>
      <c r="K262" s="5">
        <f t="shared" si="131"/>
        <v>3364.52</v>
      </c>
      <c r="L262" s="5">
        <f t="shared" si="139"/>
        <v>100.94</v>
      </c>
      <c r="M262" s="15">
        <f t="shared" si="140"/>
        <v>3465.46</v>
      </c>
      <c r="N262" s="15">
        <f t="shared" si="141"/>
        <v>693.09</v>
      </c>
      <c r="O262" s="100">
        <f t="shared" si="142"/>
        <v>4158.55</v>
      </c>
      <c r="P262" s="15">
        <f t="shared" ref="P262:P266" si="161">ROUND(O262/5/12,2)</f>
        <v>69.31</v>
      </c>
      <c r="Q262" s="101">
        <v>110</v>
      </c>
      <c r="R262" s="102">
        <f t="shared" si="145"/>
        <v>1.89</v>
      </c>
      <c r="S262" s="48">
        <f>ROUND(482.49/Q262,2)</f>
        <v>4.3899999999999997</v>
      </c>
    </row>
    <row r="263" spans="1:19" ht="15.75" x14ac:dyDescent="0.25">
      <c r="A263" s="87">
        <v>191</v>
      </c>
      <c r="B263" s="107" t="s">
        <v>185</v>
      </c>
      <c r="C263" s="27" t="s">
        <v>60</v>
      </c>
      <c r="D263" s="103">
        <v>2427.87</v>
      </c>
      <c r="E263" s="103">
        <v>21</v>
      </c>
      <c r="F263" s="103">
        <v>580.29999999999995</v>
      </c>
      <c r="G263" s="103">
        <v>127.67</v>
      </c>
      <c r="H263" s="11">
        <v>195.01</v>
      </c>
      <c r="I263" s="5">
        <f t="shared" si="160"/>
        <v>3351.85</v>
      </c>
      <c r="J263" s="103">
        <v>12.67</v>
      </c>
      <c r="K263" s="5">
        <f t="shared" si="131"/>
        <v>3364.52</v>
      </c>
      <c r="L263" s="5">
        <f t="shared" si="139"/>
        <v>100.94</v>
      </c>
      <c r="M263" s="15">
        <f t="shared" si="140"/>
        <v>3465.46</v>
      </c>
      <c r="N263" s="15">
        <f t="shared" si="141"/>
        <v>693.09</v>
      </c>
      <c r="O263" s="100">
        <f t="shared" si="142"/>
        <v>4158.55</v>
      </c>
      <c r="P263" s="15">
        <f t="shared" si="161"/>
        <v>69.31</v>
      </c>
      <c r="Q263" s="101">
        <v>119</v>
      </c>
      <c r="R263" s="102">
        <f t="shared" si="145"/>
        <v>1.75</v>
      </c>
      <c r="S263" s="48">
        <f t="shared" ref="S263:S264" si="162">ROUND(451.2/Q263,2)</f>
        <v>3.79</v>
      </c>
    </row>
    <row r="264" spans="1:19" ht="15.75" x14ac:dyDescent="0.25">
      <c r="A264" s="87">
        <v>192</v>
      </c>
      <c r="B264" s="107" t="s">
        <v>186</v>
      </c>
      <c r="C264" s="26" t="s">
        <v>60</v>
      </c>
      <c r="D264" s="103">
        <v>2427.87</v>
      </c>
      <c r="E264" s="103">
        <v>21</v>
      </c>
      <c r="F264" s="103">
        <v>580.29999999999995</v>
      </c>
      <c r="G264" s="103">
        <v>127.67</v>
      </c>
      <c r="H264" s="11">
        <v>195.01</v>
      </c>
      <c r="I264" s="5">
        <f t="shared" si="160"/>
        <v>3351.85</v>
      </c>
      <c r="J264" s="103">
        <v>12.67</v>
      </c>
      <c r="K264" s="5">
        <f t="shared" si="131"/>
        <v>3364.52</v>
      </c>
      <c r="L264" s="5">
        <f t="shared" si="139"/>
        <v>100.94</v>
      </c>
      <c r="M264" s="15">
        <f t="shared" si="140"/>
        <v>3465.46</v>
      </c>
      <c r="N264" s="15">
        <f t="shared" si="141"/>
        <v>693.09</v>
      </c>
      <c r="O264" s="100">
        <f t="shared" si="142"/>
        <v>4158.55</v>
      </c>
      <c r="P264" s="15">
        <f t="shared" si="161"/>
        <v>69.31</v>
      </c>
      <c r="Q264" s="101">
        <f>163+2</f>
        <v>165</v>
      </c>
      <c r="R264" s="102">
        <f t="shared" si="145"/>
        <v>1.26</v>
      </c>
      <c r="S264" s="48">
        <f t="shared" si="162"/>
        <v>2.73</v>
      </c>
    </row>
    <row r="265" spans="1:19" ht="20.25" customHeight="1" x14ac:dyDescent="0.25">
      <c r="A265" s="87">
        <v>193</v>
      </c>
      <c r="B265" s="107" t="s">
        <v>187</v>
      </c>
      <c r="C265" s="26" t="s">
        <v>12</v>
      </c>
      <c r="D265" s="103">
        <v>2427.87</v>
      </c>
      <c r="E265" s="103">
        <v>21</v>
      </c>
      <c r="F265" s="103">
        <v>580.29999999999995</v>
      </c>
      <c r="G265" s="103">
        <v>127.67</v>
      </c>
      <c r="H265" s="11">
        <v>195.01</v>
      </c>
      <c r="I265" s="5">
        <f t="shared" si="160"/>
        <v>3351.85</v>
      </c>
      <c r="J265" s="103">
        <v>12.67</v>
      </c>
      <c r="K265" s="5">
        <f t="shared" si="131"/>
        <v>3364.52</v>
      </c>
      <c r="L265" s="5">
        <f t="shared" si="139"/>
        <v>100.94</v>
      </c>
      <c r="M265" s="15">
        <f t="shared" si="140"/>
        <v>3465.46</v>
      </c>
      <c r="N265" s="15">
        <f t="shared" si="141"/>
        <v>693.09</v>
      </c>
      <c r="O265" s="100">
        <f t="shared" si="142"/>
        <v>4158.55</v>
      </c>
      <c r="P265" s="15">
        <f t="shared" si="161"/>
        <v>69.31</v>
      </c>
      <c r="Q265" s="101">
        <v>110</v>
      </c>
      <c r="R265" s="102">
        <f t="shared" si="145"/>
        <v>1.89</v>
      </c>
      <c r="S265" s="48">
        <f>ROUND(451.2/Q265,2)</f>
        <v>4.0999999999999996</v>
      </c>
    </row>
    <row r="266" spans="1:19" ht="23.25" customHeight="1" x14ac:dyDescent="0.25">
      <c r="A266" s="87">
        <v>194</v>
      </c>
      <c r="B266" s="107" t="s">
        <v>188</v>
      </c>
      <c r="C266" s="38" t="s">
        <v>16</v>
      </c>
      <c r="D266" s="103">
        <v>2210.63</v>
      </c>
      <c r="E266" s="103">
        <v>18.079999999999998</v>
      </c>
      <c r="F266" s="103">
        <v>532.22</v>
      </c>
      <c r="G266" s="103">
        <v>117.09</v>
      </c>
      <c r="H266" s="11">
        <v>175.99</v>
      </c>
      <c r="I266" s="5">
        <f>E266+F266+G266+H266+D266</f>
        <v>3054.01</v>
      </c>
      <c r="J266" s="103">
        <v>11.41</v>
      </c>
      <c r="K266" s="5">
        <f t="shared" ref="K266:K329" si="163">I266+J266</f>
        <v>3065.42</v>
      </c>
      <c r="L266" s="5">
        <f t="shared" si="139"/>
        <v>91.96</v>
      </c>
      <c r="M266" s="15">
        <f t="shared" si="140"/>
        <v>3157.38</v>
      </c>
      <c r="N266" s="15">
        <f t="shared" si="141"/>
        <v>631.48</v>
      </c>
      <c r="O266" s="100">
        <f t="shared" si="142"/>
        <v>3788.86</v>
      </c>
      <c r="P266" s="15">
        <f t="shared" si="161"/>
        <v>63.15</v>
      </c>
      <c r="Q266" s="101">
        <f>71+1</f>
        <v>72</v>
      </c>
      <c r="R266" s="102">
        <f t="shared" si="145"/>
        <v>2.63</v>
      </c>
      <c r="S266" s="48">
        <f>ROUND(441.63/Q266,2)</f>
        <v>6.13</v>
      </c>
    </row>
    <row r="267" spans="1:19" ht="15.75" customHeight="1" x14ac:dyDescent="0.25">
      <c r="A267" s="220">
        <v>195</v>
      </c>
      <c r="B267" s="215" t="s">
        <v>795</v>
      </c>
      <c r="C267" s="27" t="s">
        <v>60</v>
      </c>
      <c r="D267" s="190">
        <f>1962.25*2+2210.63+2427.87</f>
        <v>8563</v>
      </c>
      <c r="E267" s="195">
        <f>18.08*2+18.08+21</f>
        <v>75.239999999999995</v>
      </c>
      <c r="F267" s="195">
        <f>532.22*2+532.22+580.3</f>
        <v>2176.96</v>
      </c>
      <c r="G267" s="195">
        <f>117.09*2+117.09+127.67</f>
        <v>478.94</v>
      </c>
      <c r="H267" s="167">
        <f>175.99*2+175.99+195.01</f>
        <v>722.98</v>
      </c>
      <c r="I267" s="169">
        <f t="shared" ref="I267" si="164">E267+F267+G267+H267+D267</f>
        <v>12017.119999999999</v>
      </c>
      <c r="J267" s="167">
        <f>11.41*2+11.41+12.67</f>
        <v>46.900000000000006</v>
      </c>
      <c r="K267" s="169">
        <f t="shared" si="163"/>
        <v>12064.019999999999</v>
      </c>
      <c r="L267" s="169">
        <f t="shared" si="139"/>
        <v>361.92</v>
      </c>
      <c r="M267" s="169">
        <f t="shared" si="140"/>
        <v>12425.939999999999</v>
      </c>
      <c r="N267" s="173">
        <f t="shared" si="141"/>
        <v>2485.19</v>
      </c>
      <c r="O267" s="185">
        <f t="shared" si="142"/>
        <v>14911.13</v>
      </c>
      <c r="P267" s="83">
        <f>ROUND(O267/5/12,2)</f>
        <v>248.52</v>
      </c>
      <c r="Q267" s="180">
        <f>41+83+69+38+4</f>
        <v>235</v>
      </c>
      <c r="R267" s="164">
        <f t="shared" si="145"/>
        <v>3.17</v>
      </c>
      <c r="S267" s="166">
        <f>ROUND((441.63*2+451.2+469.47)/Q267,2)</f>
        <v>7.68</v>
      </c>
    </row>
    <row r="268" spans="1:19" ht="15.75" customHeight="1" x14ac:dyDescent="0.25">
      <c r="A268" s="223"/>
      <c r="B268" s="218"/>
      <c r="C268" s="29" t="s">
        <v>16</v>
      </c>
      <c r="D268" s="200"/>
      <c r="E268" s="196"/>
      <c r="F268" s="196"/>
      <c r="G268" s="196"/>
      <c r="H268" s="171"/>
      <c r="I268" s="172"/>
      <c r="J268" s="171">
        <f t="shared" si="157"/>
        <v>0</v>
      </c>
      <c r="K268" s="172">
        <f t="shared" si="163"/>
        <v>0</v>
      </c>
      <c r="L268" s="172">
        <f t="shared" si="139"/>
        <v>0</v>
      </c>
      <c r="M268" s="172">
        <f t="shared" si="140"/>
        <v>0</v>
      </c>
      <c r="N268" s="191">
        <f t="shared" si="141"/>
        <v>0</v>
      </c>
      <c r="O268" s="198">
        <f t="shared" si="142"/>
        <v>0</v>
      </c>
      <c r="P268" s="89"/>
      <c r="Q268" s="188"/>
      <c r="R268" s="224" t="e">
        <f t="shared" si="145"/>
        <v>#DIV/0!</v>
      </c>
      <c r="S268" s="166" t="e">
        <f t="shared" si="134"/>
        <v>#DIV/0!</v>
      </c>
    </row>
    <row r="269" spans="1:19" ht="15.75" customHeight="1" x14ac:dyDescent="0.25">
      <c r="A269" s="223"/>
      <c r="B269" s="218"/>
      <c r="C269" s="39" t="s">
        <v>27</v>
      </c>
      <c r="D269" s="200"/>
      <c r="E269" s="196"/>
      <c r="F269" s="196"/>
      <c r="G269" s="196"/>
      <c r="H269" s="171"/>
      <c r="I269" s="172"/>
      <c r="J269" s="171">
        <f t="shared" si="157"/>
        <v>0</v>
      </c>
      <c r="K269" s="172">
        <f t="shared" si="163"/>
        <v>0</v>
      </c>
      <c r="L269" s="172">
        <f t="shared" si="139"/>
        <v>0</v>
      </c>
      <c r="M269" s="172">
        <f t="shared" si="140"/>
        <v>0</v>
      </c>
      <c r="N269" s="191">
        <f t="shared" si="141"/>
        <v>0</v>
      </c>
      <c r="O269" s="198">
        <f t="shared" si="142"/>
        <v>0</v>
      </c>
      <c r="P269" s="89"/>
      <c r="Q269" s="188"/>
      <c r="R269" s="224" t="e">
        <f t="shared" si="145"/>
        <v>#DIV/0!</v>
      </c>
      <c r="S269" s="166" t="e">
        <f t="shared" si="134"/>
        <v>#DIV/0!</v>
      </c>
    </row>
    <row r="270" spans="1:19" ht="15.75" customHeight="1" x14ac:dyDescent="0.25">
      <c r="A270" s="221"/>
      <c r="B270" s="216"/>
      <c r="C270" s="30" t="s">
        <v>24</v>
      </c>
      <c r="D270" s="199"/>
      <c r="E270" s="197"/>
      <c r="F270" s="197"/>
      <c r="G270" s="197"/>
      <c r="H270" s="168"/>
      <c r="I270" s="170"/>
      <c r="J270" s="168">
        <f t="shared" si="157"/>
        <v>0</v>
      </c>
      <c r="K270" s="170">
        <f t="shared" si="163"/>
        <v>0</v>
      </c>
      <c r="L270" s="170">
        <f t="shared" si="139"/>
        <v>0</v>
      </c>
      <c r="M270" s="170">
        <f t="shared" si="140"/>
        <v>0</v>
      </c>
      <c r="N270" s="174">
        <f t="shared" si="141"/>
        <v>0</v>
      </c>
      <c r="O270" s="186">
        <f t="shared" si="142"/>
        <v>0</v>
      </c>
      <c r="P270" s="84"/>
      <c r="Q270" s="181"/>
      <c r="R270" s="165" t="e">
        <f t="shared" si="145"/>
        <v>#DIV/0!</v>
      </c>
      <c r="S270" s="166" t="e">
        <f t="shared" si="134"/>
        <v>#DIV/0!</v>
      </c>
    </row>
    <row r="271" spans="1:19" ht="21" customHeight="1" thickBot="1" x14ac:dyDescent="0.3">
      <c r="A271" s="23">
        <v>196</v>
      </c>
      <c r="B271" s="126" t="s">
        <v>189</v>
      </c>
      <c r="C271" s="112" t="s">
        <v>14</v>
      </c>
      <c r="D271" s="57">
        <v>2210.63</v>
      </c>
      <c r="E271" s="57">
        <v>18.079999999999998</v>
      </c>
      <c r="F271" s="57">
        <v>532.22</v>
      </c>
      <c r="G271" s="57">
        <v>117.09</v>
      </c>
      <c r="H271" s="58">
        <v>175.99</v>
      </c>
      <c r="I271" s="59">
        <f>E271+F271+G271+H271+D271</f>
        <v>3054.01</v>
      </c>
      <c r="J271" s="57">
        <v>11.41</v>
      </c>
      <c r="K271" s="59">
        <f t="shared" si="163"/>
        <v>3065.42</v>
      </c>
      <c r="L271" s="59">
        <f t="shared" si="139"/>
        <v>91.96</v>
      </c>
      <c r="M271" s="60">
        <f t="shared" si="140"/>
        <v>3157.38</v>
      </c>
      <c r="N271" s="60">
        <f t="shared" si="141"/>
        <v>631.48</v>
      </c>
      <c r="O271" s="61">
        <f t="shared" si="142"/>
        <v>3788.86</v>
      </c>
      <c r="P271" s="60">
        <f t="shared" ref="P271:P272" si="165">ROUND(O271/5/12,2)</f>
        <v>63.15</v>
      </c>
      <c r="Q271" s="113">
        <f>121+1</f>
        <v>122</v>
      </c>
      <c r="R271" s="53">
        <f t="shared" si="145"/>
        <v>1.55</v>
      </c>
      <c r="S271" s="114">
        <f>ROUND(441.63/Q271,2)</f>
        <v>3.62</v>
      </c>
    </row>
    <row r="272" spans="1:19" ht="22.5" customHeight="1" x14ac:dyDescent="0.25">
      <c r="A272" s="115">
        <v>197</v>
      </c>
      <c r="B272" s="128" t="s">
        <v>190</v>
      </c>
      <c r="C272" s="138" t="s">
        <v>191</v>
      </c>
      <c r="D272" s="118">
        <v>2427.87</v>
      </c>
      <c r="E272" s="118">
        <v>21</v>
      </c>
      <c r="F272" s="118">
        <v>580.29999999999995</v>
      </c>
      <c r="G272" s="118">
        <v>127.67</v>
      </c>
      <c r="H272" s="119">
        <v>195.01</v>
      </c>
      <c r="I272" s="120">
        <f>E272+F272+G272+H272+D272</f>
        <v>3351.85</v>
      </c>
      <c r="J272" s="118">
        <v>12.67</v>
      </c>
      <c r="K272" s="120">
        <f t="shared" si="163"/>
        <v>3364.52</v>
      </c>
      <c r="L272" s="120">
        <f t="shared" si="139"/>
        <v>100.94</v>
      </c>
      <c r="M272" s="121">
        <f t="shared" si="140"/>
        <v>3465.46</v>
      </c>
      <c r="N272" s="121">
        <f t="shared" si="141"/>
        <v>693.09</v>
      </c>
      <c r="O272" s="122">
        <f t="shared" si="142"/>
        <v>4158.55</v>
      </c>
      <c r="P272" s="121">
        <f t="shared" si="165"/>
        <v>69.31</v>
      </c>
      <c r="Q272" s="129">
        <v>83</v>
      </c>
      <c r="R272" s="124">
        <f t="shared" si="145"/>
        <v>2.5099999999999998</v>
      </c>
      <c r="S272" s="125">
        <f>ROUND(482.49/Q272,2)</f>
        <v>5.81</v>
      </c>
    </row>
    <row r="273" spans="1:19" ht="15.75" customHeight="1" x14ac:dyDescent="0.25">
      <c r="A273" s="220">
        <v>198</v>
      </c>
      <c r="B273" s="226" t="s">
        <v>796</v>
      </c>
      <c r="C273" s="27" t="s">
        <v>49</v>
      </c>
      <c r="D273" s="175">
        <f>1962.25*9+2210.63+3502.25</f>
        <v>23373.13</v>
      </c>
      <c r="E273" s="222">
        <f>18.08*9+18.08+21</f>
        <v>201.79999999999995</v>
      </c>
      <c r="F273" s="195">
        <f>532.22*9+532.22+546.46</f>
        <v>5868.6600000000008</v>
      </c>
      <c r="G273" s="195">
        <f>117.09*9+117.09+120.22</f>
        <v>1291.1199999999999</v>
      </c>
      <c r="H273" s="167">
        <f>175.99*9+175.99+184.09</f>
        <v>1943.99</v>
      </c>
      <c r="I273" s="169">
        <f>E273+F273+G273+H273+D273</f>
        <v>32678.700000000004</v>
      </c>
      <c r="J273" s="167">
        <f>11.41*9+11.41+12.03</f>
        <v>126.13</v>
      </c>
      <c r="K273" s="169">
        <f t="shared" si="163"/>
        <v>32804.83</v>
      </c>
      <c r="L273" s="169">
        <f t="shared" si="139"/>
        <v>984.14</v>
      </c>
      <c r="M273" s="169">
        <f t="shared" si="140"/>
        <v>33788.97</v>
      </c>
      <c r="N273" s="169">
        <f t="shared" si="141"/>
        <v>6757.79</v>
      </c>
      <c r="O273" s="185">
        <f t="shared" si="142"/>
        <v>40546.76</v>
      </c>
      <c r="P273" s="83">
        <f>ROUND(O273/5/12,2)</f>
        <v>675.78</v>
      </c>
      <c r="Q273" s="180">
        <f>36+36+34+36+35+35+35+36+35+5</f>
        <v>323</v>
      </c>
      <c r="R273" s="164">
        <f t="shared" si="145"/>
        <v>6.28</v>
      </c>
      <c r="S273" s="231">
        <f>ROUND((441.63*10+705.6)/Q273,2)</f>
        <v>15.86</v>
      </c>
    </row>
    <row r="274" spans="1:19" ht="15.75" customHeight="1" x14ac:dyDescent="0.25">
      <c r="A274" s="223"/>
      <c r="B274" s="227"/>
      <c r="C274" s="29" t="s">
        <v>49</v>
      </c>
      <c r="D274" s="176"/>
      <c r="E274" s="229"/>
      <c r="F274" s="196"/>
      <c r="G274" s="196"/>
      <c r="H274" s="171">
        <f t="shared" ref="H274:H283" si="166">ROUND((E274+F274+G274)*11.7%,2)</f>
        <v>0</v>
      </c>
      <c r="I274" s="172">
        <f t="shared" ref="I274:I299" si="167">E274+F274+G274+H274</f>
        <v>0</v>
      </c>
      <c r="J274" s="171">
        <f t="shared" si="157"/>
        <v>0</v>
      </c>
      <c r="K274" s="172">
        <f t="shared" si="163"/>
        <v>0</v>
      </c>
      <c r="L274" s="172">
        <f t="shared" si="139"/>
        <v>0</v>
      </c>
      <c r="M274" s="172">
        <f t="shared" si="140"/>
        <v>0</v>
      </c>
      <c r="N274" s="172">
        <f t="shared" si="141"/>
        <v>0</v>
      </c>
      <c r="O274" s="198">
        <f t="shared" si="142"/>
        <v>0</v>
      </c>
      <c r="P274" s="89"/>
      <c r="Q274" s="188"/>
      <c r="R274" s="224" t="e">
        <f t="shared" si="145"/>
        <v>#DIV/0!</v>
      </c>
      <c r="S274" s="231" t="e">
        <f t="shared" ref="S274:S304" si="168">ROUND(512.79/Q274,2)</f>
        <v>#DIV/0!</v>
      </c>
    </row>
    <row r="275" spans="1:19" ht="15.75" customHeight="1" x14ac:dyDescent="0.25">
      <c r="A275" s="223"/>
      <c r="B275" s="227"/>
      <c r="C275" s="29" t="s">
        <v>49</v>
      </c>
      <c r="D275" s="176"/>
      <c r="E275" s="229"/>
      <c r="F275" s="196"/>
      <c r="G275" s="196"/>
      <c r="H275" s="171">
        <f t="shared" si="166"/>
        <v>0</v>
      </c>
      <c r="I275" s="172">
        <f t="shared" si="167"/>
        <v>0</v>
      </c>
      <c r="J275" s="171">
        <f t="shared" si="157"/>
        <v>0</v>
      </c>
      <c r="K275" s="172">
        <f t="shared" si="163"/>
        <v>0</v>
      </c>
      <c r="L275" s="172">
        <f t="shared" si="139"/>
        <v>0</v>
      </c>
      <c r="M275" s="172">
        <f t="shared" si="140"/>
        <v>0</v>
      </c>
      <c r="N275" s="172">
        <f t="shared" si="141"/>
        <v>0</v>
      </c>
      <c r="O275" s="198">
        <f t="shared" si="142"/>
        <v>0</v>
      </c>
      <c r="P275" s="89"/>
      <c r="Q275" s="188"/>
      <c r="R275" s="224" t="e">
        <f t="shared" si="145"/>
        <v>#DIV/0!</v>
      </c>
      <c r="S275" s="231" t="e">
        <f t="shared" si="168"/>
        <v>#DIV/0!</v>
      </c>
    </row>
    <row r="276" spans="1:19" ht="15.75" customHeight="1" x14ac:dyDescent="0.25">
      <c r="A276" s="223"/>
      <c r="B276" s="227"/>
      <c r="C276" s="29" t="s">
        <v>49</v>
      </c>
      <c r="D276" s="176"/>
      <c r="E276" s="229"/>
      <c r="F276" s="196"/>
      <c r="G276" s="196"/>
      <c r="H276" s="171">
        <f t="shared" si="166"/>
        <v>0</v>
      </c>
      <c r="I276" s="172">
        <f t="shared" si="167"/>
        <v>0</v>
      </c>
      <c r="J276" s="171">
        <f t="shared" si="157"/>
        <v>0</v>
      </c>
      <c r="K276" s="172">
        <f t="shared" si="163"/>
        <v>0</v>
      </c>
      <c r="L276" s="172">
        <f t="shared" si="139"/>
        <v>0</v>
      </c>
      <c r="M276" s="172">
        <f t="shared" si="140"/>
        <v>0</v>
      </c>
      <c r="N276" s="172">
        <f t="shared" si="141"/>
        <v>0</v>
      </c>
      <c r="O276" s="198">
        <f t="shared" si="142"/>
        <v>0</v>
      </c>
      <c r="P276" s="89"/>
      <c r="Q276" s="188"/>
      <c r="R276" s="224" t="e">
        <f t="shared" si="145"/>
        <v>#DIV/0!</v>
      </c>
      <c r="S276" s="231" t="e">
        <f t="shared" si="168"/>
        <v>#DIV/0!</v>
      </c>
    </row>
    <row r="277" spans="1:19" ht="15.75" customHeight="1" x14ac:dyDescent="0.25">
      <c r="A277" s="223"/>
      <c r="B277" s="227"/>
      <c r="C277" s="29" t="s">
        <v>49</v>
      </c>
      <c r="D277" s="176"/>
      <c r="E277" s="229"/>
      <c r="F277" s="196"/>
      <c r="G277" s="196"/>
      <c r="H277" s="171">
        <f t="shared" si="166"/>
        <v>0</v>
      </c>
      <c r="I277" s="172">
        <f t="shared" si="167"/>
        <v>0</v>
      </c>
      <c r="J277" s="171">
        <f t="shared" si="157"/>
        <v>0</v>
      </c>
      <c r="K277" s="172">
        <f t="shared" si="163"/>
        <v>0</v>
      </c>
      <c r="L277" s="172">
        <f t="shared" si="139"/>
        <v>0</v>
      </c>
      <c r="M277" s="172">
        <f t="shared" si="140"/>
        <v>0</v>
      </c>
      <c r="N277" s="172">
        <f t="shared" si="141"/>
        <v>0</v>
      </c>
      <c r="O277" s="198">
        <f t="shared" si="142"/>
        <v>0</v>
      </c>
      <c r="P277" s="89"/>
      <c r="Q277" s="188"/>
      <c r="R277" s="224" t="e">
        <f t="shared" si="145"/>
        <v>#DIV/0!</v>
      </c>
      <c r="S277" s="231" t="e">
        <f t="shared" si="168"/>
        <v>#DIV/0!</v>
      </c>
    </row>
    <row r="278" spans="1:19" ht="15.75" customHeight="1" x14ac:dyDescent="0.25">
      <c r="A278" s="223"/>
      <c r="B278" s="227"/>
      <c r="C278" s="29" t="s">
        <v>49</v>
      </c>
      <c r="D278" s="176"/>
      <c r="E278" s="229"/>
      <c r="F278" s="196"/>
      <c r="G278" s="196"/>
      <c r="H278" s="171">
        <f t="shared" si="166"/>
        <v>0</v>
      </c>
      <c r="I278" s="172">
        <f t="shared" si="167"/>
        <v>0</v>
      </c>
      <c r="J278" s="171">
        <f t="shared" si="157"/>
        <v>0</v>
      </c>
      <c r="K278" s="172">
        <f t="shared" si="163"/>
        <v>0</v>
      </c>
      <c r="L278" s="172">
        <f t="shared" si="139"/>
        <v>0</v>
      </c>
      <c r="M278" s="172">
        <f t="shared" si="140"/>
        <v>0</v>
      </c>
      <c r="N278" s="172">
        <f t="shared" si="141"/>
        <v>0</v>
      </c>
      <c r="O278" s="198">
        <f t="shared" si="142"/>
        <v>0</v>
      </c>
      <c r="P278" s="89"/>
      <c r="Q278" s="188"/>
      <c r="R278" s="224" t="e">
        <f t="shared" si="145"/>
        <v>#DIV/0!</v>
      </c>
      <c r="S278" s="231" t="e">
        <f t="shared" si="168"/>
        <v>#DIV/0!</v>
      </c>
    </row>
    <row r="279" spans="1:19" ht="15.75" customHeight="1" x14ac:dyDescent="0.25">
      <c r="A279" s="223"/>
      <c r="B279" s="227"/>
      <c r="C279" s="29" t="s">
        <v>49</v>
      </c>
      <c r="D279" s="176"/>
      <c r="E279" s="229"/>
      <c r="F279" s="196"/>
      <c r="G279" s="196"/>
      <c r="H279" s="171">
        <f t="shared" si="166"/>
        <v>0</v>
      </c>
      <c r="I279" s="172">
        <f t="shared" si="167"/>
        <v>0</v>
      </c>
      <c r="J279" s="171">
        <f t="shared" si="157"/>
        <v>0</v>
      </c>
      <c r="K279" s="172">
        <f t="shared" si="163"/>
        <v>0</v>
      </c>
      <c r="L279" s="172">
        <f t="shared" si="139"/>
        <v>0</v>
      </c>
      <c r="M279" s="172">
        <f t="shared" si="140"/>
        <v>0</v>
      </c>
      <c r="N279" s="172">
        <f t="shared" si="141"/>
        <v>0</v>
      </c>
      <c r="O279" s="198">
        <f t="shared" si="142"/>
        <v>0</v>
      </c>
      <c r="P279" s="89"/>
      <c r="Q279" s="188"/>
      <c r="R279" s="224" t="e">
        <f t="shared" si="145"/>
        <v>#DIV/0!</v>
      </c>
      <c r="S279" s="231" t="e">
        <f t="shared" si="168"/>
        <v>#DIV/0!</v>
      </c>
    </row>
    <row r="280" spans="1:19" ht="15.75" customHeight="1" x14ac:dyDescent="0.25">
      <c r="A280" s="223"/>
      <c r="B280" s="227"/>
      <c r="C280" s="29" t="s">
        <v>49</v>
      </c>
      <c r="D280" s="176"/>
      <c r="E280" s="229"/>
      <c r="F280" s="196"/>
      <c r="G280" s="196"/>
      <c r="H280" s="171">
        <f t="shared" si="166"/>
        <v>0</v>
      </c>
      <c r="I280" s="172">
        <f t="shared" si="167"/>
        <v>0</v>
      </c>
      <c r="J280" s="171">
        <f t="shared" si="157"/>
        <v>0</v>
      </c>
      <c r="K280" s="172">
        <f t="shared" si="163"/>
        <v>0</v>
      </c>
      <c r="L280" s="172">
        <f t="shared" si="139"/>
        <v>0</v>
      </c>
      <c r="M280" s="172">
        <f t="shared" si="140"/>
        <v>0</v>
      </c>
      <c r="N280" s="172">
        <f t="shared" si="141"/>
        <v>0</v>
      </c>
      <c r="O280" s="198">
        <f t="shared" si="142"/>
        <v>0</v>
      </c>
      <c r="P280" s="89"/>
      <c r="Q280" s="188"/>
      <c r="R280" s="224" t="e">
        <f t="shared" si="145"/>
        <v>#DIV/0!</v>
      </c>
      <c r="S280" s="231" t="e">
        <f t="shared" si="168"/>
        <v>#DIV/0!</v>
      </c>
    </row>
    <row r="281" spans="1:19" ht="15.75" customHeight="1" x14ac:dyDescent="0.25">
      <c r="A281" s="223"/>
      <c r="B281" s="227"/>
      <c r="C281" s="29" t="s">
        <v>49</v>
      </c>
      <c r="D281" s="176"/>
      <c r="E281" s="229"/>
      <c r="F281" s="196"/>
      <c r="G281" s="196"/>
      <c r="H281" s="171">
        <f t="shared" si="166"/>
        <v>0</v>
      </c>
      <c r="I281" s="172">
        <f t="shared" si="167"/>
        <v>0</v>
      </c>
      <c r="J281" s="171">
        <f t="shared" si="157"/>
        <v>0</v>
      </c>
      <c r="K281" s="172">
        <f t="shared" si="163"/>
        <v>0</v>
      </c>
      <c r="L281" s="172">
        <f t="shared" si="139"/>
        <v>0</v>
      </c>
      <c r="M281" s="172">
        <f t="shared" si="140"/>
        <v>0</v>
      </c>
      <c r="N281" s="172">
        <f t="shared" si="141"/>
        <v>0</v>
      </c>
      <c r="O281" s="198">
        <f t="shared" si="142"/>
        <v>0</v>
      </c>
      <c r="P281" s="89"/>
      <c r="Q281" s="188"/>
      <c r="R281" s="224" t="e">
        <f t="shared" si="145"/>
        <v>#DIV/0!</v>
      </c>
      <c r="S281" s="231" t="e">
        <f t="shared" si="168"/>
        <v>#DIV/0!</v>
      </c>
    </row>
    <row r="282" spans="1:19" ht="15.75" customHeight="1" x14ac:dyDescent="0.25">
      <c r="A282" s="223"/>
      <c r="B282" s="227"/>
      <c r="C282" s="29" t="s">
        <v>155</v>
      </c>
      <c r="D282" s="176"/>
      <c r="E282" s="229"/>
      <c r="F282" s="196"/>
      <c r="G282" s="196"/>
      <c r="H282" s="171">
        <f t="shared" si="166"/>
        <v>0</v>
      </c>
      <c r="I282" s="172">
        <f t="shared" si="167"/>
        <v>0</v>
      </c>
      <c r="J282" s="171">
        <f t="shared" si="157"/>
        <v>0</v>
      </c>
      <c r="K282" s="172">
        <f t="shared" si="163"/>
        <v>0</v>
      </c>
      <c r="L282" s="172">
        <f t="shared" si="139"/>
        <v>0</v>
      </c>
      <c r="M282" s="172">
        <f t="shared" si="140"/>
        <v>0</v>
      </c>
      <c r="N282" s="172">
        <f t="shared" si="141"/>
        <v>0</v>
      </c>
      <c r="O282" s="198">
        <f t="shared" si="142"/>
        <v>0</v>
      </c>
      <c r="P282" s="89"/>
      <c r="Q282" s="188"/>
      <c r="R282" s="224" t="e">
        <f t="shared" si="145"/>
        <v>#DIV/0!</v>
      </c>
      <c r="S282" s="231" t="e">
        <f t="shared" si="168"/>
        <v>#DIV/0!</v>
      </c>
    </row>
    <row r="283" spans="1:19" ht="15.75" x14ac:dyDescent="0.25">
      <c r="A283" s="221"/>
      <c r="B283" s="228"/>
      <c r="C283" s="30" t="s">
        <v>14</v>
      </c>
      <c r="D283" s="177"/>
      <c r="E283" s="230"/>
      <c r="F283" s="197"/>
      <c r="G283" s="197"/>
      <c r="H283" s="168">
        <f t="shared" si="166"/>
        <v>0</v>
      </c>
      <c r="I283" s="170">
        <f t="shared" si="167"/>
        <v>0</v>
      </c>
      <c r="J283" s="168">
        <f t="shared" si="157"/>
        <v>0</v>
      </c>
      <c r="K283" s="170">
        <f t="shared" si="163"/>
        <v>0</v>
      </c>
      <c r="L283" s="170">
        <f t="shared" si="139"/>
        <v>0</v>
      </c>
      <c r="M283" s="170">
        <f t="shared" si="140"/>
        <v>0</v>
      </c>
      <c r="N283" s="170">
        <f t="shared" si="141"/>
        <v>0</v>
      </c>
      <c r="O283" s="186">
        <f t="shared" si="142"/>
        <v>0</v>
      </c>
      <c r="P283" s="84"/>
      <c r="Q283" s="181"/>
      <c r="R283" s="165" t="e">
        <f t="shared" si="145"/>
        <v>#DIV/0!</v>
      </c>
      <c r="S283" s="231" t="e">
        <f t="shared" si="168"/>
        <v>#DIV/0!</v>
      </c>
    </row>
    <row r="284" spans="1:19" ht="15.75" x14ac:dyDescent="0.25">
      <c r="A284" s="87">
        <v>199</v>
      </c>
      <c r="B284" s="107" t="s">
        <v>192</v>
      </c>
      <c r="C284" s="26" t="s">
        <v>6</v>
      </c>
      <c r="D284" s="103">
        <v>2639</v>
      </c>
      <c r="E284" s="3">
        <v>21</v>
      </c>
      <c r="F284" s="3">
        <v>580.29999999999995</v>
      </c>
      <c r="G284" s="3">
        <v>127.67</v>
      </c>
      <c r="H284" s="11">
        <v>195.01</v>
      </c>
      <c r="I284" s="5">
        <f>E284+F284+G284+H284+D284</f>
        <v>3562.98</v>
      </c>
      <c r="J284" s="103">
        <v>12.67</v>
      </c>
      <c r="K284" s="5">
        <f t="shared" si="163"/>
        <v>3575.65</v>
      </c>
      <c r="L284" s="5">
        <f t="shared" si="139"/>
        <v>107.27</v>
      </c>
      <c r="M284" s="15">
        <f t="shared" si="140"/>
        <v>3682.92</v>
      </c>
      <c r="N284" s="15">
        <f t="shared" si="141"/>
        <v>736.58</v>
      </c>
      <c r="O284" s="100">
        <f t="shared" si="142"/>
        <v>4419.5</v>
      </c>
      <c r="P284" s="15">
        <f t="shared" ref="P284:P286" si="169">ROUND(O284/5/12,2)</f>
        <v>73.66</v>
      </c>
      <c r="Q284" s="101">
        <f>179+1</f>
        <v>180</v>
      </c>
      <c r="R284" s="102">
        <f t="shared" si="145"/>
        <v>1.23</v>
      </c>
      <c r="S284" s="48">
        <f>ROUND(452.88/Q284,2)</f>
        <v>2.52</v>
      </c>
    </row>
    <row r="285" spans="1:19" ht="15.75" x14ac:dyDescent="0.25">
      <c r="A285" s="87">
        <v>200</v>
      </c>
      <c r="B285" s="107" t="s">
        <v>193</v>
      </c>
      <c r="C285" s="26" t="s">
        <v>12</v>
      </c>
      <c r="D285" s="103">
        <v>2427.87</v>
      </c>
      <c r="E285" s="103">
        <v>21</v>
      </c>
      <c r="F285" s="103">
        <v>580.29999999999995</v>
      </c>
      <c r="G285" s="103">
        <v>127.67</v>
      </c>
      <c r="H285" s="11">
        <v>195.01</v>
      </c>
      <c r="I285" s="5">
        <f>E285+F285+G285+H285+D285</f>
        <v>3351.85</v>
      </c>
      <c r="J285" s="103">
        <v>12.67</v>
      </c>
      <c r="K285" s="5">
        <f t="shared" si="163"/>
        <v>3364.52</v>
      </c>
      <c r="L285" s="5">
        <f t="shared" si="139"/>
        <v>100.94</v>
      </c>
      <c r="M285" s="15">
        <f t="shared" si="140"/>
        <v>3465.46</v>
      </c>
      <c r="N285" s="15">
        <f t="shared" si="141"/>
        <v>693.09</v>
      </c>
      <c r="O285" s="100">
        <f t="shared" si="142"/>
        <v>4158.55</v>
      </c>
      <c r="P285" s="15">
        <f t="shared" si="169"/>
        <v>69.31</v>
      </c>
      <c r="Q285" s="101">
        <v>109</v>
      </c>
      <c r="R285" s="102">
        <f t="shared" si="145"/>
        <v>1.91</v>
      </c>
      <c r="S285" s="48">
        <f>ROUND(451.2/Q285,2)</f>
        <v>4.1399999999999997</v>
      </c>
    </row>
    <row r="286" spans="1:19" ht="15.75" x14ac:dyDescent="0.25">
      <c r="A286" s="220">
        <v>201</v>
      </c>
      <c r="B286" s="215" t="s">
        <v>797</v>
      </c>
      <c r="C286" s="27" t="s">
        <v>15</v>
      </c>
      <c r="D286" s="175">
        <f>1962.25*3</f>
        <v>5886.75</v>
      </c>
      <c r="E286" s="195">
        <f>18.08*3</f>
        <v>54.239999999999995</v>
      </c>
      <c r="F286" s="195">
        <f>532.22*3</f>
        <v>1596.66</v>
      </c>
      <c r="G286" s="195">
        <f>117.09*3</f>
        <v>351.27</v>
      </c>
      <c r="H286" s="167">
        <f>175.99*3</f>
        <v>527.97</v>
      </c>
      <c r="I286" s="169">
        <f>E286+F286+G286+H286+D286</f>
        <v>8416.89</v>
      </c>
      <c r="J286" s="167">
        <f>11.41*3</f>
        <v>34.230000000000004</v>
      </c>
      <c r="K286" s="169">
        <f t="shared" si="163"/>
        <v>8451.119999999999</v>
      </c>
      <c r="L286" s="169">
        <f t="shared" si="139"/>
        <v>253.53</v>
      </c>
      <c r="M286" s="173">
        <f t="shared" si="140"/>
        <v>8704.65</v>
      </c>
      <c r="N286" s="173">
        <f t="shared" si="141"/>
        <v>1740.93</v>
      </c>
      <c r="O286" s="178">
        <f t="shared" si="142"/>
        <v>10445.58</v>
      </c>
      <c r="P286" s="73">
        <f t="shared" si="169"/>
        <v>174.09</v>
      </c>
      <c r="Q286" s="180">
        <v>115</v>
      </c>
      <c r="R286" s="182">
        <f t="shared" si="145"/>
        <v>4.54</v>
      </c>
      <c r="S286" s="166">
        <f>ROUND(441.63*3/Q286,2)</f>
        <v>11.52</v>
      </c>
    </row>
    <row r="287" spans="1:19" ht="15.75" x14ac:dyDescent="0.25">
      <c r="A287" s="223"/>
      <c r="B287" s="218"/>
      <c r="C287" s="29" t="s">
        <v>49</v>
      </c>
      <c r="D287" s="176"/>
      <c r="E287" s="196"/>
      <c r="F287" s="196"/>
      <c r="G287" s="196"/>
      <c r="H287" s="171">
        <f>ROUND((E287+F287+G287)*11.7%,2)</f>
        <v>0</v>
      </c>
      <c r="I287" s="172">
        <f t="shared" si="167"/>
        <v>0</v>
      </c>
      <c r="J287" s="171">
        <f t="shared" si="157"/>
        <v>0</v>
      </c>
      <c r="K287" s="172">
        <f t="shared" si="163"/>
        <v>0</v>
      </c>
      <c r="L287" s="172">
        <f t="shared" si="139"/>
        <v>0</v>
      </c>
      <c r="M287" s="191">
        <f t="shared" si="140"/>
        <v>0</v>
      </c>
      <c r="N287" s="191">
        <f t="shared" si="141"/>
        <v>0</v>
      </c>
      <c r="O287" s="187">
        <f t="shared" si="142"/>
        <v>0</v>
      </c>
      <c r="P287" s="74"/>
      <c r="Q287" s="188"/>
      <c r="R287" s="189" t="e">
        <f t="shared" si="145"/>
        <v>#DIV/0!</v>
      </c>
      <c r="S287" s="166" t="e">
        <f t="shared" si="168"/>
        <v>#DIV/0!</v>
      </c>
    </row>
    <row r="288" spans="1:19" ht="15.75" x14ac:dyDescent="0.25">
      <c r="A288" s="221"/>
      <c r="B288" s="216"/>
      <c r="C288" s="35" t="s">
        <v>49</v>
      </c>
      <c r="D288" s="177"/>
      <c r="E288" s="197"/>
      <c r="F288" s="197"/>
      <c r="G288" s="197"/>
      <c r="H288" s="168">
        <f>ROUND((E288+F288+G288)*11.7%,2)</f>
        <v>0</v>
      </c>
      <c r="I288" s="170">
        <f t="shared" si="167"/>
        <v>0</v>
      </c>
      <c r="J288" s="168">
        <f t="shared" si="157"/>
        <v>0</v>
      </c>
      <c r="K288" s="170">
        <f t="shared" si="163"/>
        <v>0</v>
      </c>
      <c r="L288" s="170">
        <f t="shared" si="139"/>
        <v>0</v>
      </c>
      <c r="M288" s="174">
        <f t="shared" si="140"/>
        <v>0</v>
      </c>
      <c r="N288" s="174">
        <f t="shared" si="141"/>
        <v>0</v>
      </c>
      <c r="O288" s="179">
        <f t="shared" si="142"/>
        <v>0</v>
      </c>
      <c r="P288" s="75"/>
      <c r="Q288" s="181"/>
      <c r="R288" s="183" t="e">
        <f t="shared" si="145"/>
        <v>#DIV/0!</v>
      </c>
      <c r="S288" s="166" t="e">
        <f t="shared" si="168"/>
        <v>#DIV/0!</v>
      </c>
    </row>
    <row r="289" spans="1:19" ht="15.75" x14ac:dyDescent="0.25">
      <c r="A289" s="87">
        <v>202</v>
      </c>
      <c r="B289" s="107" t="s">
        <v>194</v>
      </c>
      <c r="C289" s="26" t="s">
        <v>16</v>
      </c>
      <c r="D289" s="103">
        <v>2210.63</v>
      </c>
      <c r="E289" s="103">
        <v>18.079999999999998</v>
      </c>
      <c r="F289" s="103">
        <v>532.22</v>
      </c>
      <c r="G289" s="103">
        <v>117.09</v>
      </c>
      <c r="H289" s="11">
        <v>175.99</v>
      </c>
      <c r="I289" s="5">
        <f>E289+F289+G289+H289+D289</f>
        <v>3054.01</v>
      </c>
      <c r="J289" s="103">
        <v>11.41</v>
      </c>
      <c r="K289" s="5">
        <f t="shared" si="163"/>
        <v>3065.42</v>
      </c>
      <c r="L289" s="5">
        <f t="shared" si="139"/>
        <v>91.96</v>
      </c>
      <c r="M289" s="15">
        <f t="shared" si="140"/>
        <v>3157.38</v>
      </c>
      <c r="N289" s="15">
        <f t="shared" si="141"/>
        <v>631.48</v>
      </c>
      <c r="O289" s="100">
        <f t="shared" si="142"/>
        <v>3788.86</v>
      </c>
      <c r="P289" s="15">
        <f t="shared" ref="P289:P290" si="170">ROUND(O289/5/12,2)</f>
        <v>63.15</v>
      </c>
      <c r="Q289" s="101">
        <v>73</v>
      </c>
      <c r="R289" s="102">
        <f t="shared" si="145"/>
        <v>2.6</v>
      </c>
      <c r="S289" s="48">
        <f>ROUND(441.63/Q289,2)</f>
        <v>6.05</v>
      </c>
    </row>
    <row r="290" spans="1:19" ht="15.75" customHeight="1" x14ac:dyDescent="0.25">
      <c r="A290" s="220">
        <v>203</v>
      </c>
      <c r="B290" s="226" t="s">
        <v>798</v>
      </c>
      <c r="C290" s="27" t="s">
        <v>15</v>
      </c>
      <c r="D290" s="175">
        <f>1962.25*5+2639</f>
        <v>12450.25</v>
      </c>
      <c r="E290" s="190">
        <f>18.08*5+21</f>
        <v>111.39999999999999</v>
      </c>
      <c r="F290" s="190">
        <f>532.22*5+580.3</f>
        <v>3241.4000000000005</v>
      </c>
      <c r="G290" s="190">
        <f>117.09*5+127.67</f>
        <v>713.12</v>
      </c>
      <c r="H290" s="167">
        <f>175.99*5+195.01</f>
        <v>1074.96</v>
      </c>
      <c r="I290" s="169">
        <f>E290+F290+G290+H290+D290</f>
        <v>17591.13</v>
      </c>
      <c r="J290" s="167">
        <f>11.41*5+12.67</f>
        <v>69.72</v>
      </c>
      <c r="K290" s="169">
        <f t="shared" si="163"/>
        <v>17660.850000000002</v>
      </c>
      <c r="L290" s="169">
        <f t="shared" si="139"/>
        <v>529.83000000000004</v>
      </c>
      <c r="M290" s="173">
        <f t="shared" si="140"/>
        <v>18190.680000000004</v>
      </c>
      <c r="N290" s="173">
        <f t="shared" si="141"/>
        <v>3638.14</v>
      </c>
      <c r="O290" s="178">
        <f t="shared" si="142"/>
        <v>21828.820000000003</v>
      </c>
      <c r="P290" s="73">
        <f t="shared" si="170"/>
        <v>363.81</v>
      </c>
      <c r="Q290" s="192">
        <f>36+35+36+36+36+2</f>
        <v>181</v>
      </c>
      <c r="R290" s="182">
        <f t="shared" si="145"/>
        <v>6.03</v>
      </c>
      <c r="S290" s="166">
        <f>ROUND((441.63*5+452.88)/Q290,2)</f>
        <v>14.7</v>
      </c>
    </row>
    <row r="291" spans="1:19" ht="15.75" customHeight="1" x14ac:dyDescent="0.25">
      <c r="A291" s="223"/>
      <c r="B291" s="227"/>
      <c r="C291" s="29" t="s">
        <v>49</v>
      </c>
      <c r="D291" s="176"/>
      <c r="E291" s="200"/>
      <c r="F291" s="200"/>
      <c r="G291" s="200"/>
      <c r="H291" s="171">
        <f>ROUND((E291+F291+G291)*11.7%,2)</f>
        <v>0</v>
      </c>
      <c r="I291" s="172">
        <f t="shared" si="167"/>
        <v>0</v>
      </c>
      <c r="J291" s="171">
        <f t="shared" si="157"/>
        <v>0</v>
      </c>
      <c r="K291" s="172">
        <f t="shared" si="163"/>
        <v>0</v>
      </c>
      <c r="L291" s="172">
        <f t="shared" si="139"/>
        <v>0</v>
      </c>
      <c r="M291" s="191">
        <f t="shared" si="140"/>
        <v>0</v>
      </c>
      <c r="N291" s="191">
        <f t="shared" si="141"/>
        <v>0</v>
      </c>
      <c r="O291" s="187">
        <f t="shared" si="142"/>
        <v>0</v>
      </c>
      <c r="P291" s="74"/>
      <c r="Q291" s="193"/>
      <c r="R291" s="189" t="e">
        <f t="shared" si="145"/>
        <v>#DIV/0!</v>
      </c>
      <c r="S291" s="166" t="e">
        <f t="shared" si="168"/>
        <v>#DIV/0!</v>
      </c>
    </row>
    <row r="292" spans="1:19" ht="15.75" customHeight="1" x14ac:dyDescent="0.25">
      <c r="A292" s="223"/>
      <c r="B292" s="227"/>
      <c r="C292" s="29" t="s">
        <v>49</v>
      </c>
      <c r="D292" s="176"/>
      <c r="E292" s="200"/>
      <c r="F292" s="200"/>
      <c r="G292" s="200"/>
      <c r="H292" s="171">
        <f>ROUND((E292+F292+G292)*11.7%,2)</f>
        <v>0</v>
      </c>
      <c r="I292" s="172">
        <f t="shared" si="167"/>
        <v>0</v>
      </c>
      <c r="J292" s="171">
        <f t="shared" si="157"/>
        <v>0</v>
      </c>
      <c r="K292" s="172">
        <f t="shared" si="163"/>
        <v>0</v>
      </c>
      <c r="L292" s="172">
        <f t="shared" si="139"/>
        <v>0</v>
      </c>
      <c r="M292" s="191">
        <f t="shared" si="140"/>
        <v>0</v>
      </c>
      <c r="N292" s="191">
        <f t="shared" si="141"/>
        <v>0</v>
      </c>
      <c r="O292" s="187">
        <f t="shared" si="142"/>
        <v>0</v>
      </c>
      <c r="P292" s="74"/>
      <c r="Q292" s="193"/>
      <c r="R292" s="189" t="e">
        <f t="shared" si="145"/>
        <v>#DIV/0!</v>
      </c>
      <c r="S292" s="166" t="e">
        <f t="shared" si="168"/>
        <v>#DIV/0!</v>
      </c>
    </row>
    <row r="293" spans="1:19" ht="15.75" customHeight="1" x14ac:dyDescent="0.25">
      <c r="A293" s="223"/>
      <c r="B293" s="227"/>
      <c r="C293" s="29" t="s">
        <v>49</v>
      </c>
      <c r="D293" s="176"/>
      <c r="E293" s="200"/>
      <c r="F293" s="200"/>
      <c r="G293" s="200"/>
      <c r="H293" s="171">
        <f>ROUND((E293+F293+G293)*11.7%,2)</f>
        <v>0</v>
      </c>
      <c r="I293" s="172">
        <f t="shared" si="167"/>
        <v>0</v>
      </c>
      <c r="J293" s="171">
        <f t="shared" si="157"/>
        <v>0</v>
      </c>
      <c r="K293" s="172">
        <f t="shared" si="163"/>
        <v>0</v>
      </c>
      <c r="L293" s="172">
        <f t="shared" si="139"/>
        <v>0</v>
      </c>
      <c r="M293" s="191">
        <f t="shared" si="140"/>
        <v>0</v>
      </c>
      <c r="N293" s="191">
        <f t="shared" si="141"/>
        <v>0</v>
      </c>
      <c r="O293" s="187">
        <f t="shared" si="142"/>
        <v>0</v>
      </c>
      <c r="P293" s="74"/>
      <c r="Q293" s="193"/>
      <c r="R293" s="189" t="e">
        <f t="shared" si="145"/>
        <v>#DIV/0!</v>
      </c>
      <c r="S293" s="166" t="e">
        <f t="shared" si="168"/>
        <v>#DIV/0!</v>
      </c>
    </row>
    <row r="294" spans="1:19" ht="15.75" customHeight="1" x14ac:dyDescent="0.25">
      <c r="A294" s="223"/>
      <c r="B294" s="227"/>
      <c r="C294" s="29" t="s">
        <v>49</v>
      </c>
      <c r="D294" s="176"/>
      <c r="E294" s="200"/>
      <c r="F294" s="200"/>
      <c r="G294" s="200"/>
      <c r="H294" s="171">
        <f>ROUND((E294+F294+G294)*11.7%,2)</f>
        <v>0</v>
      </c>
      <c r="I294" s="172">
        <f t="shared" si="167"/>
        <v>0</v>
      </c>
      <c r="J294" s="171">
        <f t="shared" si="157"/>
        <v>0</v>
      </c>
      <c r="K294" s="172">
        <f t="shared" si="163"/>
        <v>0</v>
      </c>
      <c r="L294" s="172">
        <f t="shared" si="139"/>
        <v>0</v>
      </c>
      <c r="M294" s="191">
        <f t="shared" si="140"/>
        <v>0</v>
      </c>
      <c r="N294" s="191">
        <f t="shared" si="141"/>
        <v>0</v>
      </c>
      <c r="O294" s="187">
        <f t="shared" si="142"/>
        <v>0</v>
      </c>
      <c r="P294" s="74"/>
      <c r="Q294" s="193"/>
      <c r="R294" s="189" t="e">
        <f t="shared" si="145"/>
        <v>#DIV/0!</v>
      </c>
      <c r="S294" s="166" t="e">
        <f t="shared" si="168"/>
        <v>#DIV/0!</v>
      </c>
    </row>
    <row r="295" spans="1:19" ht="15.75" customHeight="1" x14ac:dyDescent="0.25">
      <c r="A295" s="221"/>
      <c r="B295" s="228"/>
      <c r="C295" s="30" t="s">
        <v>141</v>
      </c>
      <c r="D295" s="177"/>
      <c r="E295" s="199"/>
      <c r="F295" s="199"/>
      <c r="G295" s="199"/>
      <c r="H295" s="168">
        <f>ROUND((E295+F295+G295)*11.7%,2)</f>
        <v>0</v>
      </c>
      <c r="I295" s="170">
        <f t="shared" si="167"/>
        <v>0</v>
      </c>
      <c r="J295" s="168">
        <f t="shared" si="157"/>
        <v>0</v>
      </c>
      <c r="K295" s="170">
        <f t="shared" si="163"/>
        <v>0</v>
      </c>
      <c r="L295" s="170">
        <f t="shared" si="139"/>
        <v>0</v>
      </c>
      <c r="M295" s="174">
        <f t="shared" si="140"/>
        <v>0</v>
      </c>
      <c r="N295" s="174">
        <f t="shared" si="141"/>
        <v>0</v>
      </c>
      <c r="O295" s="179">
        <f t="shared" si="142"/>
        <v>0</v>
      </c>
      <c r="P295" s="75"/>
      <c r="Q295" s="194"/>
      <c r="R295" s="183" t="e">
        <f t="shared" si="145"/>
        <v>#DIV/0!</v>
      </c>
      <c r="S295" s="166" t="e">
        <f t="shared" si="168"/>
        <v>#DIV/0!</v>
      </c>
    </row>
    <row r="296" spans="1:19" ht="15.75" customHeight="1" x14ac:dyDescent="0.25">
      <c r="A296" s="220">
        <v>204</v>
      </c>
      <c r="B296" s="226" t="s">
        <v>799</v>
      </c>
      <c r="C296" s="29" t="s">
        <v>49</v>
      </c>
      <c r="D296" s="175">
        <f>1962.25*3+2427.87</f>
        <v>8314.619999999999</v>
      </c>
      <c r="E296" s="195">
        <f>18.08*3+21</f>
        <v>75.239999999999995</v>
      </c>
      <c r="F296" s="195">
        <f>532.22*3+580.3</f>
        <v>2176.96</v>
      </c>
      <c r="G296" s="195">
        <f>117.09*3+127.67</f>
        <v>478.94</v>
      </c>
      <c r="H296" s="167">
        <f>175.99*3+195.01</f>
        <v>722.98</v>
      </c>
      <c r="I296" s="169">
        <f>E296+F296+G296+H296+D296</f>
        <v>11768.739999999998</v>
      </c>
      <c r="J296" s="167">
        <f>11.41*3+12.67</f>
        <v>46.900000000000006</v>
      </c>
      <c r="K296" s="169">
        <f t="shared" si="163"/>
        <v>11815.639999999998</v>
      </c>
      <c r="L296" s="169">
        <f t="shared" ref="L296:L359" si="171">ROUND(K296*3%,2)</f>
        <v>354.47</v>
      </c>
      <c r="M296" s="169">
        <f t="shared" ref="M296:M359" si="172">K296+L296</f>
        <v>12170.109999999997</v>
      </c>
      <c r="N296" s="173">
        <f t="shared" ref="N296:N359" si="173">ROUND(M296*20%,2)</f>
        <v>2434.02</v>
      </c>
      <c r="O296" s="185">
        <f t="shared" ref="O296:O359" si="174">M296+N296</f>
        <v>14604.129999999997</v>
      </c>
      <c r="P296" s="83">
        <f t="shared" ref="P296" si="175">ROUND(O296/5/12,2)</f>
        <v>243.4</v>
      </c>
      <c r="Q296" s="180">
        <f>33+32+32+1</f>
        <v>98</v>
      </c>
      <c r="R296" s="164">
        <f t="shared" si="145"/>
        <v>7.45</v>
      </c>
      <c r="S296" s="166">
        <f>ROUND((441.63*3+451.2)/Q296,2)</f>
        <v>18.12</v>
      </c>
    </row>
    <row r="297" spans="1:19" ht="15.75" customHeight="1" x14ac:dyDescent="0.25">
      <c r="A297" s="223"/>
      <c r="B297" s="227"/>
      <c r="C297" s="29" t="s">
        <v>49</v>
      </c>
      <c r="D297" s="176"/>
      <c r="E297" s="196"/>
      <c r="F297" s="196"/>
      <c r="G297" s="196"/>
      <c r="H297" s="171">
        <f>ROUND((E297+F297+G297)*11.7%,2)</f>
        <v>0</v>
      </c>
      <c r="I297" s="172">
        <f t="shared" si="167"/>
        <v>0</v>
      </c>
      <c r="J297" s="171">
        <f t="shared" si="157"/>
        <v>0</v>
      </c>
      <c r="K297" s="172">
        <f t="shared" si="163"/>
        <v>0</v>
      </c>
      <c r="L297" s="172">
        <f t="shared" si="171"/>
        <v>0</v>
      </c>
      <c r="M297" s="172">
        <f t="shared" si="172"/>
        <v>0</v>
      </c>
      <c r="N297" s="191">
        <f t="shared" si="173"/>
        <v>0</v>
      </c>
      <c r="O297" s="198">
        <f t="shared" si="174"/>
        <v>0</v>
      </c>
      <c r="P297" s="89"/>
      <c r="Q297" s="188"/>
      <c r="R297" s="224" t="e">
        <f t="shared" si="145"/>
        <v>#DIV/0!</v>
      </c>
      <c r="S297" s="166" t="e">
        <f t="shared" si="168"/>
        <v>#DIV/0!</v>
      </c>
    </row>
    <row r="298" spans="1:19" ht="15.75" customHeight="1" x14ac:dyDescent="0.25">
      <c r="A298" s="223"/>
      <c r="B298" s="227"/>
      <c r="C298" s="29" t="s">
        <v>49</v>
      </c>
      <c r="D298" s="176"/>
      <c r="E298" s="196"/>
      <c r="F298" s="196"/>
      <c r="G298" s="196"/>
      <c r="H298" s="171">
        <f>ROUND((E298+F298+G298)*11.7%,2)</f>
        <v>0</v>
      </c>
      <c r="I298" s="172">
        <f t="shared" si="167"/>
        <v>0</v>
      </c>
      <c r="J298" s="171">
        <f t="shared" si="157"/>
        <v>0</v>
      </c>
      <c r="K298" s="172">
        <f t="shared" si="163"/>
        <v>0</v>
      </c>
      <c r="L298" s="172">
        <f t="shared" si="171"/>
        <v>0</v>
      </c>
      <c r="M298" s="172">
        <f t="shared" si="172"/>
        <v>0</v>
      </c>
      <c r="N298" s="191">
        <f t="shared" si="173"/>
        <v>0</v>
      </c>
      <c r="O298" s="198">
        <f t="shared" si="174"/>
        <v>0</v>
      </c>
      <c r="P298" s="89"/>
      <c r="Q298" s="188"/>
      <c r="R298" s="224" t="e">
        <f t="shared" si="145"/>
        <v>#DIV/0!</v>
      </c>
      <c r="S298" s="166" t="e">
        <f t="shared" si="168"/>
        <v>#DIV/0!</v>
      </c>
    </row>
    <row r="299" spans="1:19" ht="15.75" customHeight="1" x14ac:dyDescent="0.25">
      <c r="A299" s="221"/>
      <c r="B299" s="228"/>
      <c r="C299" s="29" t="s">
        <v>12</v>
      </c>
      <c r="D299" s="177"/>
      <c r="E299" s="197"/>
      <c r="F299" s="197"/>
      <c r="G299" s="197"/>
      <c r="H299" s="168">
        <f>ROUND((E299+F299+G299)*11.7%,2)</f>
        <v>0</v>
      </c>
      <c r="I299" s="170">
        <f t="shared" si="167"/>
        <v>0</v>
      </c>
      <c r="J299" s="168">
        <f t="shared" si="157"/>
        <v>0</v>
      </c>
      <c r="K299" s="170">
        <f t="shared" si="163"/>
        <v>0</v>
      </c>
      <c r="L299" s="170">
        <f t="shared" si="171"/>
        <v>0</v>
      </c>
      <c r="M299" s="170">
        <f t="shared" si="172"/>
        <v>0</v>
      </c>
      <c r="N299" s="174">
        <f t="shared" si="173"/>
        <v>0</v>
      </c>
      <c r="O299" s="186">
        <f t="shared" si="174"/>
        <v>0</v>
      </c>
      <c r="P299" s="84"/>
      <c r="Q299" s="181"/>
      <c r="R299" s="165" t="e">
        <f t="shared" si="145"/>
        <v>#DIV/0!</v>
      </c>
      <c r="S299" s="166" t="e">
        <f t="shared" si="168"/>
        <v>#DIV/0!</v>
      </c>
    </row>
    <row r="300" spans="1:19" ht="15.75" x14ac:dyDescent="0.25">
      <c r="A300" s="87">
        <v>205</v>
      </c>
      <c r="B300" s="107" t="s">
        <v>195</v>
      </c>
      <c r="C300" s="27" t="s">
        <v>119</v>
      </c>
      <c r="D300" s="103">
        <v>2427.87</v>
      </c>
      <c r="E300" s="103">
        <v>21</v>
      </c>
      <c r="F300" s="103">
        <v>580.29999999999995</v>
      </c>
      <c r="G300" s="103">
        <v>127.67</v>
      </c>
      <c r="H300" s="11">
        <v>195.01</v>
      </c>
      <c r="I300" s="5">
        <f t="shared" ref="I300:I302" si="176">E300+F300+G300+H300+D300</f>
        <v>3351.85</v>
      </c>
      <c r="J300" s="103">
        <v>12.67</v>
      </c>
      <c r="K300" s="5">
        <f t="shared" si="163"/>
        <v>3364.52</v>
      </c>
      <c r="L300" s="5">
        <f t="shared" si="171"/>
        <v>100.94</v>
      </c>
      <c r="M300" s="15">
        <f t="shared" si="172"/>
        <v>3465.46</v>
      </c>
      <c r="N300" s="15">
        <f t="shared" si="173"/>
        <v>693.09</v>
      </c>
      <c r="O300" s="100">
        <f t="shared" si="174"/>
        <v>4158.55</v>
      </c>
      <c r="P300" s="15">
        <f t="shared" ref="P300:P303" si="177">ROUND(O300/5/12,2)</f>
        <v>69.31</v>
      </c>
      <c r="Q300" s="101">
        <f>101+1</f>
        <v>102</v>
      </c>
      <c r="R300" s="102">
        <f t="shared" si="145"/>
        <v>2.04</v>
      </c>
      <c r="S300" s="48">
        <f>ROUND(451.2/Q300,2)</f>
        <v>4.42</v>
      </c>
    </row>
    <row r="301" spans="1:19" ht="15.75" x14ac:dyDescent="0.25">
      <c r="A301" s="87">
        <v>206</v>
      </c>
      <c r="B301" s="107" t="s">
        <v>196</v>
      </c>
      <c r="C301" s="26" t="s">
        <v>12</v>
      </c>
      <c r="D301" s="103">
        <v>2427.87</v>
      </c>
      <c r="E301" s="103">
        <v>21</v>
      </c>
      <c r="F301" s="103">
        <v>580.29999999999995</v>
      </c>
      <c r="G301" s="103">
        <v>127.67</v>
      </c>
      <c r="H301" s="11">
        <v>195.01</v>
      </c>
      <c r="I301" s="5">
        <f t="shared" si="176"/>
        <v>3351.85</v>
      </c>
      <c r="J301" s="103">
        <v>12.67</v>
      </c>
      <c r="K301" s="5">
        <f t="shared" si="163"/>
        <v>3364.52</v>
      </c>
      <c r="L301" s="5">
        <f t="shared" si="171"/>
        <v>100.94</v>
      </c>
      <c r="M301" s="15">
        <f t="shared" si="172"/>
        <v>3465.46</v>
      </c>
      <c r="N301" s="15">
        <f t="shared" si="173"/>
        <v>693.09</v>
      </c>
      <c r="O301" s="100">
        <f t="shared" si="174"/>
        <v>4158.55</v>
      </c>
      <c r="P301" s="15">
        <f t="shared" si="177"/>
        <v>69.31</v>
      </c>
      <c r="Q301" s="101">
        <v>79</v>
      </c>
      <c r="R301" s="102">
        <f t="shared" si="145"/>
        <v>2.63</v>
      </c>
      <c r="S301" s="48">
        <f>ROUND(451.2/Q301,2)</f>
        <v>5.71</v>
      </c>
    </row>
    <row r="302" spans="1:19" ht="15.75" x14ac:dyDescent="0.25">
      <c r="A302" s="87">
        <v>207</v>
      </c>
      <c r="B302" s="107" t="s">
        <v>197</v>
      </c>
      <c r="C302" s="39" t="s">
        <v>179</v>
      </c>
      <c r="D302" s="103">
        <v>2427.87</v>
      </c>
      <c r="E302" s="103">
        <v>21</v>
      </c>
      <c r="F302" s="103">
        <v>580.29999999999995</v>
      </c>
      <c r="G302" s="103">
        <v>127.67</v>
      </c>
      <c r="H302" s="11">
        <v>195.01</v>
      </c>
      <c r="I302" s="5">
        <f t="shared" si="176"/>
        <v>3351.85</v>
      </c>
      <c r="J302" s="103">
        <v>12.67</v>
      </c>
      <c r="K302" s="5">
        <f t="shared" si="163"/>
        <v>3364.52</v>
      </c>
      <c r="L302" s="5">
        <f t="shared" si="171"/>
        <v>100.94</v>
      </c>
      <c r="M302" s="15">
        <f t="shared" si="172"/>
        <v>3465.46</v>
      </c>
      <c r="N302" s="15">
        <f t="shared" si="173"/>
        <v>693.09</v>
      </c>
      <c r="O302" s="100">
        <f t="shared" si="174"/>
        <v>4158.55</v>
      </c>
      <c r="P302" s="15">
        <f t="shared" si="177"/>
        <v>69.31</v>
      </c>
      <c r="Q302" s="101">
        <f>155+6</f>
        <v>161</v>
      </c>
      <c r="R302" s="102">
        <f t="shared" si="145"/>
        <v>1.29</v>
      </c>
      <c r="S302" s="104">
        <f>ROUND(482.49/Q302,2)</f>
        <v>3</v>
      </c>
    </row>
    <row r="303" spans="1:19" ht="15" customHeight="1" x14ac:dyDescent="0.25">
      <c r="A303" s="220">
        <v>208</v>
      </c>
      <c r="B303" s="215" t="s">
        <v>800</v>
      </c>
      <c r="C303" s="27" t="s">
        <v>100</v>
      </c>
      <c r="D303" s="190">
        <f>1962.25+2210.63</f>
        <v>4172.88</v>
      </c>
      <c r="E303" s="190">
        <f>18.08+18.08</f>
        <v>36.159999999999997</v>
      </c>
      <c r="F303" s="190">
        <f>532.22+532.22</f>
        <v>1064.44</v>
      </c>
      <c r="G303" s="190">
        <f>117.09+117.09</f>
        <v>234.18</v>
      </c>
      <c r="H303" s="167">
        <f>175.99+175.99</f>
        <v>351.98</v>
      </c>
      <c r="I303" s="169">
        <f>E303+F303+G303+H303+D303</f>
        <v>5859.64</v>
      </c>
      <c r="J303" s="167">
        <f>11.41+11.41</f>
        <v>22.82</v>
      </c>
      <c r="K303" s="169">
        <f t="shared" si="163"/>
        <v>5882.46</v>
      </c>
      <c r="L303" s="169">
        <f t="shared" si="171"/>
        <v>176.47</v>
      </c>
      <c r="M303" s="169">
        <f t="shared" si="172"/>
        <v>6058.93</v>
      </c>
      <c r="N303" s="173">
        <f t="shared" si="173"/>
        <v>1211.79</v>
      </c>
      <c r="O303" s="185">
        <f t="shared" si="174"/>
        <v>7270.72</v>
      </c>
      <c r="P303" s="83">
        <f t="shared" si="177"/>
        <v>121.18</v>
      </c>
      <c r="Q303" s="180">
        <f>30+28+2</f>
        <v>60</v>
      </c>
      <c r="R303" s="182">
        <f t="shared" ref="R303:R366" si="178">ROUND(P303*3/Q303,2)</f>
        <v>6.06</v>
      </c>
      <c r="S303" s="166">
        <f>ROUND(441.63*2/Q303,2)</f>
        <v>14.72</v>
      </c>
    </row>
    <row r="304" spans="1:19" ht="15" customHeight="1" x14ac:dyDescent="0.25">
      <c r="A304" s="221"/>
      <c r="B304" s="216"/>
      <c r="C304" s="30" t="s">
        <v>49</v>
      </c>
      <c r="D304" s="177"/>
      <c r="E304" s="199"/>
      <c r="F304" s="199"/>
      <c r="G304" s="199"/>
      <c r="H304" s="168">
        <f>ROUND((E304+F304+G304)*11.7%,2)</f>
        <v>0</v>
      </c>
      <c r="I304" s="170">
        <f t="shared" ref="I304" si="179">E304+F304+G304+H304</f>
        <v>0</v>
      </c>
      <c r="J304" s="168">
        <f t="shared" ref="J304" si="180">ROUND(I304*11.6%,2)</f>
        <v>0</v>
      </c>
      <c r="K304" s="170">
        <f t="shared" si="163"/>
        <v>0</v>
      </c>
      <c r="L304" s="170">
        <f t="shared" si="171"/>
        <v>0</v>
      </c>
      <c r="M304" s="170">
        <f t="shared" si="172"/>
        <v>0</v>
      </c>
      <c r="N304" s="174">
        <f t="shared" si="173"/>
        <v>0</v>
      </c>
      <c r="O304" s="186">
        <f t="shared" si="174"/>
        <v>0</v>
      </c>
      <c r="P304" s="84"/>
      <c r="Q304" s="181"/>
      <c r="R304" s="183" t="e">
        <f t="shared" si="178"/>
        <v>#DIV/0!</v>
      </c>
      <c r="S304" s="166" t="e">
        <f t="shared" si="168"/>
        <v>#DIV/0!</v>
      </c>
    </row>
    <row r="305" spans="1:19" ht="15.75" x14ac:dyDescent="0.25">
      <c r="A305" s="87">
        <v>209</v>
      </c>
      <c r="B305" s="107" t="s">
        <v>198</v>
      </c>
      <c r="C305" s="26" t="s">
        <v>12</v>
      </c>
      <c r="D305" s="103">
        <v>2427.87</v>
      </c>
      <c r="E305" s="103">
        <v>21</v>
      </c>
      <c r="F305" s="103">
        <v>580.29999999999995</v>
      </c>
      <c r="G305" s="103">
        <v>127.67</v>
      </c>
      <c r="H305" s="11">
        <v>195.01</v>
      </c>
      <c r="I305" s="5">
        <f t="shared" ref="I305:I320" si="181">E305+F305+G305+H305+D305</f>
        <v>3351.85</v>
      </c>
      <c r="J305" s="103">
        <v>12.67</v>
      </c>
      <c r="K305" s="5">
        <f t="shared" si="163"/>
        <v>3364.52</v>
      </c>
      <c r="L305" s="5">
        <f t="shared" si="171"/>
        <v>100.94</v>
      </c>
      <c r="M305" s="15">
        <f t="shared" si="172"/>
        <v>3465.46</v>
      </c>
      <c r="N305" s="15">
        <f t="shared" si="173"/>
        <v>693.09</v>
      </c>
      <c r="O305" s="100">
        <f t="shared" si="174"/>
        <v>4158.55</v>
      </c>
      <c r="P305" s="15">
        <f t="shared" ref="P305:P352" si="182">ROUND(O305/5/12,2)</f>
        <v>69.31</v>
      </c>
      <c r="Q305" s="101">
        <f>113+4</f>
        <v>117</v>
      </c>
      <c r="R305" s="102">
        <f t="shared" si="178"/>
        <v>1.78</v>
      </c>
      <c r="S305" s="48">
        <f>ROUND(451.2/Q305,2)</f>
        <v>3.86</v>
      </c>
    </row>
    <row r="306" spans="1:19" ht="15.75" x14ac:dyDescent="0.25">
      <c r="A306" s="87">
        <v>210</v>
      </c>
      <c r="B306" s="107" t="s">
        <v>199</v>
      </c>
      <c r="C306" s="31" t="s">
        <v>202</v>
      </c>
      <c r="D306" s="103">
        <v>2210.63</v>
      </c>
      <c r="E306" s="103">
        <v>18.079999999999998</v>
      </c>
      <c r="F306" s="103">
        <v>532.22</v>
      </c>
      <c r="G306" s="103">
        <v>117.09</v>
      </c>
      <c r="H306" s="11">
        <v>175.99</v>
      </c>
      <c r="I306" s="5">
        <f t="shared" si="181"/>
        <v>3054.01</v>
      </c>
      <c r="J306" s="103">
        <v>11.41</v>
      </c>
      <c r="K306" s="5">
        <f t="shared" si="163"/>
        <v>3065.42</v>
      </c>
      <c r="L306" s="5">
        <f t="shared" si="171"/>
        <v>91.96</v>
      </c>
      <c r="M306" s="15">
        <f t="shared" si="172"/>
        <v>3157.38</v>
      </c>
      <c r="N306" s="15">
        <f t="shared" si="173"/>
        <v>631.48</v>
      </c>
      <c r="O306" s="100">
        <f t="shared" si="174"/>
        <v>3788.86</v>
      </c>
      <c r="P306" s="15">
        <f t="shared" si="182"/>
        <v>63.15</v>
      </c>
      <c r="Q306" s="101">
        <v>92</v>
      </c>
      <c r="R306" s="102">
        <f t="shared" si="178"/>
        <v>2.06</v>
      </c>
      <c r="S306" s="48">
        <f>ROUND(469.47/Q306,2)</f>
        <v>5.0999999999999996</v>
      </c>
    </row>
    <row r="307" spans="1:19" ht="15.75" x14ac:dyDescent="0.25">
      <c r="A307" s="87">
        <v>211</v>
      </c>
      <c r="B307" s="107" t="s">
        <v>201</v>
      </c>
      <c r="C307" s="39" t="s">
        <v>203</v>
      </c>
      <c r="D307" s="103">
        <v>1962.25</v>
      </c>
      <c r="E307" s="103">
        <v>18.079999999999998</v>
      </c>
      <c r="F307" s="103">
        <v>532.22</v>
      </c>
      <c r="G307" s="103">
        <v>117.09</v>
      </c>
      <c r="H307" s="11">
        <v>175.99</v>
      </c>
      <c r="I307" s="5">
        <f t="shared" si="181"/>
        <v>2805.63</v>
      </c>
      <c r="J307" s="103">
        <v>11.41</v>
      </c>
      <c r="K307" s="5">
        <f t="shared" si="163"/>
        <v>2817.04</v>
      </c>
      <c r="L307" s="5">
        <f t="shared" si="171"/>
        <v>84.51</v>
      </c>
      <c r="M307" s="15">
        <f t="shared" si="172"/>
        <v>2901.55</v>
      </c>
      <c r="N307" s="15">
        <f t="shared" si="173"/>
        <v>580.30999999999995</v>
      </c>
      <c r="O307" s="100">
        <f t="shared" si="174"/>
        <v>3481.86</v>
      </c>
      <c r="P307" s="15">
        <f t="shared" si="182"/>
        <v>58.03</v>
      </c>
      <c r="Q307" s="101">
        <f>44+1</f>
        <v>45</v>
      </c>
      <c r="R307" s="102">
        <f t="shared" si="178"/>
        <v>3.87</v>
      </c>
      <c r="S307" s="48">
        <f>ROUND(469.47/Q307,2)</f>
        <v>10.43</v>
      </c>
    </row>
    <row r="308" spans="1:19" ht="15.75" x14ac:dyDescent="0.25">
      <c r="A308" s="87">
        <v>212</v>
      </c>
      <c r="B308" s="107" t="s">
        <v>200</v>
      </c>
      <c r="C308" s="26" t="s">
        <v>204</v>
      </c>
      <c r="D308" s="103">
        <v>1962.25</v>
      </c>
      <c r="E308" s="103">
        <v>18.079999999999998</v>
      </c>
      <c r="F308" s="103">
        <v>532.22</v>
      </c>
      <c r="G308" s="103">
        <v>117.09</v>
      </c>
      <c r="H308" s="11">
        <v>175.99</v>
      </c>
      <c r="I308" s="5">
        <f t="shared" si="181"/>
        <v>2805.63</v>
      </c>
      <c r="J308" s="103">
        <v>11.41</v>
      </c>
      <c r="K308" s="5">
        <f t="shared" si="163"/>
        <v>2817.04</v>
      </c>
      <c r="L308" s="5">
        <f t="shared" si="171"/>
        <v>84.51</v>
      </c>
      <c r="M308" s="15">
        <f t="shared" si="172"/>
        <v>2901.55</v>
      </c>
      <c r="N308" s="15">
        <f t="shared" si="173"/>
        <v>580.30999999999995</v>
      </c>
      <c r="O308" s="100">
        <f t="shared" si="174"/>
        <v>3481.86</v>
      </c>
      <c r="P308" s="15">
        <f t="shared" si="182"/>
        <v>58.03</v>
      </c>
      <c r="Q308" s="101">
        <f>58+5</f>
        <v>63</v>
      </c>
      <c r="R308" s="102">
        <f t="shared" si="178"/>
        <v>2.76</v>
      </c>
      <c r="S308" s="48">
        <f>ROUND(469.47/Q308,2)</f>
        <v>7.45</v>
      </c>
    </row>
    <row r="309" spans="1:19" ht="15.75" x14ac:dyDescent="0.25">
      <c r="A309" s="87">
        <v>213</v>
      </c>
      <c r="B309" s="107" t="s">
        <v>205</v>
      </c>
      <c r="C309" s="26" t="s">
        <v>16</v>
      </c>
      <c r="D309" s="103">
        <v>2210.63</v>
      </c>
      <c r="E309" s="103">
        <v>18.079999999999998</v>
      </c>
      <c r="F309" s="103">
        <v>532.22</v>
      </c>
      <c r="G309" s="103">
        <v>117.09</v>
      </c>
      <c r="H309" s="11">
        <v>175.99</v>
      </c>
      <c r="I309" s="5">
        <f t="shared" si="181"/>
        <v>3054.01</v>
      </c>
      <c r="J309" s="103">
        <v>11.41</v>
      </c>
      <c r="K309" s="5">
        <f t="shared" si="163"/>
        <v>3065.42</v>
      </c>
      <c r="L309" s="5">
        <f t="shared" si="171"/>
        <v>91.96</v>
      </c>
      <c r="M309" s="15">
        <f t="shared" si="172"/>
        <v>3157.38</v>
      </c>
      <c r="N309" s="15">
        <f t="shared" si="173"/>
        <v>631.48</v>
      </c>
      <c r="O309" s="100">
        <f t="shared" si="174"/>
        <v>3788.86</v>
      </c>
      <c r="P309" s="15">
        <f t="shared" si="182"/>
        <v>63.15</v>
      </c>
      <c r="Q309" s="101">
        <v>77</v>
      </c>
      <c r="R309" s="102">
        <f t="shared" si="178"/>
        <v>2.46</v>
      </c>
      <c r="S309" s="48">
        <f>ROUND(441.63/Q309,2)</f>
        <v>5.74</v>
      </c>
    </row>
    <row r="310" spans="1:19" ht="15.75" x14ac:dyDescent="0.25">
      <c r="A310" s="87">
        <v>214</v>
      </c>
      <c r="B310" s="107" t="s">
        <v>206</v>
      </c>
      <c r="C310" s="26" t="s">
        <v>16</v>
      </c>
      <c r="D310" s="103">
        <v>2210.63</v>
      </c>
      <c r="E310" s="103">
        <v>18.079999999999998</v>
      </c>
      <c r="F310" s="103">
        <v>532.22</v>
      </c>
      <c r="G310" s="103">
        <v>117.09</v>
      </c>
      <c r="H310" s="11">
        <v>175.99</v>
      </c>
      <c r="I310" s="5">
        <f t="shared" si="181"/>
        <v>3054.01</v>
      </c>
      <c r="J310" s="103">
        <v>11.41</v>
      </c>
      <c r="K310" s="5">
        <f t="shared" si="163"/>
        <v>3065.42</v>
      </c>
      <c r="L310" s="5">
        <f t="shared" si="171"/>
        <v>91.96</v>
      </c>
      <c r="M310" s="15">
        <f t="shared" si="172"/>
        <v>3157.38</v>
      </c>
      <c r="N310" s="15">
        <f t="shared" si="173"/>
        <v>631.48</v>
      </c>
      <c r="O310" s="100">
        <f t="shared" si="174"/>
        <v>3788.86</v>
      </c>
      <c r="P310" s="15">
        <f t="shared" si="182"/>
        <v>63.15</v>
      </c>
      <c r="Q310" s="101">
        <f>78+1</f>
        <v>79</v>
      </c>
      <c r="R310" s="102">
        <f t="shared" si="178"/>
        <v>2.4</v>
      </c>
      <c r="S310" s="48">
        <f>ROUND(441.63/Q310,2)</f>
        <v>5.59</v>
      </c>
    </row>
    <row r="311" spans="1:19" ht="15.75" x14ac:dyDescent="0.25">
      <c r="A311" s="87">
        <v>215</v>
      </c>
      <c r="B311" s="107" t="s">
        <v>207</v>
      </c>
      <c r="C311" s="38" t="s">
        <v>12</v>
      </c>
      <c r="D311" s="103">
        <v>2427.87</v>
      </c>
      <c r="E311" s="103">
        <v>21</v>
      </c>
      <c r="F311" s="103">
        <v>580.29999999999995</v>
      </c>
      <c r="G311" s="103">
        <v>127.67</v>
      </c>
      <c r="H311" s="11">
        <v>195.01</v>
      </c>
      <c r="I311" s="5">
        <f t="shared" si="181"/>
        <v>3351.85</v>
      </c>
      <c r="J311" s="103">
        <v>12.67</v>
      </c>
      <c r="K311" s="5">
        <f t="shared" si="163"/>
        <v>3364.52</v>
      </c>
      <c r="L311" s="5">
        <f t="shared" si="171"/>
        <v>100.94</v>
      </c>
      <c r="M311" s="15">
        <f t="shared" si="172"/>
        <v>3465.46</v>
      </c>
      <c r="N311" s="15">
        <f t="shared" si="173"/>
        <v>693.09</v>
      </c>
      <c r="O311" s="100">
        <f t="shared" si="174"/>
        <v>4158.55</v>
      </c>
      <c r="P311" s="15">
        <f t="shared" si="182"/>
        <v>69.31</v>
      </c>
      <c r="Q311" s="101">
        <f>111+1</f>
        <v>112</v>
      </c>
      <c r="R311" s="102">
        <f t="shared" si="178"/>
        <v>1.86</v>
      </c>
      <c r="S311" s="48">
        <f>ROUND(451.2/Q311,2)</f>
        <v>4.03</v>
      </c>
    </row>
    <row r="312" spans="1:19" ht="15.75" x14ac:dyDescent="0.25">
      <c r="A312" s="87">
        <v>216</v>
      </c>
      <c r="B312" s="107" t="s">
        <v>208</v>
      </c>
      <c r="C312" s="26" t="s">
        <v>16</v>
      </c>
      <c r="D312" s="103">
        <v>2210.63</v>
      </c>
      <c r="E312" s="103">
        <v>18.079999999999998</v>
      </c>
      <c r="F312" s="103">
        <v>532.22</v>
      </c>
      <c r="G312" s="103">
        <v>117.09</v>
      </c>
      <c r="H312" s="11">
        <v>175.99</v>
      </c>
      <c r="I312" s="5">
        <f t="shared" si="181"/>
        <v>3054.01</v>
      </c>
      <c r="J312" s="103">
        <v>11.41</v>
      </c>
      <c r="K312" s="5">
        <f t="shared" si="163"/>
        <v>3065.42</v>
      </c>
      <c r="L312" s="5">
        <f t="shared" si="171"/>
        <v>91.96</v>
      </c>
      <c r="M312" s="15">
        <f t="shared" si="172"/>
        <v>3157.38</v>
      </c>
      <c r="N312" s="15">
        <f t="shared" si="173"/>
        <v>631.48</v>
      </c>
      <c r="O312" s="100">
        <f t="shared" si="174"/>
        <v>3788.86</v>
      </c>
      <c r="P312" s="15">
        <f t="shared" si="182"/>
        <v>63.15</v>
      </c>
      <c r="Q312" s="101">
        <f>77+2</f>
        <v>79</v>
      </c>
      <c r="R312" s="102">
        <f t="shared" si="178"/>
        <v>2.4</v>
      </c>
      <c r="S312" s="48">
        <f t="shared" ref="S312:S313" si="183">ROUND(441.63/Q312,2)</f>
        <v>5.59</v>
      </c>
    </row>
    <row r="313" spans="1:19" ht="15.75" x14ac:dyDescent="0.25">
      <c r="A313" s="87">
        <v>217</v>
      </c>
      <c r="B313" s="107" t="s">
        <v>209</v>
      </c>
      <c r="C313" s="26" t="s">
        <v>16</v>
      </c>
      <c r="D313" s="103">
        <v>2210.63</v>
      </c>
      <c r="E313" s="103">
        <v>18.079999999999998</v>
      </c>
      <c r="F313" s="103">
        <v>532.22</v>
      </c>
      <c r="G313" s="103">
        <v>117.09</v>
      </c>
      <c r="H313" s="11">
        <v>175.99</v>
      </c>
      <c r="I313" s="5">
        <f t="shared" si="181"/>
        <v>3054.01</v>
      </c>
      <c r="J313" s="103">
        <v>11.41</v>
      </c>
      <c r="K313" s="5">
        <f t="shared" si="163"/>
        <v>3065.42</v>
      </c>
      <c r="L313" s="5">
        <f t="shared" si="171"/>
        <v>91.96</v>
      </c>
      <c r="M313" s="15">
        <f t="shared" si="172"/>
        <v>3157.38</v>
      </c>
      <c r="N313" s="15">
        <f t="shared" si="173"/>
        <v>631.48</v>
      </c>
      <c r="O313" s="100">
        <f t="shared" si="174"/>
        <v>3788.86</v>
      </c>
      <c r="P313" s="15">
        <f t="shared" si="182"/>
        <v>63.15</v>
      </c>
      <c r="Q313" s="101">
        <v>74</v>
      </c>
      <c r="R313" s="102">
        <f t="shared" si="178"/>
        <v>2.56</v>
      </c>
      <c r="S313" s="48">
        <f t="shared" si="183"/>
        <v>5.97</v>
      </c>
    </row>
    <row r="314" spans="1:19" ht="15.75" x14ac:dyDescent="0.25">
      <c r="A314" s="87">
        <v>218</v>
      </c>
      <c r="B314" s="107" t="s">
        <v>210</v>
      </c>
      <c r="C314" s="27" t="s">
        <v>211</v>
      </c>
      <c r="D314" s="103">
        <v>2427.87</v>
      </c>
      <c r="E314" s="103">
        <v>21</v>
      </c>
      <c r="F314" s="103">
        <v>580.29999999999995</v>
      </c>
      <c r="G314" s="103">
        <v>127.67</v>
      </c>
      <c r="H314" s="11">
        <v>195.01</v>
      </c>
      <c r="I314" s="5">
        <f t="shared" si="181"/>
        <v>3351.85</v>
      </c>
      <c r="J314" s="103">
        <v>12.67</v>
      </c>
      <c r="K314" s="5">
        <f t="shared" si="163"/>
        <v>3364.52</v>
      </c>
      <c r="L314" s="5">
        <f t="shared" si="171"/>
        <v>100.94</v>
      </c>
      <c r="M314" s="15">
        <f t="shared" si="172"/>
        <v>3465.46</v>
      </c>
      <c r="N314" s="15">
        <f t="shared" si="173"/>
        <v>693.09</v>
      </c>
      <c r="O314" s="100">
        <f t="shared" si="174"/>
        <v>4158.55</v>
      </c>
      <c r="P314" s="15">
        <f t="shared" si="182"/>
        <v>69.31</v>
      </c>
      <c r="Q314" s="101">
        <v>143</v>
      </c>
      <c r="R314" s="102">
        <f t="shared" si="178"/>
        <v>1.45</v>
      </c>
      <c r="S314" s="48">
        <f>ROUND(451.2/Q314,2)</f>
        <v>3.16</v>
      </c>
    </row>
    <row r="315" spans="1:19" ht="15.75" x14ac:dyDescent="0.25">
      <c r="A315" s="87">
        <v>219</v>
      </c>
      <c r="B315" s="107" t="s">
        <v>212</v>
      </c>
      <c r="C315" s="26" t="s">
        <v>16</v>
      </c>
      <c r="D315" s="103">
        <v>2210.63</v>
      </c>
      <c r="E315" s="103">
        <v>18.079999999999998</v>
      </c>
      <c r="F315" s="103">
        <v>532.22</v>
      </c>
      <c r="G315" s="103">
        <v>117.09</v>
      </c>
      <c r="H315" s="11">
        <v>175.99</v>
      </c>
      <c r="I315" s="5">
        <f t="shared" si="181"/>
        <v>3054.01</v>
      </c>
      <c r="J315" s="103">
        <v>11.41</v>
      </c>
      <c r="K315" s="5">
        <f t="shared" si="163"/>
        <v>3065.42</v>
      </c>
      <c r="L315" s="5">
        <f t="shared" si="171"/>
        <v>91.96</v>
      </c>
      <c r="M315" s="15">
        <f t="shared" si="172"/>
        <v>3157.38</v>
      </c>
      <c r="N315" s="15">
        <f t="shared" si="173"/>
        <v>631.48</v>
      </c>
      <c r="O315" s="100">
        <f t="shared" si="174"/>
        <v>3788.86</v>
      </c>
      <c r="P315" s="15">
        <f t="shared" si="182"/>
        <v>63.15</v>
      </c>
      <c r="Q315" s="101">
        <f>60+1</f>
        <v>61</v>
      </c>
      <c r="R315" s="102">
        <f t="shared" si="178"/>
        <v>3.11</v>
      </c>
      <c r="S315" s="48">
        <f t="shared" ref="S315:S317" si="184">ROUND(441.63/Q315,2)</f>
        <v>7.24</v>
      </c>
    </row>
    <row r="316" spans="1:19" ht="15.75" x14ac:dyDescent="0.25">
      <c r="A316" s="87">
        <v>220</v>
      </c>
      <c r="B316" s="107" t="s">
        <v>213</v>
      </c>
      <c r="C316" s="26" t="s">
        <v>16</v>
      </c>
      <c r="D316" s="103">
        <v>2210.63</v>
      </c>
      <c r="E316" s="103">
        <v>18.079999999999998</v>
      </c>
      <c r="F316" s="103">
        <v>532.22</v>
      </c>
      <c r="G316" s="103">
        <v>117.09</v>
      </c>
      <c r="H316" s="11">
        <v>175.99</v>
      </c>
      <c r="I316" s="5">
        <f t="shared" si="181"/>
        <v>3054.01</v>
      </c>
      <c r="J316" s="103">
        <v>11.41</v>
      </c>
      <c r="K316" s="5">
        <f t="shared" si="163"/>
        <v>3065.42</v>
      </c>
      <c r="L316" s="5">
        <f t="shared" si="171"/>
        <v>91.96</v>
      </c>
      <c r="M316" s="15">
        <f t="shared" si="172"/>
        <v>3157.38</v>
      </c>
      <c r="N316" s="15">
        <f t="shared" si="173"/>
        <v>631.48</v>
      </c>
      <c r="O316" s="100">
        <f t="shared" si="174"/>
        <v>3788.86</v>
      </c>
      <c r="P316" s="15">
        <f t="shared" si="182"/>
        <v>63.15</v>
      </c>
      <c r="Q316" s="101">
        <f>104+1</f>
        <v>105</v>
      </c>
      <c r="R316" s="102">
        <f t="shared" si="178"/>
        <v>1.8</v>
      </c>
      <c r="S316" s="48">
        <f t="shared" si="184"/>
        <v>4.21</v>
      </c>
    </row>
    <row r="317" spans="1:19" ht="15.75" x14ac:dyDescent="0.25">
      <c r="A317" s="87">
        <v>221</v>
      </c>
      <c r="B317" s="107" t="s">
        <v>214</v>
      </c>
      <c r="C317" s="26" t="s">
        <v>16</v>
      </c>
      <c r="D317" s="103">
        <v>2210.63</v>
      </c>
      <c r="E317" s="103">
        <v>18.079999999999998</v>
      </c>
      <c r="F317" s="103">
        <v>532.22</v>
      </c>
      <c r="G317" s="103">
        <v>117.09</v>
      </c>
      <c r="H317" s="11">
        <v>175.99</v>
      </c>
      <c r="I317" s="5">
        <f t="shared" si="181"/>
        <v>3054.01</v>
      </c>
      <c r="J317" s="103">
        <v>11.41</v>
      </c>
      <c r="K317" s="5">
        <f t="shared" si="163"/>
        <v>3065.42</v>
      </c>
      <c r="L317" s="5">
        <f t="shared" si="171"/>
        <v>91.96</v>
      </c>
      <c r="M317" s="15">
        <f t="shared" si="172"/>
        <v>3157.38</v>
      </c>
      <c r="N317" s="15">
        <f t="shared" si="173"/>
        <v>631.48</v>
      </c>
      <c r="O317" s="100">
        <f t="shared" si="174"/>
        <v>3788.86</v>
      </c>
      <c r="P317" s="15">
        <f t="shared" si="182"/>
        <v>63.15</v>
      </c>
      <c r="Q317" s="101">
        <f>70+1</f>
        <v>71</v>
      </c>
      <c r="R317" s="102">
        <f t="shared" si="178"/>
        <v>2.67</v>
      </c>
      <c r="S317" s="48">
        <f t="shared" si="184"/>
        <v>6.22</v>
      </c>
    </row>
    <row r="318" spans="1:19" ht="15.75" x14ac:dyDescent="0.25">
      <c r="A318" s="87">
        <v>222</v>
      </c>
      <c r="B318" s="107" t="s">
        <v>215</v>
      </c>
      <c r="C318" s="27" t="s">
        <v>216</v>
      </c>
      <c r="D318" s="103">
        <v>2210.63</v>
      </c>
      <c r="E318" s="103">
        <v>18.079999999999998</v>
      </c>
      <c r="F318" s="103">
        <v>532.22</v>
      </c>
      <c r="G318" s="103">
        <v>117.09</v>
      </c>
      <c r="H318" s="11">
        <v>175.99</v>
      </c>
      <c r="I318" s="5">
        <f t="shared" si="181"/>
        <v>3054.01</v>
      </c>
      <c r="J318" s="103">
        <v>11.41</v>
      </c>
      <c r="K318" s="5">
        <f t="shared" si="163"/>
        <v>3065.42</v>
      </c>
      <c r="L318" s="5">
        <f t="shared" si="171"/>
        <v>91.96</v>
      </c>
      <c r="M318" s="15">
        <f t="shared" si="172"/>
        <v>3157.38</v>
      </c>
      <c r="N318" s="15">
        <f t="shared" si="173"/>
        <v>631.48</v>
      </c>
      <c r="O318" s="100">
        <f t="shared" si="174"/>
        <v>3788.86</v>
      </c>
      <c r="P318" s="15">
        <f t="shared" si="182"/>
        <v>63.15</v>
      </c>
      <c r="Q318" s="101">
        <f>33+7</f>
        <v>40</v>
      </c>
      <c r="R318" s="102">
        <f t="shared" si="178"/>
        <v>4.74</v>
      </c>
      <c r="S318" s="48">
        <f>ROUND(469.47/Q318,2)</f>
        <v>11.74</v>
      </c>
    </row>
    <row r="319" spans="1:19" ht="15.75" x14ac:dyDescent="0.25">
      <c r="A319" s="87">
        <v>223</v>
      </c>
      <c r="B319" s="107" t="s">
        <v>217</v>
      </c>
      <c r="C319" s="26" t="s">
        <v>60</v>
      </c>
      <c r="D319" s="103">
        <v>2427.87</v>
      </c>
      <c r="E319" s="103">
        <v>21</v>
      </c>
      <c r="F319" s="103">
        <v>580.29999999999995</v>
      </c>
      <c r="G319" s="103">
        <v>127.67</v>
      </c>
      <c r="H319" s="11">
        <v>195.01</v>
      </c>
      <c r="I319" s="5">
        <f t="shared" si="181"/>
        <v>3351.85</v>
      </c>
      <c r="J319" s="103">
        <v>12.67</v>
      </c>
      <c r="K319" s="5">
        <f t="shared" si="163"/>
        <v>3364.52</v>
      </c>
      <c r="L319" s="5">
        <f t="shared" si="171"/>
        <v>100.94</v>
      </c>
      <c r="M319" s="15">
        <f t="shared" si="172"/>
        <v>3465.46</v>
      </c>
      <c r="N319" s="15">
        <f t="shared" si="173"/>
        <v>693.09</v>
      </c>
      <c r="O319" s="100">
        <f t="shared" si="174"/>
        <v>4158.55</v>
      </c>
      <c r="P319" s="15">
        <f t="shared" si="182"/>
        <v>69.31</v>
      </c>
      <c r="Q319" s="101">
        <f>76+4</f>
        <v>80</v>
      </c>
      <c r="R319" s="102">
        <f t="shared" si="178"/>
        <v>2.6</v>
      </c>
      <c r="S319" s="48">
        <f>ROUND(451.2/Q319,2)</f>
        <v>5.64</v>
      </c>
    </row>
    <row r="320" spans="1:19" ht="15.75" x14ac:dyDescent="0.25">
      <c r="A320" s="87">
        <v>224</v>
      </c>
      <c r="B320" s="107" t="s">
        <v>218</v>
      </c>
      <c r="C320" s="25" t="s">
        <v>24</v>
      </c>
      <c r="D320" s="103">
        <v>1962.25</v>
      </c>
      <c r="E320" s="103">
        <v>18.079999999999998</v>
      </c>
      <c r="F320" s="103">
        <v>532.22</v>
      </c>
      <c r="G320" s="103">
        <v>117.09</v>
      </c>
      <c r="H320" s="11">
        <v>175.99</v>
      </c>
      <c r="I320" s="5">
        <f t="shared" si="181"/>
        <v>2805.63</v>
      </c>
      <c r="J320" s="103">
        <v>11.41</v>
      </c>
      <c r="K320" s="5">
        <f t="shared" si="163"/>
        <v>2817.04</v>
      </c>
      <c r="L320" s="5">
        <f t="shared" si="171"/>
        <v>84.51</v>
      </c>
      <c r="M320" s="15">
        <f t="shared" si="172"/>
        <v>2901.55</v>
      </c>
      <c r="N320" s="15">
        <f t="shared" si="173"/>
        <v>580.30999999999995</v>
      </c>
      <c r="O320" s="100">
        <f t="shared" si="174"/>
        <v>3481.86</v>
      </c>
      <c r="P320" s="15">
        <f t="shared" si="182"/>
        <v>58.03</v>
      </c>
      <c r="Q320" s="101">
        <v>13</v>
      </c>
      <c r="R320" s="102">
        <f t="shared" si="178"/>
        <v>13.39</v>
      </c>
      <c r="S320" s="48">
        <f>ROUND(441.63/Q320,2)</f>
        <v>33.97</v>
      </c>
    </row>
    <row r="321" spans="1:19" ht="16.5" thickBot="1" x14ac:dyDescent="0.3">
      <c r="A321" s="23">
        <v>225</v>
      </c>
      <c r="B321" s="126" t="s">
        <v>219</v>
      </c>
      <c r="C321" s="132" t="s">
        <v>18</v>
      </c>
      <c r="D321" s="57">
        <v>1475.88</v>
      </c>
      <c r="E321" s="57">
        <v>18.079999999999998</v>
      </c>
      <c r="F321" s="57">
        <v>532.22</v>
      </c>
      <c r="G321" s="57">
        <v>117.09</v>
      </c>
      <c r="H321" s="58">
        <v>175.99</v>
      </c>
      <c r="I321" s="59">
        <f t="shared" ref="I321:I323" si="185">E321+F321+G321+H321+D321</f>
        <v>2319.2600000000002</v>
      </c>
      <c r="J321" s="57">
        <v>11.41</v>
      </c>
      <c r="K321" s="59">
        <f t="shared" si="163"/>
        <v>2330.67</v>
      </c>
      <c r="L321" s="59">
        <f t="shared" si="171"/>
        <v>69.92</v>
      </c>
      <c r="M321" s="60">
        <f t="shared" si="172"/>
        <v>2400.59</v>
      </c>
      <c r="N321" s="60">
        <f t="shared" si="173"/>
        <v>480.12</v>
      </c>
      <c r="O321" s="61">
        <f t="shared" si="174"/>
        <v>2880.71</v>
      </c>
      <c r="P321" s="60">
        <f t="shared" si="182"/>
        <v>48.01</v>
      </c>
      <c r="Q321" s="113">
        <f>10+2</f>
        <v>12</v>
      </c>
      <c r="R321" s="53">
        <f t="shared" si="178"/>
        <v>12</v>
      </c>
      <c r="S321" s="114">
        <f t="shared" ref="S321:S326" si="186">ROUND(441.63/Q321,2)</f>
        <v>36.799999999999997</v>
      </c>
    </row>
    <row r="322" spans="1:19" ht="15.75" x14ac:dyDescent="0.25">
      <c r="A322" s="115">
        <v>226</v>
      </c>
      <c r="B322" s="128" t="s">
        <v>220</v>
      </c>
      <c r="C322" s="117" t="s">
        <v>18</v>
      </c>
      <c r="D322" s="118">
        <v>1475.88</v>
      </c>
      <c r="E322" s="118">
        <v>18.079999999999998</v>
      </c>
      <c r="F322" s="118">
        <v>532.22</v>
      </c>
      <c r="G322" s="118">
        <v>117.09</v>
      </c>
      <c r="H322" s="119">
        <v>175.99</v>
      </c>
      <c r="I322" s="120">
        <f t="shared" si="185"/>
        <v>2319.2600000000002</v>
      </c>
      <c r="J322" s="118">
        <v>11.41</v>
      </c>
      <c r="K322" s="120">
        <f t="shared" si="163"/>
        <v>2330.67</v>
      </c>
      <c r="L322" s="120">
        <f t="shared" si="171"/>
        <v>69.92</v>
      </c>
      <c r="M322" s="121">
        <f t="shared" si="172"/>
        <v>2400.59</v>
      </c>
      <c r="N322" s="121">
        <f t="shared" si="173"/>
        <v>480.12</v>
      </c>
      <c r="O322" s="122">
        <f t="shared" si="174"/>
        <v>2880.71</v>
      </c>
      <c r="P322" s="121">
        <f t="shared" si="182"/>
        <v>48.01</v>
      </c>
      <c r="Q322" s="129">
        <v>11</v>
      </c>
      <c r="R322" s="124">
        <f t="shared" si="178"/>
        <v>13.09</v>
      </c>
      <c r="S322" s="125">
        <f t="shared" si="186"/>
        <v>40.15</v>
      </c>
    </row>
    <row r="323" spans="1:19" ht="15.75" x14ac:dyDescent="0.25">
      <c r="A323" s="87">
        <v>227</v>
      </c>
      <c r="B323" s="107" t="s">
        <v>221</v>
      </c>
      <c r="C323" s="30" t="s">
        <v>18</v>
      </c>
      <c r="D323" s="103">
        <v>1475.88</v>
      </c>
      <c r="E323" s="103">
        <v>18.079999999999998</v>
      </c>
      <c r="F323" s="103">
        <v>532.22</v>
      </c>
      <c r="G323" s="103">
        <v>117.09</v>
      </c>
      <c r="H323" s="11">
        <v>175.99</v>
      </c>
      <c r="I323" s="5">
        <f t="shared" si="185"/>
        <v>2319.2600000000002</v>
      </c>
      <c r="J323" s="103">
        <v>11.41</v>
      </c>
      <c r="K323" s="5">
        <f t="shared" si="163"/>
        <v>2330.67</v>
      </c>
      <c r="L323" s="5">
        <f t="shared" si="171"/>
        <v>69.92</v>
      </c>
      <c r="M323" s="15">
        <f t="shared" si="172"/>
        <v>2400.59</v>
      </c>
      <c r="N323" s="15">
        <f t="shared" si="173"/>
        <v>480.12</v>
      </c>
      <c r="O323" s="100">
        <f t="shared" si="174"/>
        <v>2880.71</v>
      </c>
      <c r="P323" s="15">
        <f t="shared" si="182"/>
        <v>48.01</v>
      </c>
      <c r="Q323" s="101">
        <v>4</v>
      </c>
      <c r="R323" s="102">
        <f t="shared" si="178"/>
        <v>36.01</v>
      </c>
      <c r="S323" s="48">
        <f t="shared" si="186"/>
        <v>110.41</v>
      </c>
    </row>
    <row r="324" spans="1:19" ht="15.75" x14ac:dyDescent="0.25">
      <c r="A324" s="87">
        <v>228</v>
      </c>
      <c r="B324" s="107" t="s">
        <v>222</v>
      </c>
      <c r="C324" s="30" t="s">
        <v>14</v>
      </c>
      <c r="D324" s="103">
        <v>2210.63</v>
      </c>
      <c r="E324" s="103">
        <v>18.079999999999998</v>
      </c>
      <c r="F324" s="103">
        <v>532.22</v>
      </c>
      <c r="G324" s="103">
        <v>117.09</v>
      </c>
      <c r="H324" s="11">
        <v>175.99</v>
      </c>
      <c r="I324" s="5">
        <f t="shared" ref="I324:I329" si="187">E324+F324+G324+H324+D324</f>
        <v>3054.01</v>
      </c>
      <c r="J324" s="103">
        <v>11.41</v>
      </c>
      <c r="K324" s="5">
        <f t="shared" si="163"/>
        <v>3065.42</v>
      </c>
      <c r="L324" s="5">
        <f t="shared" si="171"/>
        <v>91.96</v>
      </c>
      <c r="M324" s="15">
        <f t="shared" si="172"/>
        <v>3157.38</v>
      </c>
      <c r="N324" s="15">
        <f t="shared" si="173"/>
        <v>631.48</v>
      </c>
      <c r="O324" s="100">
        <f t="shared" si="174"/>
        <v>3788.86</v>
      </c>
      <c r="P324" s="15">
        <f t="shared" si="182"/>
        <v>63.15</v>
      </c>
      <c r="Q324" s="101">
        <f>37+6</f>
        <v>43</v>
      </c>
      <c r="R324" s="102">
        <f t="shared" si="178"/>
        <v>4.41</v>
      </c>
      <c r="S324" s="48">
        <f t="shared" si="186"/>
        <v>10.27</v>
      </c>
    </row>
    <row r="325" spans="1:19" ht="15.75" x14ac:dyDescent="0.25">
      <c r="A325" s="87">
        <v>229</v>
      </c>
      <c r="B325" s="107" t="s">
        <v>223</v>
      </c>
      <c r="C325" s="30" t="s">
        <v>24</v>
      </c>
      <c r="D325" s="103">
        <v>1962.25</v>
      </c>
      <c r="E325" s="103">
        <v>18.079999999999998</v>
      </c>
      <c r="F325" s="103">
        <v>532.22</v>
      </c>
      <c r="G325" s="103">
        <v>117.09</v>
      </c>
      <c r="H325" s="11">
        <v>175.99</v>
      </c>
      <c r="I325" s="5">
        <f t="shared" si="187"/>
        <v>2805.63</v>
      </c>
      <c r="J325" s="103">
        <v>11.41</v>
      </c>
      <c r="K325" s="5">
        <f t="shared" si="163"/>
        <v>2817.04</v>
      </c>
      <c r="L325" s="5">
        <f t="shared" si="171"/>
        <v>84.51</v>
      </c>
      <c r="M325" s="15">
        <f t="shared" si="172"/>
        <v>2901.55</v>
      </c>
      <c r="N325" s="15">
        <f t="shared" si="173"/>
        <v>580.30999999999995</v>
      </c>
      <c r="O325" s="100">
        <f t="shared" si="174"/>
        <v>3481.86</v>
      </c>
      <c r="P325" s="15">
        <f t="shared" si="182"/>
        <v>58.03</v>
      </c>
      <c r="Q325" s="101">
        <f>19+2</f>
        <v>21</v>
      </c>
      <c r="R325" s="102">
        <f t="shared" si="178"/>
        <v>8.2899999999999991</v>
      </c>
      <c r="S325" s="48">
        <f t="shared" si="186"/>
        <v>21.03</v>
      </c>
    </row>
    <row r="326" spans="1:19" ht="15.75" x14ac:dyDescent="0.25">
      <c r="A326" s="87">
        <v>230</v>
      </c>
      <c r="B326" s="107" t="s">
        <v>224</v>
      </c>
      <c r="C326" s="30" t="s">
        <v>24</v>
      </c>
      <c r="D326" s="103">
        <v>1962.25</v>
      </c>
      <c r="E326" s="103">
        <v>18.079999999999998</v>
      </c>
      <c r="F326" s="103">
        <v>532.22</v>
      </c>
      <c r="G326" s="103">
        <v>117.09</v>
      </c>
      <c r="H326" s="11">
        <v>175.99</v>
      </c>
      <c r="I326" s="5">
        <f t="shared" si="187"/>
        <v>2805.63</v>
      </c>
      <c r="J326" s="103">
        <v>11.41</v>
      </c>
      <c r="K326" s="5">
        <f t="shared" si="163"/>
        <v>2817.04</v>
      </c>
      <c r="L326" s="5">
        <f t="shared" si="171"/>
        <v>84.51</v>
      </c>
      <c r="M326" s="15">
        <f t="shared" si="172"/>
        <v>2901.55</v>
      </c>
      <c r="N326" s="15">
        <f t="shared" si="173"/>
        <v>580.30999999999995</v>
      </c>
      <c r="O326" s="100">
        <f t="shared" si="174"/>
        <v>3481.86</v>
      </c>
      <c r="P326" s="15">
        <f t="shared" si="182"/>
        <v>58.03</v>
      </c>
      <c r="Q326" s="101">
        <v>20</v>
      </c>
      <c r="R326" s="102">
        <f t="shared" si="178"/>
        <v>8.6999999999999993</v>
      </c>
      <c r="S326" s="48">
        <f t="shared" si="186"/>
        <v>22.08</v>
      </c>
    </row>
    <row r="327" spans="1:19" ht="15.75" x14ac:dyDescent="0.25">
      <c r="A327" s="87">
        <v>231</v>
      </c>
      <c r="B327" s="107" t="s">
        <v>225</v>
      </c>
      <c r="C327" s="39" t="s">
        <v>228</v>
      </c>
      <c r="D327" s="103">
        <v>1962.25</v>
      </c>
      <c r="E327" s="103">
        <v>18.079999999999998</v>
      </c>
      <c r="F327" s="103">
        <v>532.22</v>
      </c>
      <c r="G327" s="103">
        <v>117.09</v>
      </c>
      <c r="H327" s="11">
        <v>175.99</v>
      </c>
      <c r="I327" s="5">
        <f t="shared" si="187"/>
        <v>2805.63</v>
      </c>
      <c r="J327" s="103">
        <v>11.41</v>
      </c>
      <c r="K327" s="5">
        <f t="shared" si="163"/>
        <v>2817.04</v>
      </c>
      <c r="L327" s="5">
        <f t="shared" si="171"/>
        <v>84.51</v>
      </c>
      <c r="M327" s="15">
        <f t="shared" si="172"/>
        <v>2901.55</v>
      </c>
      <c r="N327" s="15">
        <f t="shared" si="173"/>
        <v>580.30999999999995</v>
      </c>
      <c r="O327" s="100">
        <f t="shared" si="174"/>
        <v>3481.86</v>
      </c>
      <c r="P327" s="15">
        <f t="shared" si="182"/>
        <v>58.03</v>
      </c>
      <c r="Q327" s="101">
        <v>55</v>
      </c>
      <c r="R327" s="102">
        <f t="shared" si="178"/>
        <v>3.17</v>
      </c>
      <c r="S327" s="48">
        <f>ROUND(469.47/Q327,2)</f>
        <v>8.5399999999999991</v>
      </c>
    </row>
    <row r="328" spans="1:19" ht="15.75" x14ac:dyDescent="0.25">
      <c r="A328" s="87">
        <v>232</v>
      </c>
      <c r="B328" s="107" t="s">
        <v>226</v>
      </c>
      <c r="C328" s="26" t="s">
        <v>227</v>
      </c>
      <c r="D328" s="103">
        <v>2210.63</v>
      </c>
      <c r="E328" s="103">
        <v>18.079999999999998</v>
      </c>
      <c r="F328" s="103">
        <v>532.22</v>
      </c>
      <c r="G328" s="103">
        <v>117.09</v>
      </c>
      <c r="H328" s="11">
        <v>175.99</v>
      </c>
      <c r="I328" s="5">
        <f t="shared" si="187"/>
        <v>3054.01</v>
      </c>
      <c r="J328" s="103">
        <v>11.41</v>
      </c>
      <c r="K328" s="5">
        <f t="shared" si="163"/>
        <v>3065.42</v>
      </c>
      <c r="L328" s="5">
        <f t="shared" si="171"/>
        <v>91.96</v>
      </c>
      <c r="M328" s="15">
        <f t="shared" si="172"/>
        <v>3157.38</v>
      </c>
      <c r="N328" s="15">
        <f t="shared" si="173"/>
        <v>631.48</v>
      </c>
      <c r="O328" s="100">
        <f t="shared" si="174"/>
        <v>3788.86</v>
      </c>
      <c r="P328" s="15">
        <f t="shared" si="182"/>
        <v>63.15</v>
      </c>
      <c r="Q328" s="101">
        <v>84</v>
      </c>
      <c r="R328" s="102">
        <f t="shared" si="178"/>
        <v>2.2599999999999998</v>
      </c>
      <c r="S328" s="48">
        <f>ROUND(469.47/Q328,2)</f>
        <v>5.59</v>
      </c>
    </row>
    <row r="329" spans="1:19" ht="15.75" x14ac:dyDescent="0.25">
      <c r="A329" s="87">
        <v>233</v>
      </c>
      <c r="B329" s="107" t="s">
        <v>229</v>
      </c>
      <c r="C329" s="30" t="s">
        <v>141</v>
      </c>
      <c r="D329" s="103">
        <v>2639</v>
      </c>
      <c r="E329" s="3">
        <v>21</v>
      </c>
      <c r="F329" s="3">
        <v>580.29999999999995</v>
      </c>
      <c r="G329" s="3">
        <v>127.67</v>
      </c>
      <c r="H329" s="11">
        <v>195.01</v>
      </c>
      <c r="I329" s="5">
        <f t="shared" si="187"/>
        <v>3562.98</v>
      </c>
      <c r="J329" s="103">
        <v>12.67</v>
      </c>
      <c r="K329" s="5">
        <f t="shared" si="163"/>
        <v>3575.65</v>
      </c>
      <c r="L329" s="5">
        <f t="shared" si="171"/>
        <v>107.27</v>
      </c>
      <c r="M329" s="15">
        <f t="shared" si="172"/>
        <v>3682.92</v>
      </c>
      <c r="N329" s="15">
        <f t="shared" si="173"/>
        <v>736.58</v>
      </c>
      <c r="O329" s="100">
        <f t="shared" si="174"/>
        <v>4419.5</v>
      </c>
      <c r="P329" s="15">
        <f t="shared" si="182"/>
        <v>73.66</v>
      </c>
      <c r="Q329" s="101">
        <f>192+2</f>
        <v>194</v>
      </c>
      <c r="R329" s="102">
        <f t="shared" si="178"/>
        <v>1.1399999999999999</v>
      </c>
      <c r="S329" s="48">
        <f>ROUND(452.88/Q329,2)</f>
        <v>2.33</v>
      </c>
    </row>
    <row r="330" spans="1:19" ht="15.75" x14ac:dyDescent="0.25">
      <c r="A330" s="87">
        <v>234</v>
      </c>
      <c r="B330" s="107" t="s">
        <v>230</v>
      </c>
      <c r="C330" s="30" t="s">
        <v>18</v>
      </c>
      <c r="D330" s="103">
        <v>1475.88</v>
      </c>
      <c r="E330" s="103">
        <v>18.079999999999998</v>
      </c>
      <c r="F330" s="103">
        <v>532.22</v>
      </c>
      <c r="G330" s="103">
        <v>117.09</v>
      </c>
      <c r="H330" s="11">
        <v>175.99</v>
      </c>
      <c r="I330" s="5">
        <f t="shared" ref="I330" si="188">E330+F330+G330+H330+D330</f>
        <v>2319.2600000000002</v>
      </c>
      <c r="J330" s="103">
        <v>11.41</v>
      </c>
      <c r="K330" s="5">
        <f t="shared" ref="K330:K393" si="189">I330+J330</f>
        <v>2330.67</v>
      </c>
      <c r="L330" s="5">
        <f t="shared" si="171"/>
        <v>69.92</v>
      </c>
      <c r="M330" s="15">
        <f t="shared" si="172"/>
        <v>2400.59</v>
      </c>
      <c r="N330" s="15">
        <f t="shared" si="173"/>
        <v>480.12</v>
      </c>
      <c r="O330" s="100">
        <f t="shared" si="174"/>
        <v>2880.71</v>
      </c>
      <c r="P330" s="15">
        <f t="shared" si="182"/>
        <v>48.01</v>
      </c>
      <c r="Q330" s="65">
        <f>18+1</f>
        <v>19</v>
      </c>
      <c r="R330" s="102">
        <f t="shared" si="178"/>
        <v>7.58</v>
      </c>
      <c r="S330" s="48">
        <f>ROUND(441.63/Q330,2)</f>
        <v>23.24</v>
      </c>
    </row>
    <row r="331" spans="1:19" ht="15.75" x14ac:dyDescent="0.25">
      <c r="A331" s="87">
        <v>235</v>
      </c>
      <c r="B331" s="107" t="s">
        <v>231</v>
      </c>
      <c r="C331" s="30" t="s">
        <v>232</v>
      </c>
      <c r="D331" s="103">
        <v>1962.25</v>
      </c>
      <c r="E331" s="103">
        <v>18.079999999999998</v>
      </c>
      <c r="F331" s="103">
        <v>532.22</v>
      </c>
      <c r="G331" s="103">
        <v>117.09</v>
      </c>
      <c r="H331" s="11">
        <v>175.99</v>
      </c>
      <c r="I331" s="5">
        <f>E331+F331+G331+H331+D331</f>
        <v>2805.63</v>
      </c>
      <c r="J331" s="103">
        <v>11.41</v>
      </c>
      <c r="K331" s="5">
        <f t="shared" si="189"/>
        <v>2817.04</v>
      </c>
      <c r="L331" s="5">
        <f t="shared" si="171"/>
        <v>84.51</v>
      </c>
      <c r="M331" s="15">
        <f t="shared" si="172"/>
        <v>2901.55</v>
      </c>
      <c r="N331" s="15">
        <f t="shared" si="173"/>
        <v>580.30999999999995</v>
      </c>
      <c r="O331" s="100">
        <f t="shared" si="174"/>
        <v>3481.86</v>
      </c>
      <c r="P331" s="15">
        <f t="shared" si="182"/>
        <v>58.03</v>
      </c>
      <c r="Q331" s="65">
        <v>33</v>
      </c>
      <c r="R331" s="102">
        <f t="shared" si="178"/>
        <v>5.28</v>
      </c>
      <c r="S331" s="50">
        <f>ROUND(467.97/Q331,2)</f>
        <v>14.18</v>
      </c>
    </row>
    <row r="332" spans="1:19" ht="15.75" x14ac:dyDescent="0.25">
      <c r="A332" s="87">
        <v>236</v>
      </c>
      <c r="B332" s="107" t="s">
        <v>233</v>
      </c>
      <c r="C332" s="26" t="s">
        <v>16</v>
      </c>
      <c r="D332" s="103">
        <v>2210.63</v>
      </c>
      <c r="E332" s="103">
        <v>18.079999999999998</v>
      </c>
      <c r="F332" s="103">
        <v>532.22</v>
      </c>
      <c r="G332" s="103">
        <v>117.09</v>
      </c>
      <c r="H332" s="11">
        <v>175.99</v>
      </c>
      <c r="I332" s="5">
        <f>E332+F332+G332+H332+D332</f>
        <v>3054.01</v>
      </c>
      <c r="J332" s="103">
        <v>11.41</v>
      </c>
      <c r="K332" s="5">
        <f t="shared" si="189"/>
        <v>3065.42</v>
      </c>
      <c r="L332" s="5">
        <f t="shared" si="171"/>
        <v>91.96</v>
      </c>
      <c r="M332" s="15">
        <f t="shared" si="172"/>
        <v>3157.38</v>
      </c>
      <c r="N332" s="15">
        <f t="shared" si="173"/>
        <v>631.48</v>
      </c>
      <c r="O332" s="100">
        <f t="shared" si="174"/>
        <v>3788.86</v>
      </c>
      <c r="P332" s="15">
        <f t="shared" si="182"/>
        <v>63.15</v>
      </c>
      <c r="Q332" s="65">
        <v>70</v>
      </c>
      <c r="R332" s="102">
        <f t="shared" si="178"/>
        <v>2.71</v>
      </c>
      <c r="S332" s="48">
        <f t="shared" ref="S332:S339" si="190">ROUND(441.63/Q332,2)</f>
        <v>6.31</v>
      </c>
    </row>
    <row r="333" spans="1:19" ht="15.75" x14ac:dyDescent="0.25">
      <c r="A333" s="87">
        <v>237</v>
      </c>
      <c r="B333" s="107" t="s">
        <v>237</v>
      </c>
      <c r="C333" s="26" t="s">
        <v>49</v>
      </c>
      <c r="D333" s="103">
        <v>1962.25</v>
      </c>
      <c r="E333" s="103">
        <v>18.079999999999998</v>
      </c>
      <c r="F333" s="103">
        <v>532.22</v>
      </c>
      <c r="G333" s="103">
        <v>117.09</v>
      </c>
      <c r="H333" s="11">
        <v>175.99</v>
      </c>
      <c r="I333" s="5">
        <f>E333+F333+G333+H333+D333</f>
        <v>2805.63</v>
      </c>
      <c r="J333" s="103">
        <v>11.41</v>
      </c>
      <c r="K333" s="5">
        <f t="shared" si="189"/>
        <v>2817.04</v>
      </c>
      <c r="L333" s="5">
        <f t="shared" si="171"/>
        <v>84.51</v>
      </c>
      <c r="M333" s="15">
        <f t="shared" si="172"/>
        <v>2901.55</v>
      </c>
      <c r="N333" s="15">
        <f t="shared" si="173"/>
        <v>580.30999999999995</v>
      </c>
      <c r="O333" s="100">
        <f t="shared" si="174"/>
        <v>3481.86</v>
      </c>
      <c r="P333" s="15">
        <f t="shared" si="182"/>
        <v>58.03</v>
      </c>
      <c r="Q333" s="65">
        <v>41</v>
      </c>
      <c r="R333" s="102">
        <f t="shared" si="178"/>
        <v>4.25</v>
      </c>
      <c r="S333" s="48">
        <f t="shared" si="190"/>
        <v>10.77</v>
      </c>
    </row>
    <row r="334" spans="1:19" ht="15.75" x14ac:dyDescent="0.25">
      <c r="A334" s="87">
        <v>238</v>
      </c>
      <c r="B334" s="107" t="s">
        <v>238</v>
      </c>
      <c r="C334" s="30" t="s">
        <v>14</v>
      </c>
      <c r="D334" s="103">
        <v>2210.63</v>
      </c>
      <c r="E334" s="103">
        <v>18.079999999999998</v>
      </c>
      <c r="F334" s="103">
        <v>532.22</v>
      </c>
      <c r="G334" s="103">
        <v>117.09</v>
      </c>
      <c r="H334" s="11">
        <v>175.99</v>
      </c>
      <c r="I334" s="5">
        <f t="shared" ref="I334:I337" si="191">E334+F334+G334+H334+D334</f>
        <v>3054.01</v>
      </c>
      <c r="J334" s="103">
        <v>11.41</v>
      </c>
      <c r="K334" s="5">
        <f t="shared" si="189"/>
        <v>3065.42</v>
      </c>
      <c r="L334" s="5">
        <f t="shared" si="171"/>
        <v>91.96</v>
      </c>
      <c r="M334" s="15">
        <f t="shared" si="172"/>
        <v>3157.38</v>
      </c>
      <c r="N334" s="15">
        <f t="shared" si="173"/>
        <v>631.48</v>
      </c>
      <c r="O334" s="100">
        <f t="shared" si="174"/>
        <v>3788.86</v>
      </c>
      <c r="P334" s="15">
        <f t="shared" si="182"/>
        <v>63.15</v>
      </c>
      <c r="Q334" s="65">
        <f>70+2</f>
        <v>72</v>
      </c>
      <c r="R334" s="102">
        <f t="shared" si="178"/>
        <v>2.63</v>
      </c>
      <c r="S334" s="48">
        <f>ROUND(441.63/Q334,2)</f>
        <v>6.13</v>
      </c>
    </row>
    <row r="335" spans="1:19" ht="15.75" x14ac:dyDescent="0.25">
      <c r="A335" s="87">
        <v>239</v>
      </c>
      <c r="B335" s="107" t="s">
        <v>234</v>
      </c>
      <c r="C335" s="26" t="s">
        <v>16</v>
      </c>
      <c r="D335" s="103">
        <v>2210.63</v>
      </c>
      <c r="E335" s="103">
        <v>18.079999999999998</v>
      </c>
      <c r="F335" s="103">
        <v>532.22</v>
      </c>
      <c r="G335" s="103">
        <v>117.09</v>
      </c>
      <c r="H335" s="11">
        <v>175.99</v>
      </c>
      <c r="I335" s="5">
        <f t="shared" si="191"/>
        <v>3054.01</v>
      </c>
      <c r="J335" s="103">
        <v>11.41</v>
      </c>
      <c r="K335" s="5">
        <f t="shared" si="189"/>
        <v>3065.42</v>
      </c>
      <c r="L335" s="5">
        <f t="shared" si="171"/>
        <v>91.96</v>
      </c>
      <c r="M335" s="15">
        <f t="shared" si="172"/>
        <v>3157.38</v>
      </c>
      <c r="N335" s="15">
        <f t="shared" si="173"/>
        <v>631.48</v>
      </c>
      <c r="O335" s="100">
        <f t="shared" si="174"/>
        <v>3788.86</v>
      </c>
      <c r="P335" s="15">
        <f t="shared" si="182"/>
        <v>63.15</v>
      </c>
      <c r="Q335" s="65">
        <v>72</v>
      </c>
      <c r="R335" s="102">
        <f t="shared" si="178"/>
        <v>2.63</v>
      </c>
      <c r="S335" s="48">
        <f t="shared" si="190"/>
        <v>6.13</v>
      </c>
    </row>
    <row r="336" spans="1:19" ht="15.75" x14ac:dyDescent="0.25">
      <c r="A336" s="87">
        <v>240</v>
      </c>
      <c r="B336" s="107" t="s">
        <v>235</v>
      </c>
      <c r="C336" s="30" t="s">
        <v>18</v>
      </c>
      <c r="D336" s="103">
        <v>1475.88</v>
      </c>
      <c r="E336" s="103">
        <v>18.079999999999998</v>
      </c>
      <c r="F336" s="103">
        <v>532.22</v>
      </c>
      <c r="G336" s="103">
        <v>117.09</v>
      </c>
      <c r="H336" s="11">
        <v>175.99</v>
      </c>
      <c r="I336" s="5">
        <f t="shared" si="191"/>
        <v>2319.2600000000002</v>
      </c>
      <c r="J336" s="103">
        <v>11.41</v>
      </c>
      <c r="K336" s="5">
        <f t="shared" si="189"/>
        <v>2330.67</v>
      </c>
      <c r="L336" s="5">
        <f t="shared" si="171"/>
        <v>69.92</v>
      </c>
      <c r="M336" s="15">
        <f t="shared" si="172"/>
        <v>2400.59</v>
      </c>
      <c r="N336" s="15">
        <f t="shared" si="173"/>
        <v>480.12</v>
      </c>
      <c r="O336" s="100">
        <f t="shared" si="174"/>
        <v>2880.71</v>
      </c>
      <c r="P336" s="15">
        <f t="shared" si="182"/>
        <v>48.01</v>
      </c>
      <c r="Q336" s="65">
        <f>21+1</f>
        <v>22</v>
      </c>
      <c r="R336" s="102">
        <f t="shared" si="178"/>
        <v>6.55</v>
      </c>
      <c r="S336" s="48">
        <f t="shared" si="190"/>
        <v>20.07</v>
      </c>
    </row>
    <row r="337" spans="1:19" ht="15.75" x14ac:dyDescent="0.25">
      <c r="A337" s="87">
        <v>241</v>
      </c>
      <c r="B337" s="107" t="s">
        <v>236</v>
      </c>
      <c r="C337" s="30" t="s">
        <v>18</v>
      </c>
      <c r="D337" s="103">
        <v>1475.88</v>
      </c>
      <c r="E337" s="103">
        <v>18.079999999999998</v>
      </c>
      <c r="F337" s="103">
        <v>532.22</v>
      </c>
      <c r="G337" s="103">
        <v>117.09</v>
      </c>
      <c r="H337" s="11">
        <v>175.99</v>
      </c>
      <c r="I337" s="5">
        <f t="shared" si="191"/>
        <v>2319.2600000000002</v>
      </c>
      <c r="J337" s="103">
        <v>11.41</v>
      </c>
      <c r="K337" s="5">
        <f t="shared" si="189"/>
        <v>2330.67</v>
      </c>
      <c r="L337" s="5">
        <f t="shared" si="171"/>
        <v>69.92</v>
      </c>
      <c r="M337" s="15">
        <f t="shared" si="172"/>
        <v>2400.59</v>
      </c>
      <c r="N337" s="15">
        <f t="shared" si="173"/>
        <v>480.12</v>
      </c>
      <c r="O337" s="100">
        <f t="shared" si="174"/>
        <v>2880.71</v>
      </c>
      <c r="P337" s="15">
        <f t="shared" si="182"/>
        <v>48.01</v>
      </c>
      <c r="Q337" s="65">
        <f>9+2</f>
        <v>11</v>
      </c>
      <c r="R337" s="102">
        <f t="shared" si="178"/>
        <v>13.09</v>
      </c>
      <c r="S337" s="48">
        <f t="shared" si="190"/>
        <v>40.15</v>
      </c>
    </row>
    <row r="338" spans="1:19" ht="15.75" x14ac:dyDescent="0.25">
      <c r="A338" s="87">
        <v>242</v>
      </c>
      <c r="B338" s="107" t="s">
        <v>239</v>
      </c>
      <c r="C338" s="26" t="s">
        <v>49</v>
      </c>
      <c r="D338" s="103">
        <v>1962.25</v>
      </c>
      <c r="E338" s="103">
        <v>18.079999999999998</v>
      </c>
      <c r="F338" s="103">
        <v>532.22</v>
      </c>
      <c r="G338" s="103">
        <v>117.09</v>
      </c>
      <c r="H338" s="11">
        <v>175.99</v>
      </c>
      <c r="I338" s="5">
        <f>E338+F338+G338+H338+D338</f>
        <v>2805.63</v>
      </c>
      <c r="J338" s="103">
        <v>11.41</v>
      </c>
      <c r="K338" s="5">
        <f t="shared" si="189"/>
        <v>2817.04</v>
      </c>
      <c r="L338" s="5">
        <f t="shared" si="171"/>
        <v>84.51</v>
      </c>
      <c r="M338" s="15">
        <f t="shared" si="172"/>
        <v>2901.55</v>
      </c>
      <c r="N338" s="15">
        <f t="shared" si="173"/>
        <v>580.30999999999995</v>
      </c>
      <c r="O338" s="100">
        <f t="shared" si="174"/>
        <v>3481.86</v>
      </c>
      <c r="P338" s="15">
        <f t="shared" si="182"/>
        <v>58.03</v>
      </c>
      <c r="Q338" s="65">
        <f>42+1</f>
        <v>43</v>
      </c>
      <c r="R338" s="102">
        <f t="shared" si="178"/>
        <v>4.05</v>
      </c>
      <c r="S338" s="48">
        <f t="shared" si="190"/>
        <v>10.27</v>
      </c>
    </row>
    <row r="339" spans="1:19" ht="15.75" x14ac:dyDescent="0.25">
      <c r="A339" s="87">
        <v>243</v>
      </c>
      <c r="B339" s="107" t="s">
        <v>240</v>
      </c>
      <c r="C339" s="26" t="s">
        <v>49</v>
      </c>
      <c r="D339" s="103">
        <v>1962.25</v>
      </c>
      <c r="E339" s="103">
        <v>18.079999999999998</v>
      </c>
      <c r="F339" s="103">
        <v>532.22</v>
      </c>
      <c r="G339" s="103">
        <v>117.09</v>
      </c>
      <c r="H339" s="11">
        <v>175.99</v>
      </c>
      <c r="I339" s="5">
        <f>E339+F339+G339+H339+D339</f>
        <v>2805.63</v>
      </c>
      <c r="J339" s="103">
        <v>11.41</v>
      </c>
      <c r="K339" s="5">
        <f t="shared" si="189"/>
        <v>2817.04</v>
      </c>
      <c r="L339" s="5">
        <f t="shared" si="171"/>
        <v>84.51</v>
      </c>
      <c r="M339" s="15">
        <f t="shared" si="172"/>
        <v>2901.55</v>
      </c>
      <c r="N339" s="15">
        <f t="shared" si="173"/>
        <v>580.30999999999995</v>
      </c>
      <c r="O339" s="100">
        <f t="shared" si="174"/>
        <v>3481.86</v>
      </c>
      <c r="P339" s="15">
        <f t="shared" si="182"/>
        <v>58.03</v>
      </c>
      <c r="Q339" s="65">
        <f>37+3</f>
        <v>40</v>
      </c>
      <c r="R339" s="102">
        <f t="shared" si="178"/>
        <v>4.3499999999999996</v>
      </c>
      <c r="S339" s="48">
        <f t="shared" si="190"/>
        <v>11.04</v>
      </c>
    </row>
    <row r="340" spans="1:19" ht="15.75" x14ac:dyDescent="0.25">
      <c r="A340" s="87">
        <v>244</v>
      </c>
      <c r="B340" s="107" t="s">
        <v>241</v>
      </c>
      <c r="C340" s="30" t="s">
        <v>14</v>
      </c>
      <c r="D340" s="103">
        <v>2210.63</v>
      </c>
      <c r="E340" s="103">
        <v>18.079999999999998</v>
      </c>
      <c r="F340" s="103">
        <v>532.22</v>
      </c>
      <c r="G340" s="103">
        <v>117.09</v>
      </c>
      <c r="H340" s="11">
        <v>175.99</v>
      </c>
      <c r="I340" s="5">
        <f t="shared" ref="I340:I343" si="192">E340+F340+G340+H340+D340</f>
        <v>3054.01</v>
      </c>
      <c r="J340" s="103">
        <v>11.41</v>
      </c>
      <c r="K340" s="5">
        <f t="shared" si="189"/>
        <v>3065.42</v>
      </c>
      <c r="L340" s="5">
        <f t="shared" si="171"/>
        <v>91.96</v>
      </c>
      <c r="M340" s="15">
        <f t="shared" si="172"/>
        <v>3157.38</v>
      </c>
      <c r="N340" s="15">
        <f t="shared" si="173"/>
        <v>631.48</v>
      </c>
      <c r="O340" s="100">
        <f t="shared" si="174"/>
        <v>3788.86</v>
      </c>
      <c r="P340" s="15">
        <f t="shared" si="182"/>
        <v>63.15</v>
      </c>
      <c r="Q340" s="65">
        <f>64+1</f>
        <v>65</v>
      </c>
      <c r="R340" s="102">
        <f t="shared" si="178"/>
        <v>2.91</v>
      </c>
      <c r="S340" s="48">
        <f>ROUND(441.63/Q340,2)</f>
        <v>6.79</v>
      </c>
    </row>
    <row r="341" spans="1:19" ht="15.75" x14ac:dyDescent="0.25">
      <c r="A341" s="87">
        <v>245</v>
      </c>
      <c r="B341" s="107" t="s">
        <v>242</v>
      </c>
      <c r="C341" s="26" t="s">
        <v>16</v>
      </c>
      <c r="D341" s="103">
        <v>2210.63</v>
      </c>
      <c r="E341" s="103">
        <v>18.079999999999998</v>
      </c>
      <c r="F341" s="103">
        <v>532.22</v>
      </c>
      <c r="G341" s="103">
        <v>117.09</v>
      </c>
      <c r="H341" s="11">
        <v>175.99</v>
      </c>
      <c r="I341" s="5">
        <f t="shared" si="192"/>
        <v>3054.01</v>
      </c>
      <c r="J341" s="103">
        <v>11.41</v>
      </c>
      <c r="K341" s="5">
        <f t="shared" si="189"/>
        <v>3065.42</v>
      </c>
      <c r="L341" s="5">
        <f t="shared" si="171"/>
        <v>91.96</v>
      </c>
      <c r="M341" s="15">
        <f t="shared" si="172"/>
        <v>3157.38</v>
      </c>
      <c r="N341" s="15">
        <f t="shared" si="173"/>
        <v>631.48</v>
      </c>
      <c r="O341" s="100">
        <f t="shared" si="174"/>
        <v>3788.86</v>
      </c>
      <c r="P341" s="15">
        <f t="shared" si="182"/>
        <v>63.15</v>
      </c>
      <c r="Q341" s="65">
        <f>84+1</f>
        <v>85</v>
      </c>
      <c r="R341" s="102">
        <f t="shared" si="178"/>
        <v>2.23</v>
      </c>
      <c r="S341" s="48">
        <f t="shared" ref="S341:S344" si="193">ROUND(441.63/Q341,2)</f>
        <v>5.2</v>
      </c>
    </row>
    <row r="342" spans="1:19" ht="15.75" x14ac:dyDescent="0.25">
      <c r="A342" s="87">
        <v>246</v>
      </c>
      <c r="B342" s="107" t="s">
        <v>243</v>
      </c>
      <c r="C342" s="30" t="s">
        <v>18</v>
      </c>
      <c r="D342" s="103">
        <v>1475.88</v>
      </c>
      <c r="E342" s="103">
        <v>18.079999999999998</v>
      </c>
      <c r="F342" s="103">
        <v>532.22</v>
      </c>
      <c r="G342" s="103">
        <v>117.09</v>
      </c>
      <c r="H342" s="11">
        <v>175.99</v>
      </c>
      <c r="I342" s="5">
        <f t="shared" si="192"/>
        <v>2319.2600000000002</v>
      </c>
      <c r="J342" s="103">
        <v>11.41</v>
      </c>
      <c r="K342" s="5">
        <f t="shared" si="189"/>
        <v>2330.67</v>
      </c>
      <c r="L342" s="5">
        <f t="shared" si="171"/>
        <v>69.92</v>
      </c>
      <c r="M342" s="15">
        <f t="shared" si="172"/>
        <v>2400.59</v>
      </c>
      <c r="N342" s="15">
        <f t="shared" si="173"/>
        <v>480.12</v>
      </c>
      <c r="O342" s="100">
        <f t="shared" si="174"/>
        <v>2880.71</v>
      </c>
      <c r="P342" s="15">
        <f t="shared" si="182"/>
        <v>48.01</v>
      </c>
      <c r="Q342" s="65">
        <v>12</v>
      </c>
      <c r="R342" s="102">
        <f t="shared" si="178"/>
        <v>12</v>
      </c>
      <c r="S342" s="48">
        <f t="shared" si="193"/>
        <v>36.799999999999997</v>
      </c>
    </row>
    <row r="343" spans="1:19" ht="15.75" x14ac:dyDescent="0.25">
      <c r="A343" s="87">
        <v>247</v>
      </c>
      <c r="B343" s="107" t="s">
        <v>244</v>
      </c>
      <c r="C343" s="30" t="s">
        <v>18</v>
      </c>
      <c r="D343" s="103">
        <v>1475.88</v>
      </c>
      <c r="E343" s="103">
        <v>18.079999999999998</v>
      </c>
      <c r="F343" s="103">
        <v>532.22</v>
      </c>
      <c r="G343" s="103">
        <v>117.09</v>
      </c>
      <c r="H343" s="11">
        <v>175.99</v>
      </c>
      <c r="I343" s="5">
        <f t="shared" si="192"/>
        <v>2319.2600000000002</v>
      </c>
      <c r="J343" s="103">
        <v>11.41</v>
      </c>
      <c r="K343" s="5">
        <f t="shared" si="189"/>
        <v>2330.67</v>
      </c>
      <c r="L343" s="5">
        <f t="shared" si="171"/>
        <v>69.92</v>
      </c>
      <c r="M343" s="15">
        <f t="shared" si="172"/>
        <v>2400.59</v>
      </c>
      <c r="N343" s="15">
        <f t="shared" si="173"/>
        <v>480.12</v>
      </c>
      <c r="O343" s="100">
        <f t="shared" si="174"/>
        <v>2880.71</v>
      </c>
      <c r="P343" s="15">
        <f t="shared" si="182"/>
        <v>48.01</v>
      </c>
      <c r="Q343" s="65">
        <f>15+1</f>
        <v>16</v>
      </c>
      <c r="R343" s="102">
        <f t="shared" si="178"/>
        <v>9</v>
      </c>
      <c r="S343" s="48">
        <f t="shared" si="193"/>
        <v>27.6</v>
      </c>
    </row>
    <row r="344" spans="1:19" ht="15.75" x14ac:dyDescent="0.25">
      <c r="A344" s="87">
        <v>248</v>
      </c>
      <c r="B344" s="107" t="s">
        <v>245</v>
      </c>
      <c r="C344" s="30" t="s">
        <v>14</v>
      </c>
      <c r="D344" s="103">
        <v>2210.63</v>
      </c>
      <c r="E344" s="103">
        <v>18.079999999999998</v>
      </c>
      <c r="F344" s="103">
        <v>532.22</v>
      </c>
      <c r="G344" s="103">
        <v>117.09</v>
      </c>
      <c r="H344" s="11">
        <v>175.99</v>
      </c>
      <c r="I344" s="5">
        <f>E344+F344+G344+H344+D344</f>
        <v>3054.01</v>
      </c>
      <c r="J344" s="103">
        <v>11.41</v>
      </c>
      <c r="K344" s="5">
        <f t="shared" si="189"/>
        <v>3065.42</v>
      </c>
      <c r="L344" s="5">
        <f t="shared" si="171"/>
        <v>91.96</v>
      </c>
      <c r="M344" s="15">
        <f t="shared" si="172"/>
        <v>3157.38</v>
      </c>
      <c r="N344" s="15">
        <f t="shared" si="173"/>
        <v>631.48</v>
      </c>
      <c r="O344" s="100">
        <f t="shared" si="174"/>
        <v>3788.86</v>
      </c>
      <c r="P344" s="15">
        <f t="shared" si="182"/>
        <v>63.15</v>
      </c>
      <c r="Q344" s="65">
        <f>68+1</f>
        <v>69</v>
      </c>
      <c r="R344" s="102">
        <f t="shared" si="178"/>
        <v>2.75</v>
      </c>
      <c r="S344" s="48">
        <f t="shared" si="193"/>
        <v>6.4</v>
      </c>
    </row>
    <row r="345" spans="1:19" ht="15.75" x14ac:dyDescent="0.25">
      <c r="A345" s="87">
        <v>249</v>
      </c>
      <c r="B345" s="107" t="s">
        <v>246</v>
      </c>
      <c r="C345" s="26" t="s">
        <v>12</v>
      </c>
      <c r="D345" s="103">
        <v>2427.87</v>
      </c>
      <c r="E345" s="103">
        <v>21</v>
      </c>
      <c r="F345" s="103">
        <v>580.29999999999995</v>
      </c>
      <c r="G345" s="103">
        <v>127.67</v>
      </c>
      <c r="H345" s="11">
        <v>195.01</v>
      </c>
      <c r="I345" s="5">
        <f>E345+F345+G345+H345+D345</f>
        <v>3351.85</v>
      </c>
      <c r="J345" s="103">
        <v>12.67</v>
      </c>
      <c r="K345" s="5">
        <f t="shared" si="189"/>
        <v>3364.52</v>
      </c>
      <c r="L345" s="5">
        <f t="shared" si="171"/>
        <v>100.94</v>
      </c>
      <c r="M345" s="15">
        <f t="shared" si="172"/>
        <v>3465.46</v>
      </c>
      <c r="N345" s="15">
        <f t="shared" si="173"/>
        <v>693.09</v>
      </c>
      <c r="O345" s="100">
        <f t="shared" si="174"/>
        <v>4158.55</v>
      </c>
      <c r="P345" s="15">
        <f t="shared" si="182"/>
        <v>69.31</v>
      </c>
      <c r="Q345" s="65">
        <v>69</v>
      </c>
      <c r="R345" s="102">
        <f t="shared" si="178"/>
        <v>3.01</v>
      </c>
      <c r="S345" s="48">
        <f>ROUND(451.2/Q345,2)</f>
        <v>6.54</v>
      </c>
    </row>
    <row r="346" spans="1:19" ht="15.75" x14ac:dyDescent="0.25">
      <c r="A346" s="87">
        <v>250</v>
      </c>
      <c r="B346" s="107" t="s">
        <v>247</v>
      </c>
      <c r="C346" s="26" t="s">
        <v>20</v>
      </c>
      <c r="D346" s="103">
        <v>1475.88</v>
      </c>
      <c r="E346" s="103">
        <v>18.079999999999998</v>
      </c>
      <c r="F346" s="103">
        <v>532.22</v>
      </c>
      <c r="G346" s="103">
        <v>117.09</v>
      </c>
      <c r="H346" s="11">
        <v>175.99</v>
      </c>
      <c r="I346" s="5">
        <f t="shared" ref="I346" si="194">E346+F346+G346+H346+D346</f>
        <v>2319.2600000000002</v>
      </c>
      <c r="J346" s="103">
        <v>11.41</v>
      </c>
      <c r="K346" s="5">
        <f t="shared" si="189"/>
        <v>2330.67</v>
      </c>
      <c r="L346" s="5">
        <f t="shared" si="171"/>
        <v>69.92</v>
      </c>
      <c r="M346" s="15">
        <f t="shared" si="172"/>
        <v>2400.59</v>
      </c>
      <c r="N346" s="15">
        <f t="shared" si="173"/>
        <v>480.12</v>
      </c>
      <c r="O346" s="100">
        <f t="shared" si="174"/>
        <v>2880.71</v>
      </c>
      <c r="P346" s="15">
        <f t="shared" si="182"/>
        <v>48.01</v>
      </c>
      <c r="Q346" s="65">
        <v>37</v>
      </c>
      <c r="R346" s="102">
        <f t="shared" si="178"/>
        <v>3.89</v>
      </c>
      <c r="S346" s="48">
        <f t="shared" ref="S346:S347" si="195">ROUND(441.63/Q346,2)</f>
        <v>11.94</v>
      </c>
    </row>
    <row r="347" spans="1:19" ht="15.75" x14ac:dyDescent="0.25">
      <c r="A347" s="87">
        <v>251</v>
      </c>
      <c r="B347" s="107" t="s">
        <v>248</v>
      </c>
      <c r="C347" s="26" t="s">
        <v>16</v>
      </c>
      <c r="D347" s="103">
        <v>2210.63</v>
      </c>
      <c r="E347" s="103">
        <v>18.079999999999998</v>
      </c>
      <c r="F347" s="103">
        <v>532.22</v>
      </c>
      <c r="G347" s="103">
        <v>117.09</v>
      </c>
      <c r="H347" s="11">
        <v>175.99</v>
      </c>
      <c r="I347" s="5">
        <f t="shared" ref="I347:I351" si="196">E347+F347+G347+H347+D347</f>
        <v>3054.01</v>
      </c>
      <c r="J347" s="103">
        <v>11.41</v>
      </c>
      <c r="K347" s="5">
        <f t="shared" si="189"/>
        <v>3065.42</v>
      </c>
      <c r="L347" s="5">
        <f t="shared" si="171"/>
        <v>91.96</v>
      </c>
      <c r="M347" s="15">
        <f t="shared" si="172"/>
        <v>3157.38</v>
      </c>
      <c r="N347" s="15">
        <f t="shared" si="173"/>
        <v>631.48</v>
      </c>
      <c r="O347" s="100">
        <f t="shared" si="174"/>
        <v>3788.86</v>
      </c>
      <c r="P347" s="15">
        <f t="shared" si="182"/>
        <v>63.15</v>
      </c>
      <c r="Q347" s="65">
        <f>43+1</f>
        <v>44</v>
      </c>
      <c r="R347" s="102">
        <f t="shared" si="178"/>
        <v>4.3099999999999996</v>
      </c>
      <c r="S347" s="48">
        <f t="shared" si="195"/>
        <v>10.039999999999999</v>
      </c>
    </row>
    <row r="348" spans="1:19" ht="15.75" x14ac:dyDescent="0.25">
      <c r="A348" s="87">
        <v>252</v>
      </c>
      <c r="B348" s="107" t="s">
        <v>249</v>
      </c>
      <c r="C348" s="30" t="s">
        <v>14</v>
      </c>
      <c r="D348" s="103">
        <v>2210.63</v>
      </c>
      <c r="E348" s="103">
        <v>18.079999999999998</v>
      </c>
      <c r="F348" s="103">
        <v>532.22</v>
      </c>
      <c r="G348" s="103">
        <v>117.09</v>
      </c>
      <c r="H348" s="11">
        <v>175.99</v>
      </c>
      <c r="I348" s="5">
        <f t="shared" si="196"/>
        <v>3054.01</v>
      </c>
      <c r="J348" s="103">
        <v>11.41</v>
      </c>
      <c r="K348" s="5">
        <f t="shared" si="189"/>
        <v>3065.42</v>
      </c>
      <c r="L348" s="5">
        <f t="shared" si="171"/>
        <v>91.96</v>
      </c>
      <c r="M348" s="15">
        <f t="shared" si="172"/>
        <v>3157.38</v>
      </c>
      <c r="N348" s="15">
        <f t="shared" si="173"/>
        <v>631.48</v>
      </c>
      <c r="O348" s="100">
        <f t="shared" si="174"/>
        <v>3788.86</v>
      </c>
      <c r="P348" s="15">
        <f t="shared" si="182"/>
        <v>63.15</v>
      </c>
      <c r="Q348" s="65">
        <f>83+1</f>
        <v>84</v>
      </c>
      <c r="R348" s="102">
        <f t="shared" si="178"/>
        <v>2.2599999999999998</v>
      </c>
      <c r="S348" s="48">
        <f>ROUND(441.63/Q348,2)</f>
        <v>5.26</v>
      </c>
    </row>
    <row r="349" spans="1:19" ht="15.75" x14ac:dyDescent="0.25">
      <c r="A349" s="87">
        <v>253</v>
      </c>
      <c r="B349" s="107" t="s">
        <v>250</v>
      </c>
      <c r="C349" s="26" t="s">
        <v>16</v>
      </c>
      <c r="D349" s="103">
        <v>2210.63</v>
      </c>
      <c r="E349" s="103">
        <v>18.079999999999998</v>
      </c>
      <c r="F349" s="103">
        <v>532.22</v>
      </c>
      <c r="G349" s="103">
        <v>117.09</v>
      </c>
      <c r="H349" s="11">
        <v>175.99</v>
      </c>
      <c r="I349" s="5">
        <f t="shared" si="196"/>
        <v>3054.01</v>
      </c>
      <c r="J349" s="103">
        <v>11.41</v>
      </c>
      <c r="K349" s="5">
        <f t="shared" si="189"/>
        <v>3065.42</v>
      </c>
      <c r="L349" s="5">
        <f t="shared" si="171"/>
        <v>91.96</v>
      </c>
      <c r="M349" s="15">
        <f t="shared" si="172"/>
        <v>3157.38</v>
      </c>
      <c r="N349" s="15">
        <f t="shared" si="173"/>
        <v>631.48</v>
      </c>
      <c r="O349" s="100">
        <f t="shared" si="174"/>
        <v>3788.86</v>
      </c>
      <c r="P349" s="15">
        <f t="shared" si="182"/>
        <v>63.15</v>
      </c>
      <c r="Q349" s="65">
        <v>61</v>
      </c>
      <c r="R349" s="102">
        <f t="shared" si="178"/>
        <v>3.11</v>
      </c>
      <c r="S349" s="48">
        <f t="shared" ref="S349:S351" si="197">ROUND(441.63/Q349,2)</f>
        <v>7.24</v>
      </c>
    </row>
    <row r="350" spans="1:19" ht="15.75" x14ac:dyDescent="0.25">
      <c r="A350" s="87">
        <v>254</v>
      </c>
      <c r="B350" s="107" t="s">
        <v>251</v>
      </c>
      <c r="C350" s="26" t="s">
        <v>16</v>
      </c>
      <c r="D350" s="103">
        <v>2210.63</v>
      </c>
      <c r="E350" s="103">
        <v>18.079999999999998</v>
      </c>
      <c r="F350" s="103">
        <v>532.22</v>
      </c>
      <c r="G350" s="103">
        <v>117.09</v>
      </c>
      <c r="H350" s="11">
        <v>175.99</v>
      </c>
      <c r="I350" s="5">
        <f t="shared" si="196"/>
        <v>3054.01</v>
      </c>
      <c r="J350" s="103">
        <v>11.41</v>
      </c>
      <c r="K350" s="5">
        <f t="shared" si="189"/>
        <v>3065.42</v>
      </c>
      <c r="L350" s="5">
        <f t="shared" si="171"/>
        <v>91.96</v>
      </c>
      <c r="M350" s="15">
        <f t="shared" si="172"/>
        <v>3157.38</v>
      </c>
      <c r="N350" s="15">
        <f t="shared" si="173"/>
        <v>631.48</v>
      </c>
      <c r="O350" s="100">
        <f t="shared" si="174"/>
        <v>3788.86</v>
      </c>
      <c r="P350" s="15">
        <f t="shared" si="182"/>
        <v>63.15</v>
      </c>
      <c r="Q350" s="65">
        <v>90</v>
      </c>
      <c r="R350" s="102">
        <f>ROUND(P350*3/Q350,2)-0.01</f>
        <v>2.1</v>
      </c>
      <c r="S350" s="48">
        <f t="shared" si="197"/>
        <v>4.91</v>
      </c>
    </row>
    <row r="351" spans="1:19" ht="15.75" x14ac:dyDescent="0.25">
      <c r="A351" s="87">
        <v>255</v>
      </c>
      <c r="B351" s="107" t="s">
        <v>252</v>
      </c>
      <c r="C351" s="26" t="s">
        <v>16</v>
      </c>
      <c r="D351" s="103">
        <v>2210.63</v>
      </c>
      <c r="E351" s="103">
        <v>18.079999999999998</v>
      </c>
      <c r="F351" s="103">
        <v>532.22</v>
      </c>
      <c r="G351" s="103">
        <v>117.09</v>
      </c>
      <c r="H351" s="11">
        <v>175.99</v>
      </c>
      <c r="I351" s="5">
        <f t="shared" si="196"/>
        <v>3054.01</v>
      </c>
      <c r="J351" s="103">
        <v>11.41</v>
      </c>
      <c r="K351" s="5">
        <f t="shared" si="189"/>
        <v>3065.42</v>
      </c>
      <c r="L351" s="5">
        <f t="shared" si="171"/>
        <v>91.96</v>
      </c>
      <c r="M351" s="15">
        <f t="shared" si="172"/>
        <v>3157.38</v>
      </c>
      <c r="N351" s="15">
        <f t="shared" si="173"/>
        <v>631.48</v>
      </c>
      <c r="O351" s="100">
        <f t="shared" si="174"/>
        <v>3788.86</v>
      </c>
      <c r="P351" s="15">
        <f t="shared" si="182"/>
        <v>63.15</v>
      </c>
      <c r="Q351" s="65">
        <v>62</v>
      </c>
      <c r="R351" s="102">
        <f t="shared" si="178"/>
        <v>3.06</v>
      </c>
      <c r="S351" s="48">
        <f t="shared" si="197"/>
        <v>7.12</v>
      </c>
    </row>
    <row r="352" spans="1:19" ht="15.75" x14ac:dyDescent="0.25">
      <c r="A352" s="220">
        <v>256</v>
      </c>
      <c r="B352" s="215" t="s">
        <v>801</v>
      </c>
      <c r="C352" s="27" t="s">
        <v>253</v>
      </c>
      <c r="D352" s="175">
        <f>1475.88*2</f>
        <v>2951.76</v>
      </c>
      <c r="E352" s="190">
        <f>18.08*2</f>
        <v>36.159999999999997</v>
      </c>
      <c r="F352" s="190">
        <f>532.22*2</f>
        <v>1064.44</v>
      </c>
      <c r="G352" s="190">
        <f>117.09*2</f>
        <v>234.18</v>
      </c>
      <c r="H352" s="167">
        <f>175.99*2</f>
        <v>351.98</v>
      </c>
      <c r="I352" s="169">
        <f>E352+F352+G352+H352+D352</f>
        <v>4638.5200000000004</v>
      </c>
      <c r="J352" s="167">
        <f>11.41*2</f>
        <v>22.82</v>
      </c>
      <c r="K352" s="169">
        <f t="shared" si="189"/>
        <v>4661.34</v>
      </c>
      <c r="L352" s="169">
        <f t="shared" si="171"/>
        <v>139.84</v>
      </c>
      <c r="M352" s="173">
        <f t="shared" si="172"/>
        <v>4801.18</v>
      </c>
      <c r="N352" s="173">
        <f t="shared" si="173"/>
        <v>960.24</v>
      </c>
      <c r="O352" s="178">
        <f t="shared" si="174"/>
        <v>5761.42</v>
      </c>
      <c r="P352" s="73">
        <f t="shared" si="182"/>
        <v>96.02</v>
      </c>
      <c r="Q352" s="180">
        <f>15+10</f>
        <v>25</v>
      </c>
      <c r="R352" s="182">
        <f t="shared" si="178"/>
        <v>11.52</v>
      </c>
      <c r="S352" s="184">
        <f>ROUND(441.63*2/Q352,2)</f>
        <v>35.33</v>
      </c>
    </row>
    <row r="353" spans="1:19" ht="15.75" x14ac:dyDescent="0.25">
      <c r="A353" s="223"/>
      <c r="B353" s="216"/>
      <c r="C353" s="30" t="s">
        <v>253</v>
      </c>
      <c r="D353" s="177"/>
      <c r="E353" s="199"/>
      <c r="F353" s="199"/>
      <c r="G353" s="199"/>
      <c r="H353" s="168">
        <f>ROUND((E353+F353+G353)*11.7%,2)</f>
        <v>0</v>
      </c>
      <c r="I353" s="170">
        <f t="shared" ref="I353:I360" si="198">E353+F353+G353+H353</f>
        <v>0</v>
      </c>
      <c r="J353" s="168">
        <f t="shared" ref="J353" si="199">ROUND(I353*11.6%,2)</f>
        <v>0</v>
      </c>
      <c r="K353" s="170">
        <f t="shared" si="189"/>
        <v>0</v>
      </c>
      <c r="L353" s="170">
        <f t="shared" si="171"/>
        <v>0</v>
      </c>
      <c r="M353" s="174">
        <f t="shared" si="172"/>
        <v>0</v>
      </c>
      <c r="N353" s="174">
        <f t="shared" si="173"/>
        <v>0</v>
      </c>
      <c r="O353" s="179">
        <f t="shared" si="174"/>
        <v>0</v>
      </c>
      <c r="P353" s="75"/>
      <c r="Q353" s="181"/>
      <c r="R353" s="183" t="e">
        <f t="shared" si="178"/>
        <v>#DIV/0!</v>
      </c>
      <c r="S353" s="184" t="e">
        <f t="shared" ref="S353:S397" si="200">ROUND(512.79/Q353,2)</f>
        <v>#DIV/0!</v>
      </c>
    </row>
    <row r="354" spans="1:19" ht="15.75" x14ac:dyDescent="0.25">
      <c r="A354" s="87">
        <v>257</v>
      </c>
      <c r="B354" s="45" t="s">
        <v>254</v>
      </c>
      <c r="C354" s="26" t="s">
        <v>253</v>
      </c>
      <c r="D354" s="103">
        <v>1475.88</v>
      </c>
      <c r="E354" s="103">
        <v>18.079999999999998</v>
      </c>
      <c r="F354" s="103">
        <v>532.22</v>
      </c>
      <c r="G354" s="103">
        <v>117.09</v>
      </c>
      <c r="H354" s="11">
        <v>175.99</v>
      </c>
      <c r="I354" s="5">
        <f t="shared" ref="I354" si="201">E354+F354+G354+H354+D354</f>
        <v>2319.2600000000002</v>
      </c>
      <c r="J354" s="103">
        <v>11.41</v>
      </c>
      <c r="K354" s="5">
        <f t="shared" si="189"/>
        <v>2330.67</v>
      </c>
      <c r="L354" s="5">
        <f t="shared" si="171"/>
        <v>69.92</v>
      </c>
      <c r="M354" s="15">
        <f t="shared" si="172"/>
        <v>2400.59</v>
      </c>
      <c r="N354" s="15">
        <f t="shared" si="173"/>
        <v>480.12</v>
      </c>
      <c r="O354" s="100">
        <f t="shared" si="174"/>
        <v>2880.71</v>
      </c>
      <c r="P354" s="15">
        <f t="shared" ref="P354:P357" si="202">ROUND(O354/5/12,2)</f>
        <v>48.01</v>
      </c>
      <c r="Q354" s="101">
        <v>24</v>
      </c>
      <c r="R354" s="102">
        <f t="shared" si="178"/>
        <v>6</v>
      </c>
      <c r="S354" s="97">
        <f>ROUND(441.63/Q354,2)</f>
        <v>18.399999999999999</v>
      </c>
    </row>
    <row r="355" spans="1:19" ht="15.75" x14ac:dyDescent="0.25">
      <c r="A355" s="87">
        <v>258</v>
      </c>
      <c r="B355" s="45" t="s">
        <v>255</v>
      </c>
      <c r="C355" s="26" t="s">
        <v>256</v>
      </c>
      <c r="D355" s="103">
        <v>1962.25</v>
      </c>
      <c r="E355" s="103">
        <v>18.079999999999998</v>
      </c>
      <c r="F355" s="103">
        <v>532.22</v>
      </c>
      <c r="G355" s="103">
        <v>117.09</v>
      </c>
      <c r="H355" s="11">
        <v>175.99</v>
      </c>
      <c r="I355" s="5">
        <f>E355+F355+G355+H355+D355</f>
        <v>2805.63</v>
      </c>
      <c r="J355" s="103">
        <v>11.41</v>
      </c>
      <c r="K355" s="5">
        <f t="shared" si="189"/>
        <v>2817.04</v>
      </c>
      <c r="L355" s="5">
        <f t="shared" si="171"/>
        <v>84.51</v>
      </c>
      <c r="M355" s="15">
        <f t="shared" si="172"/>
        <v>2901.55</v>
      </c>
      <c r="N355" s="15">
        <f t="shared" si="173"/>
        <v>580.30999999999995</v>
      </c>
      <c r="O355" s="100">
        <f t="shared" si="174"/>
        <v>3481.86</v>
      </c>
      <c r="P355" s="15">
        <f t="shared" si="202"/>
        <v>58.03</v>
      </c>
      <c r="Q355" s="101">
        <v>54</v>
      </c>
      <c r="R355" s="102">
        <f t="shared" si="178"/>
        <v>3.22</v>
      </c>
      <c r="S355" s="97">
        <f t="shared" ref="S355:S356" si="203">ROUND(441.63/Q355,2)</f>
        <v>8.18</v>
      </c>
    </row>
    <row r="356" spans="1:19" ht="15.75" x14ac:dyDescent="0.25">
      <c r="A356" s="87">
        <v>259</v>
      </c>
      <c r="B356" s="45" t="s">
        <v>257</v>
      </c>
      <c r="C356" s="26" t="s">
        <v>258</v>
      </c>
      <c r="D356" s="103">
        <v>1962.25</v>
      </c>
      <c r="E356" s="103">
        <v>18.079999999999998</v>
      </c>
      <c r="F356" s="103">
        <v>532.22</v>
      </c>
      <c r="G356" s="103">
        <v>117.09</v>
      </c>
      <c r="H356" s="11">
        <v>175.99</v>
      </c>
      <c r="I356" s="5">
        <f>E356+F356+G356+H356+D356</f>
        <v>2805.63</v>
      </c>
      <c r="J356" s="103">
        <v>11.41</v>
      </c>
      <c r="K356" s="5">
        <f t="shared" si="189"/>
        <v>2817.04</v>
      </c>
      <c r="L356" s="5">
        <f t="shared" si="171"/>
        <v>84.51</v>
      </c>
      <c r="M356" s="15">
        <f t="shared" si="172"/>
        <v>2901.55</v>
      </c>
      <c r="N356" s="15">
        <f t="shared" si="173"/>
        <v>580.30999999999995</v>
      </c>
      <c r="O356" s="100">
        <f t="shared" si="174"/>
        <v>3481.86</v>
      </c>
      <c r="P356" s="15">
        <f t="shared" si="202"/>
        <v>58.03</v>
      </c>
      <c r="Q356" s="101">
        <f>23+12</f>
        <v>35</v>
      </c>
      <c r="R356" s="102">
        <f t="shared" si="178"/>
        <v>4.97</v>
      </c>
      <c r="S356" s="97">
        <f t="shared" si="203"/>
        <v>12.62</v>
      </c>
    </row>
    <row r="357" spans="1:19" ht="15.75" x14ac:dyDescent="0.25">
      <c r="A357" s="220">
        <v>260</v>
      </c>
      <c r="B357" s="215" t="s">
        <v>802</v>
      </c>
      <c r="C357" s="27" t="s">
        <v>258</v>
      </c>
      <c r="D357" s="175">
        <f>1962.25*2</f>
        <v>3924.5</v>
      </c>
      <c r="E357" s="190">
        <f>18.08*2</f>
        <v>36.159999999999997</v>
      </c>
      <c r="F357" s="190">
        <f>532.22*2</f>
        <v>1064.44</v>
      </c>
      <c r="G357" s="190">
        <f>117.09*2</f>
        <v>234.18</v>
      </c>
      <c r="H357" s="167">
        <f>175.99*2</f>
        <v>351.98</v>
      </c>
      <c r="I357" s="169">
        <f>E357+F357+G357+H357+D357</f>
        <v>5611.26</v>
      </c>
      <c r="J357" s="167">
        <f>11.41*2</f>
        <v>22.82</v>
      </c>
      <c r="K357" s="169">
        <f t="shared" si="189"/>
        <v>5634.08</v>
      </c>
      <c r="L357" s="169">
        <f t="shared" si="171"/>
        <v>169.02</v>
      </c>
      <c r="M357" s="173">
        <f t="shared" si="172"/>
        <v>5803.1</v>
      </c>
      <c r="N357" s="173">
        <f t="shared" si="173"/>
        <v>1160.6199999999999</v>
      </c>
      <c r="O357" s="178">
        <f t="shared" si="174"/>
        <v>6963.72</v>
      </c>
      <c r="P357" s="73">
        <f t="shared" si="202"/>
        <v>116.06</v>
      </c>
      <c r="Q357" s="180">
        <f>18+38</f>
        <v>56</v>
      </c>
      <c r="R357" s="182">
        <f t="shared" si="178"/>
        <v>6.22</v>
      </c>
      <c r="S357" s="184">
        <f>ROUND(441.63*2/Q357,2)</f>
        <v>15.77</v>
      </c>
    </row>
    <row r="358" spans="1:19" ht="15.75" x14ac:dyDescent="0.25">
      <c r="A358" s="221"/>
      <c r="B358" s="216"/>
      <c r="C358" s="30" t="s">
        <v>256</v>
      </c>
      <c r="D358" s="177"/>
      <c r="E358" s="199"/>
      <c r="F358" s="199"/>
      <c r="G358" s="199"/>
      <c r="H358" s="168">
        <f>ROUND((E358+F358+G358)*11.7%,2)</f>
        <v>0</v>
      </c>
      <c r="I358" s="170">
        <f t="shared" ref="I358" si="204">E358+F358+G358+H358</f>
        <v>0</v>
      </c>
      <c r="J358" s="168">
        <f t="shared" ref="J358" si="205">ROUND(I358*11.6%,2)</f>
        <v>0</v>
      </c>
      <c r="K358" s="170">
        <f t="shared" si="189"/>
        <v>0</v>
      </c>
      <c r="L358" s="170">
        <f t="shared" si="171"/>
        <v>0</v>
      </c>
      <c r="M358" s="174">
        <f t="shared" si="172"/>
        <v>0</v>
      </c>
      <c r="N358" s="174">
        <f t="shared" si="173"/>
        <v>0</v>
      </c>
      <c r="O358" s="179">
        <f t="shared" si="174"/>
        <v>0</v>
      </c>
      <c r="P358" s="75"/>
      <c r="Q358" s="181"/>
      <c r="R358" s="183" t="e">
        <f t="shared" si="178"/>
        <v>#DIV/0!</v>
      </c>
      <c r="S358" s="184" t="e">
        <f t="shared" si="200"/>
        <v>#DIV/0!</v>
      </c>
    </row>
    <row r="359" spans="1:19" ht="15.75" customHeight="1" x14ac:dyDescent="0.25">
      <c r="A359" s="220">
        <v>261</v>
      </c>
      <c r="B359" s="234" t="s">
        <v>878</v>
      </c>
      <c r="C359" s="27" t="s">
        <v>259</v>
      </c>
      <c r="D359" s="190">
        <f>1475.88+2210.63</f>
        <v>3686.51</v>
      </c>
      <c r="E359" s="190">
        <f>18.08+18.08</f>
        <v>36.159999999999997</v>
      </c>
      <c r="F359" s="190">
        <f>532.22+532.22</f>
        <v>1064.44</v>
      </c>
      <c r="G359" s="190">
        <f>117.09+117.09</f>
        <v>234.18</v>
      </c>
      <c r="H359" s="167">
        <f>175.99+175.99</f>
        <v>351.98</v>
      </c>
      <c r="I359" s="169">
        <f>E359+F359+G359+H359+D359</f>
        <v>5373.27</v>
      </c>
      <c r="J359" s="167">
        <f>11.41+11.41</f>
        <v>22.82</v>
      </c>
      <c r="K359" s="169">
        <f t="shared" si="189"/>
        <v>5396.09</v>
      </c>
      <c r="L359" s="169">
        <f t="shared" si="171"/>
        <v>161.88</v>
      </c>
      <c r="M359" s="173">
        <f t="shared" si="172"/>
        <v>5557.97</v>
      </c>
      <c r="N359" s="173">
        <f t="shared" si="173"/>
        <v>1111.5899999999999</v>
      </c>
      <c r="O359" s="178">
        <f t="shared" si="174"/>
        <v>6669.56</v>
      </c>
      <c r="P359" s="73">
        <f t="shared" ref="P359" si="206">ROUND(O359/5/12,2)</f>
        <v>111.16</v>
      </c>
      <c r="Q359" s="180">
        <f>33+73+2</f>
        <v>108</v>
      </c>
      <c r="R359" s="182">
        <f t="shared" si="178"/>
        <v>3.09</v>
      </c>
      <c r="S359" s="184">
        <f>ROUND(441.63*2/Q359,2)</f>
        <v>8.18</v>
      </c>
    </row>
    <row r="360" spans="1:19" ht="15.75" customHeight="1" x14ac:dyDescent="0.25">
      <c r="A360" s="221"/>
      <c r="B360" s="235"/>
      <c r="C360" s="30" t="s">
        <v>260</v>
      </c>
      <c r="D360" s="177"/>
      <c r="E360" s="199"/>
      <c r="F360" s="199"/>
      <c r="G360" s="199"/>
      <c r="H360" s="168">
        <f>ROUND((E360+F360+G360)*11.7%,2)</f>
        <v>0</v>
      </c>
      <c r="I360" s="170">
        <f t="shared" si="198"/>
        <v>0</v>
      </c>
      <c r="J360" s="168">
        <f t="shared" ref="J360:J415" si="207">ROUND(I360*11.6%,2)</f>
        <v>0</v>
      </c>
      <c r="K360" s="170">
        <f t="shared" si="189"/>
        <v>0</v>
      </c>
      <c r="L360" s="170">
        <f t="shared" ref="L360:L423" si="208">ROUND(K360*3%,2)</f>
        <v>0</v>
      </c>
      <c r="M360" s="174">
        <f t="shared" ref="M360:M423" si="209">K360+L360</f>
        <v>0</v>
      </c>
      <c r="N360" s="174">
        <f t="shared" ref="N360:N423" si="210">ROUND(M360*20%,2)</f>
        <v>0</v>
      </c>
      <c r="O360" s="179">
        <f t="shared" ref="O360:O423" si="211">M360+N360</f>
        <v>0</v>
      </c>
      <c r="P360" s="75"/>
      <c r="Q360" s="181"/>
      <c r="R360" s="183" t="e">
        <f t="shared" si="178"/>
        <v>#DIV/0!</v>
      </c>
      <c r="S360" s="184" t="e">
        <f t="shared" si="200"/>
        <v>#DIV/0!</v>
      </c>
    </row>
    <row r="361" spans="1:19" ht="15.75" x14ac:dyDescent="0.25">
      <c r="A361" s="87">
        <v>262</v>
      </c>
      <c r="B361" s="45" t="s">
        <v>879</v>
      </c>
      <c r="C361" s="26" t="s">
        <v>253</v>
      </c>
      <c r="D361" s="103">
        <v>1475.88</v>
      </c>
      <c r="E361" s="103">
        <v>18.079999999999998</v>
      </c>
      <c r="F361" s="103">
        <v>532.22</v>
      </c>
      <c r="G361" s="103">
        <v>117.09</v>
      </c>
      <c r="H361" s="11">
        <v>175.99</v>
      </c>
      <c r="I361" s="5">
        <f t="shared" ref="I361" si="212">E361+F361+G361+H361+D361</f>
        <v>2319.2600000000002</v>
      </c>
      <c r="J361" s="103">
        <v>11.41</v>
      </c>
      <c r="K361" s="5">
        <f t="shared" si="189"/>
        <v>2330.67</v>
      </c>
      <c r="L361" s="5">
        <f t="shared" si="208"/>
        <v>69.92</v>
      </c>
      <c r="M361" s="15">
        <f t="shared" si="209"/>
        <v>2400.59</v>
      </c>
      <c r="N361" s="15">
        <f t="shared" si="210"/>
        <v>480.12</v>
      </c>
      <c r="O361" s="100">
        <f t="shared" si="211"/>
        <v>2880.71</v>
      </c>
      <c r="P361" s="15">
        <f t="shared" ref="P361:P362" si="213">ROUND(O361/5/12,2)</f>
        <v>48.01</v>
      </c>
      <c r="Q361" s="101">
        <f>10+2</f>
        <v>12</v>
      </c>
      <c r="R361" s="102">
        <f t="shared" si="178"/>
        <v>12</v>
      </c>
      <c r="S361" s="97">
        <f>ROUND(441.63/Q361,2)</f>
        <v>36.799999999999997</v>
      </c>
    </row>
    <row r="362" spans="1:19" ht="15" customHeight="1" x14ac:dyDescent="0.25">
      <c r="A362" s="232">
        <v>263</v>
      </c>
      <c r="B362" s="233" t="s">
        <v>803</v>
      </c>
      <c r="C362" s="27" t="s">
        <v>260</v>
      </c>
      <c r="D362" s="190">
        <f>1962.25+2210.63</f>
        <v>4172.88</v>
      </c>
      <c r="E362" s="190">
        <f>18.08+18.08</f>
        <v>36.159999999999997</v>
      </c>
      <c r="F362" s="190">
        <f>532.22+532.22</f>
        <v>1064.44</v>
      </c>
      <c r="G362" s="190">
        <f>117.09+117.09</f>
        <v>234.18</v>
      </c>
      <c r="H362" s="167">
        <f>175.99+175.99</f>
        <v>351.98</v>
      </c>
      <c r="I362" s="169">
        <f>E362+F362+G362+H362+D362</f>
        <v>5859.64</v>
      </c>
      <c r="J362" s="167">
        <f>11.41+11.41</f>
        <v>22.82</v>
      </c>
      <c r="K362" s="169">
        <f t="shared" si="189"/>
        <v>5882.46</v>
      </c>
      <c r="L362" s="169">
        <f t="shared" si="208"/>
        <v>176.47</v>
      </c>
      <c r="M362" s="173">
        <f t="shared" si="209"/>
        <v>6058.93</v>
      </c>
      <c r="N362" s="173">
        <f t="shared" si="210"/>
        <v>1211.79</v>
      </c>
      <c r="O362" s="178">
        <f t="shared" si="211"/>
        <v>7270.72</v>
      </c>
      <c r="P362" s="73">
        <f t="shared" si="213"/>
        <v>121.18</v>
      </c>
      <c r="Q362" s="236">
        <f>66+42+2</f>
        <v>110</v>
      </c>
      <c r="R362" s="182">
        <f t="shared" si="178"/>
        <v>3.3</v>
      </c>
      <c r="S362" s="184">
        <f>ROUND(441.63*2/Q362,2)</f>
        <v>8.0299999999999994</v>
      </c>
    </row>
    <row r="363" spans="1:19" ht="15" customHeight="1" x14ac:dyDescent="0.25">
      <c r="A363" s="232"/>
      <c r="B363" s="233"/>
      <c r="C363" s="30" t="s">
        <v>261</v>
      </c>
      <c r="D363" s="177"/>
      <c r="E363" s="199"/>
      <c r="F363" s="199"/>
      <c r="G363" s="199"/>
      <c r="H363" s="168">
        <f>ROUND((E363+F363+G363)*11.7%,2)</f>
        <v>0</v>
      </c>
      <c r="I363" s="170">
        <f t="shared" ref="I363" si="214">E363+F363+G363+H363</f>
        <v>0</v>
      </c>
      <c r="J363" s="168">
        <f t="shared" ref="J363" si="215">ROUND(I363*11.6%,2)</f>
        <v>0</v>
      </c>
      <c r="K363" s="170">
        <f t="shared" si="189"/>
        <v>0</v>
      </c>
      <c r="L363" s="170">
        <f t="shared" si="208"/>
        <v>0</v>
      </c>
      <c r="M363" s="174">
        <f t="shared" si="209"/>
        <v>0</v>
      </c>
      <c r="N363" s="174">
        <f t="shared" si="210"/>
        <v>0</v>
      </c>
      <c r="O363" s="179">
        <f t="shared" si="211"/>
        <v>0</v>
      </c>
      <c r="P363" s="75"/>
      <c r="Q363" s="236"/>
      <c r="R363" s="183" t="e">
        <f t="shared" si="178"/>
        <v>#DIV/0!</v>
      </c>
      <c r="S363" s="184" t="e">
        <f t="shared" si="200"/>
        <v>#DIV/0!</v>
      </c>
    </row>
    <row r="364" spans="1:19" ht="15.75" customHeight="1" x14ac:dyDescent="0.25">
      <c r="A364" s="232">
        <v>264</v>
      </c>
      <c r="B364" s="233" t="s">
        <v>804</v>
      </c>
      <c r="C364" s="27" t="s">
        <v>16</v>
      </c>
      <c r="D364" s="190">
        <f>1962.25+2210.63</f>
        <v>4172.88</v>
      </c>
      <c r="E364" s="190">
        <f>18.08+18.08</f>
        <v>36.159999999999997</v>
      </c>
      <c r="F364" s="190">
        <f>532.22+532.22</f>
        <v>1064.44</v>
      </c>
      <c r="G364" s="190">
        <f>117.09+117.09</f>
        <v>234.18</v>
      </c>
      <c r="H364" s="167">
        <f>175.99+175.99</f>
        <v>351.98</v>
      </c>
      <c r="I364" s="169">
        <f>E364+F364+G364+H364+D364</f>
        <v>5859.64</v>
      </c>
      <c r="J364" s="167">
        <f>11.41+11.41</f>
        <v>22.82</v>
      </c>
      <c r="K364" s="169">
        <f t="shared" si="189"/>
        <v>5882.46</v>
      </c>
      <c r="L364" s="169">
        <f t="shared" si="208"/>
        <v>176.47</v>
      </c>
      <c r="M364" s="173">
        <f t="shared" si="209"/>
        <v>6058.93</v>
      </c>
      <c r="N364" s="173">
        <f t="shared" si="210"/>
        <v>1211.79</v>
      </c>
      <c r="O364" s="178">
        <f t="shared" si="211"/>
        <v>7270.72</v>
      </c>
      <c r="P364" s="73">
        <f t="shared" ref="P364" si="216">ROUND(O364/5/12,2)</f>
        <v>121.18</v>
      </c>
      <c r="Q364" s="236">
        <v>100</v>
      </c>
      <c r="R364" s="182">
        <f t="shared" si="178"/>
        <v>3.64</v>
      </c>
      <c r="S364" s="184">
        <f>ROUND(441.63*2/Q364,2)</f>
        <v>8.83</v>
      </c>
    </row>
    <row r="365" spans="1:19" ht="15.75" customHeight="1" x14ac:dyDescent="0.25">
      <c r="A365" s="232"/>
      <c r="B365" s="233"/>
      <c r="C365" s="30" t="s">
        <v>261</v>
      </c>
      <c r="D365" s="177"/>
      <c r="E365" s="199"/>
      <c r="F365" s="199"/>
      <c r="G365" s="199"/>
      <c r="H365" s="168">
        <f>ROUND((E365+F365+G365)*11.7%,2)</f>
        <v>0</v>
      </c>
      <c r="I365" s="170">
        <f t="shared" ref="I365" si="217">E365+F365+G365+H365</f>
        <v>0</v>
      </c>
      <c r="J365" s="168">
        <f t="shared" ref="J365" si="218">ROUND(I365*11.6%,2)</f>
        <v>0</v>
      </c>
      <c r="K365" s="170">
        <f t="shared" si="189"/>
        <v>0</v>
      </c>
      <c r="L365" s="170">
        <f t="shared" si="208"/>
        <v>0</v>
      </c>
      <c r="M365" s="174">
        <f t="shared" si="209"/>
        <v>0</v>
      </c>
      <c r="N365" s="174">
        <f t="shared" si="210"/>
        <v>0</v>
      </c>
      <c r="O365" s="179">
        <f t="shared" si="211"/>
        <v>0</v>
      </c>
      <c r="P365" s="75"/>
      <c r="Q365" s="236"/>
      <c r="R365" s="183" t="e">
        <f t="shared" si="178"/>
        <v>#DIV/0!</v>
      </c>
      <c r="S365" s="184" t="e">
        <f t="shared" si="200"/>
        <v>#DIV/0!</v>
      </c>
    </row>
    <row r="366" spans="1:19" ht="15.75" x14ac:dyDescent="0.25">
      <c r="A366" s="87">
        <v>265</v>
      </c>
      <c r="B366" s="45" t="s">
        <v>262</v>
      </c>
      <c r="C366" s="26" t="s">
        <v>263</v>
      </c>
      <c r="D366" s="103">
        <v>2639</v>
      </c>
      <c r="E366" s="3">
        <v>21</v>
      </c>
      <c r="F366" s="3">
        <v>580.29999999999995</v>
      </c>
      <c r="G366" s="3">
        <v>127.67</v>
      </c>
      <c r="H366" s="11">
        <v>195.01</v>
      </c>
      <c r="I366" s="5">
        <f t="shared" ref="I366" si="219">E366+F366+G366+H366+D366</f>
        <v>3562.98</v>
      </c>
      <c r="J366" s="103">
        <v>12.67</v>
      </c>
      <c r="K366" s="5">
        <f>I366+J366</f>
        <v>3575.65</v>
      </c>
      <c r="L366" s="5">
        <f t="shared" si="208"/>
        <v>107.27</v>
      </c>
      <c r="M366" s="15">
        <f t="shared" si="209"/>
        <v>3682.92</v>
      </c>
      <c r="N366" s="15">
        <f t="shared" si="210"/>
        <v>736.58</v>
      </c>
      <c r="O366" s="100">
        <f t="shared" si="211"/>
        <v>4419.5</v>
      </c>
      <c r="P366" s="15">
        <f t="shared" ref="P366:P373" si="220">ROUND(O366/5/12,2)</f>
        <v>73.66</v>
      </c>
      <c r="Q366" s="101">
        <v>182</v>
      </c>
      <c r="R366" s="102">
        <f t="shared" si="178"/>
        <v>1.21</v>
      </c>
      <c r="S366" s="48">
        <f>ROUND(452.88/Q366,2)</f>
        <v>2.4900000000000002</v>
      </c>
    </row>
    <row r="367" spans="1:19" ht="15.75" x14ac:dyDescent="0.25">
      <c r="A367" s="87">
        <v>266</v>
      </c>
      <c r="B367" s="45" t="s">
        <v>264</v>
      </c>
      <c r="C367" s="26" t="s">
        <v>265</v>
      </c>
      <c r="D367" s="103">
        <v>2210.63</v>
      </c>
      <c r="E367" s="103">
        <v>18.079999999999998</v>
      </c>
      <c r="F367" s="103">
        <v>532.22</v>
      </c>
      <c r="G367" s="103">
        <v>117.09</v>
      </c>
      <c r="H367" s="11">
        <v>175.99</v>
      </c>
      <c r="I367" s="5">
        <f>E367+F367+G367+H367+D367</f>
        <v>3054.01</v>
      </c>
      <c r="J367" s="103">
        <v>11.41</v>
      </c>
      <c r="K367" s="5">
        <f t="shared" si="189"/>
        <v>3065.42</v>
      </c>
      <c r="L367" s="5">
        <f t="shared" si="208"/>
        <v>91.96</v>
      </c>
      <c r="M367" s="15">
        <f t="shared" si="209"/>
        <v>3157.38</v>
      </c>
      <c r="N367" s="15">
        <f t="shared" si="210"/>
        <v>631.48</v>
      </c>
      <c r="O367" s="100">
        <f t="shared" si="211"/>
        <v>3788.86</v>
      </c>
      <c r="P367" s="15">
        <f t="shared" si="220"/>
        <v>63.15</v>
      </c>
      <c r="Q367" s="101">
        <f>64+4</f>
        <v>68</v>
      </c>
      <c r="R367" s="102">
        <f t="shared" ref="R367:R430" si="221">ROUND(P367*3/Q367,2)</f>
        <v>2.79</v>
      </c>
      <c r="S367" s="48">
        <f>ROUND(469.47/Q367,2)</f>
        <v>6.9</v>
      </c>
    </row>
    <row r="368" spans="1:19" ht="25.5" x14ac:dyDescent="0.25">
      <c r="A368" s="87">
        <v>267</v>
      </c>
      <c r="B368" s="45" t="s">
        <v>266</v>
      </c>
      <c r="C368" s="26" t="s">
        <v>267</v>
      </c>
      <c r="D368" s="103">
        <v>1962.25</v>
      </c>
      <c r="E368" s="103">
        <v>18.079999999999998</v>
      </c>
      <c r="F368" s="103">
        <v>532.22</v>
      </c>
      <c r="G368" s="103">
        <v>117.09</v>
      </c>
      <c r="H368" s="11">
        <v>175.99</v>
      </c>
      <c r="I368" s="5">
        <f>E368+F368+G368+H368+D368</f>
        <v>2805.63</v>
      </c>
      <c r="J368" s="103">
        <v>11.41</v>
      </c>
      <c r="K368" s="5">
        <f t="shared" si="189"/>
        <v>2817.04</v>
      </c>
      <c r="L368" s="5">
        <f t="shared" si="208"/>
        <v>84.51</v>
      </c>
      <c r="M368" s="15">
        <f t="shared" si="209"/>
        <v>2901.55</v>
      </c>
      <c r="N368" s="15">
        <f t="shared" si="210"/>
        <v>580.30999999999995</v>
      </c>
      <c r="O368" s="100">
        <f t="shared" si="211"/>
        <v>3481.86</v>
      </c>
      <c r="P368" s="15">
        <f t="shared" si="220"/>
        <v>58.03</v>
      </c>
      <c r="Q368" s="101">
        <f>33+7</f>
        <v>40</v>
      </c>
      <c r="R368" s="102">
        <f t="shared" si="221"/>
        <v>4.3499999999999996</v>
      </c>
      <c r="S368" s="104">
        <f>ROUND(469.47/Q368,2)</f>
        <v>11.74</v>
      </c>
    </row>
    <row r="369" spans="1:19" ht="15.75" x14ac:dyDescent="0.25">
      <c r="A369" s="87">
        <v>268</v>
      </c>
      <c r="B369" s="45" t="s">
        <v>268</v>
      </c>
      <c r="C369" s="26" t="s">
        <v>263</v>
      </c>
      <c r="D369" s="103">
        <v>2639</v>
      </c>
      <c r="E369" s="3">
        <v>21</v>
      </c>
      <c r="F369" s="3">
        <v>580.29999999999995</v>
      </c>
      <c r="G369" s="3">
        <v>127.67</v>
      </c>
      <c r="H369" s="11">
        <v>195.01</v>
      </c>
      <c r="I369" s="5">
        <f>E369+F369+G369+H369+D369</f>
        <v>3562.98</v>
      </c>
      <c r="J369" s="103">
        <v>12.67</v>
      </c>
      <c r="K369" s="5">
        <f>I369+J369</f>
        <v>3575.65</v>
      </c>
      <c r="L369" s="5">
        <f t="shared" si="208"/>
        <v>107.27</v>
      </c>
      <c r="M369" s="15">
        <f t="shared" si="209"/>
        <v>3682.92</v>
      </c>
      <c r="N369" s="15">
        <f t="shared" si="210"/>
        <v>736.58</v>
      </c>
      <c r="O369" s="100">
        <f t="shared" si="211"/>
        <v>4419.5</v>
      </c>
      <c r="P369" s="15">
        <f t="shared" si="220"/>
        <v>73.66</v>
      </c>
      <c r="Q369" s="101">
        <f>179+3</f>
        <v>182</v>
      </c>
      <c r="R369" s="102">
        <f t="shared" si="221"/>
        <v>1.21</v>
      </c>
      <c r="S369" s="48">
        <f t="shared" ref="S369:S371" si="222">ROUND(452.88/Q369,2)</f>
        <v>2.4900000000000002</v>
      </c>
    </row>
    <row r="370" spans="1:19" ht="15.75" x14ac:dyDescent="0.25">
      <c r="A370" s="87">
        <v>269</v>
      </c>
      <c r="B370" s="45" t="s">
        <v>269</v>
      </c>
      <c r="C370" s="26" t="s">
        <v>263</v>
      </c>
      <c r="D370" s="103">
        <v>2639</v>
      </c>
      <c r="E370" s="3">
        <v>21</v>
      </c>
      <c r="F370" s="3">
        <v>580.29999999999995</v>
      </c>
      <c r="G370" s="3">
        <v>127.67</v>
      </c>
      <c r="H370" s="11">
        <v>195.01</v>
      </c>
      <c r="I370" s="5">
        <f t="shared" ref="I370:I371" si="223">E370+F370+G370+H370+D370</f>
        <v>3562.98</v>
      </c>
      <c r="J370" s="103">
        <v>12.67</v>
      </c>
      <c r="K370" s="5">
        <f t="shared" si="189"/>
        <v>3575.65</v>
      </c>
      <c r="L370" s="5">
        <f t="shared" si="208"/>
        <v>107.27</v>
      </c>
      <c r="M370" s="15">
        <f t="shared" si="209"/>
        <v>3682.92</v>
      </c>
      <c r="N370" s="15">
        <f t="shared" si="210"/>
        <v>736.58</v>
      </c>
      <c r="O370" s="100">
        <f t="shared" si="211"/>
        <v>4419.5</v>
      </c>
      <c r="P370" s="15">
        <f t="shared" si="220"/>
        <v>73.66</v>
      </c>
      <c r="Q370" s="101">
        <f>175+6</f>
        <v>181</v>
      </c>
      <c r="R370" s="102">
        <f t="shared" si="221"/>
        <v>1.22</v>
      </c>
      <c r="S370" s="48">
        <f t="shared" si="222"/>
        <v>2.5</v>
      </c>
    </row>
    <row r="371" spans="1:19" ht="16.5" thickBot="1" x14ac:dyDescent="0.3">
      <c r="A371" s="23">
        <v>270</v>
      </c>
      <c r="B371" s="139" t="s">
        <v>270</v>
      </c>
      <c r="C371" s="112" t="s">
        <v>263</v>
      </c>
      <c r="D371" s="57">
        <v>2639</v>
      </c>
      <c r="E371" s="137">
        <v>21</v>
      </c>
      <c r="F371" s="137">
        <v>580.29999999999995</v>
      </c>
      <c r="G371" s="137">
        <v>127.67</v>
      </c>
      <c r="H371" s="58">
        <v>195.01</v>
      </c>
      <c r="I371" s="59">
        <f t="shared" si="223"/>
        <v>3562.98</v>
      </c>
      <c r="J371" s="57">
        <v>12.67</v>
      </c>
      <c r="K371" s="59">
        <f t="shared" si="189"/>
        <v>3575.65</v>
      </c>
      <c r="L371" s="59">
        <f t="shared" si="208"/>
        <v>107.27</v>
      </c>
      <c r="M371" s="60">
        <f t="shared" si="209"/>
        <v>3682.92</v>
      </c>
      <c r="N371" s="60">
        <f t="shared" si="210"/>
        <v>736.58</v>
      </c>
      <c r="O371" s="61">
        <f t="shared" si="211"/>
        <v>4419.5</v>
      </c>
      <c r="P371" s="60">
        <f t="shared" si="220"/>
        <v>73.66</v>
      </c>
      <c r="Q371" s="113">
        <f>172+8</f>
        <v>180</v>
      </c>
      <c r="R371" s="53">
        <f t="shared" si="221"/>
        <v>1.23</v>
      </c>
      <c r="S371" s="114">
        <f t="shared" si="222"/>
        <v>2.52</v>
      </c>
    </row>
    <row r="372" spans="1:19" ht="15.75" x14ac:dyDescent="0.25">
      <c r="A372" s="115">
        <v>271</v>
      </c>
      <c r="B372" s="140" t="s">
        <v>271</v>
      </c>
      <c r="C372" s="117" t="s">
        <v>272</v>
      </c>
      <c r="D372" s="118">
        <v>2427.87</v>
      </c>
      <c r="E372" s="118">
        <v>21</v>
      </c>
      <c r="F372" s="118">
        <v>580.29999999999995</v>
      </c>
      <c r="G372" s="118">
        <v>127.67</v>
      </c>
      <c r="H372" s="119">
        <v>195.01</v>
      </c>
      <c r="I372" s="120">
        <f>E372+F372+G372+H372+D372</f>
        <v>3351.85</v>
      </c>
      <c r="J372" s="118">
        <v>12.67</v>
      </c>
      <c r="K372" s="120">
        <f t="shared" si="189"/>
        <v>3364.52</v>
      </c>
      <c r="L372" s="120">
        <f t="shared" si="208"/>
        <v>100.94</v>
      </c>
      <c r="M372" s="121">
        <f t="shared" si="209"/>
        <v>3465.46</v>
      </c>
      <c r="N372" s="121">
        <f t="shared" si="210"/>
        <v>693.09</v>
      </c>
      <c r="O372" s="122">
        <f t="shared" si="211"/>
        <v>4158.55</v>
      </c>
      <c r="P372" s="121">
        <f t="shared" si="220"/>
        <v>69.31</v>
      </c>
      <c r="Q372" s="129">
        <v>91</v>
      </c>
      <c r="R372" s="124">
        <f t="shared" si="221"/>
        <v>2.2799999999999998</v>
      </c>
      <c r="S372" s="125">
        <f>ROUND(451.2/Q372,2)</f>
        <v>4.96</v>
      </c>
    </row>
    <row r="373" spans="1:19" ht="15.75" x14ac:dyDescent="0.25">
      <c r="A373" s="232">
        <v>272</v>
      </c>
      <c r="B373" s="215" t="s">
        <v>805</v>
      </c>
      <c r="C373" s="27" t="s">
        <v>273</v>
      </c>
      <c r="D373" s="175">
        <f>1475.88*4</f>
        <v>5903.52</v>
      </c>
      <c r="E373" s="190">
        <f>18.08*4</f>
        <v>72.319999999999993</v>
      </c>
      <c r="F373" s="190">
        <f>532.22*4</f>
        <v>2128.88</v>
      </c>
      <c r="G373" s="190">
        <f>117.09*4</f>
        <v>468.36</v>
      </c>
      <c r="H373" s="167">
        <f>175.99*4</f>
        <v>703.96</v>
      </c>
      <c r="I373" s="169">
        <f>E373+F373+G373+H373+D373</f>
        <v>9277.0400000000009</v>
      </c>
      <c r="J373" s="167">
        <f>11.41*4</f>
        <v>45.64</v>
      </c>
      <c r="K373" s="169">
        <f t="shared" si="189"/>
        <v>9322.68</v>
      </c>
      <c r="L373" s="169">
        <f t="shared" si="208"/>
        <v>279.68</v>
      </c>
      <c r="M373" s="173">
        <f t="shared" si="209"/>
        <v>9602.36</v>
      </c>
      <c r="N373" s="173">
        <f t="shared" si="210"/>
        <v>1920.47</v>
      </c>
      <c r="O373" s="178">
        <f t="shared" si="211"/>
        <v>11522.83</v>
      </c>
      <c r="P373" s="73">
        <f t="shared" si="220"/>
        <v>192.05</v>
      </c>
      <c r="Q373" s="180">
        <f>15+15+15+15</f>
        <v>60</v>
      </c>
      <c r="R373" s="182">
        <f t="shared" si="221"/>
        <v>9.6</v>
      </c>
      <c r="S373" s="184">
        <f>ROUND(441.63*4/Q373,2)</f>
        <v>29.44</v>
      </c>
    </row>
    <row r="374" spans="1:19" ht="15.75" x14ac:dyDescent="0.25">
      <c r="A374" s="232"/>
      <c r="B374" s="218"/>
      <c r="C374" s="29" t="s">
        <v>273</v>
      </c>
      <c r="D374" s="176"/>
      <c r="E374" s="200"/>
      <c r="F374" s="200"/>
      <c r="G374" s="200"/>
      <c r="H374" s="171">
        <f>ROUND((E374+F374+G374)*11.7%,2)</f>
        <v>0</v>
      </c>
      <c r="I374" s="172">
        <f t="shared" ref="I374:I397" si="224">E374+F374+G374+H374</f>
        <v>0</v>
      </c>
      <c r="J374" s="171">
        <f t="shared" si="207"/>
        <v>0</v>
      </c>
      <c r="K374" s="172">
        <f t="shared" si="189"/>
        <v>0</v>
      </c>
      <c r="L374" s="172">
        <f t="shared" si="208"/>
        <v>0</v>
      </c>
      <c r="M374" s="191">
        <f t="shared" si="209"/>
        <v>0</v>
      </c>
      <c r="N374" s="191">
        <f t="shared" si="210"/>
        <v>0</v>
      </c>
      <c r="O374" s="187">
        <f t="shared" si="211"/>
        <v>0</v>
      </c>
      <c r="P374" s="74"/>
      <c r="Q374" s="188"/>
      <c r="R374" s="189" t="e">
        <f t="shared" si="221"/>
        <v>#DIV/0!</v>
      </c>
      <c r="S374" s="184" t="e">
        <f t="shared" si="200"/>
        <v>#DIV/0!</v>
      </c>
    </row>
    <row r="375" spans="1:19" ht="15.75" x14ac:dyDescent="0.25">
      <c r="A375" s="232"/>
      <c r="B375" s="218"/>
      <c r="C375" s="29" t="s">
        <v>273</v>
      </c>
      <c r="D375" s="176"/>
      <c r="E375" s="200"/>
      <c r="F375" s="200"/>
      <c r="G375" s="200"/>
      <c r="H375" s="171">
        <f>ROUND((E375+F375+G375)*11.7%,2)</f>
        <v>0</v>
      </c>
      <c r="I375" s="172">
        <f t="shared" si="224"/>
        <v>0</v>
      </c>
      <c r="J375" s="171">
        <f t="shared" si="207"/>
        <v>0</v>
      </c>
      <c r="K375" s="172">
        <f t="shared" si="189"/>
        <v>0</v>
      </c>
      <c r="L375" s="172">
        <f t="shared" si="208"/>
        <v>0</v>
      </c>
      <c r="M375" s="191">
        <f t="shared" si="209"/>
        <v>0</v>
      </c>
      <c r="N375" s="191">
        <f t="shared" si="210"/>
        <v>0</v>
      </c>
      <c r="O375" s="187">
        <f t="shared" si="211"/>
        <v>0</v>
      </c>
      <c r="P375" s="74"/>
      <c r="Q375" s="188"/>
      <c r="R375" s="189" t="e">
        <f t="shared" si="221"/>
        <v>#DIV/0!</v>
      </c>
      <c r="S375" s="184" t="e">
        <f t="shared" si="200"/>
        <v>#DIV/0!</v>
      </c>
    </row>
    <row r="376" spans="1:19" ht="15.75" x14ac:dyDescent="0.25">
      <c r="A376" s="232"/>
      <c r="B376" s="216"/>
      <c r="C376" s="30" t="s">
        <v>273</v>
      </c>
      <c r="D376" s="177"/>
      <c r="E376" s="199"/>
      <c r="F376" s="199"/>
      <c r="G376" s="199"/>
      <c r="H376" s="168">
        <f>ROUND((E376+F376+G376)*11.7%,2)</f>
        <v>0</v>
      </c>
      <c r="I376" s="170">
        <f t="shared" si="224"/>
        <v>0</v>
      </c>
      <c r="J376" s="168">
        <f t="shared" si="207"/>
        <v>0</v>
      </c>
      <c r="K376" s="170">
        <f t="shared" si="189"/>
        <v>0</v>
      </c>
      <c r="L376" s="170">
        <f t="shared" si="208"/>
        <v>0</v>
      </c>
      <c r="M376" s="174">
        <f t="shared" si="209"/>
        <v>0</v>
      </c>
      <c r="N376" s="174">
        <f t="shared" si="210"/>
        <v>0</v>
      </c>
      <c r="O376" s="179">
        <f t="shared" si="211"/>
        <v>0</v>
      </c>
      <c r="P376" s="75"/>
      <c r="Q376" s="181"/>
      <c r="R376" s="183" t="e">
        <f t="shared" si="221"/>
        <v>#DIV/0!</v>
      </c>
      <c r="S376" s="184" t="e">
        <f t="shared" si="200"/>
        <v>#DIV/0!</v>
      </c>
    </row>
    <row r="377" spans="1:19" ht="15.75" x14ac:dyDescent="0.25">
      <c r="A377" s="87">
        <v>273</v>
      </c>
      <c r="B377" s="45" t="s">
        <v>274</v>
      </c>
      <c r="C377" s="26" t="s">
        <v>260</v>
      </c>
      <c r="D377" s="103">
        <v>2210.63</v>
      </c>
      <c r="E377" s="103">
        <v>18.079999999999998</v>
      </c>
      <c r="F377" s="103">
        <v>532.22</v>
      </c>
      <c r="G377" s="103">
        <v>117.09</v>
      </c>
      <c r="H377" s="11">
        <v>175.99</v>
      </c>
      <c r="I377" s="5">
        <f t="shared" ref="I377:I379" si="225">E377+F377+G377+H377+D377</f>
        <v>3054.01</v>
      </c>
      <c r="J377" s="103">
        <v>11.41</v>
      </c>
      <c r="K377" s="5">
        <f t="shared" si="189"/>
        <v>3065.42</v>
      </c>
      <c r="L377" s="5">
        <f t="shared" si="208"/>
        <v>91.96</v>
      </c>
      <c r="M377" s="15">
        <f t="shared" si="209"/>
        <v>3157.38</v>
      </c>
      <c r="N377" s="15">
        <f t="shared" si="210"/>
        <v>631.48</v>
      </c>
      <c r="O377" s="100">
        <f t="shared" si="211"/>
        <v>3788.86</v>
      </c>
      <c r="P377" s="15">
        <f t="shared" ref="P377:P389" si="226">ROUND(O377/5/12,2)</f>
        <v>63.15</v>
      </c>
      <c r="Q377" s="101">
        <f>69+2</f>
        <v>71</v>
      </c>
      <c r="R377" s="102">
        <f t="shared" si="221"/>
        <v>2.67</v>
      </c>
      <c r="S377" s="97">
        <f>ROUND(441.63/Q377,2)</f>
        <v>6.22</v>
      </c>
    </row>
    <row r="378" spans="1:19" ht="15.75" x14ac:dyDescent="0.25">
      <c r="A378" s="87">
        <v>274</v>
      </c>
      <c r="B378" s="45" t="s">
        <v>275</v>
      </c>
      <c r="C378" s="26" t="s">
        <v>260</v>
      </c>
      <c r="D378" s="103">
        <v>2210.63</v>
      </c>
      <c r="E378" s="103">
        <v>18.079999999999998</v>
      </c>
      <c r="F378" s="103">
        <v>532.22</v>
      </c>
      <c r="G378" s="103">
        <v>117.09</v>
      </c>
      <c r="H378" s="11">
        <v>175.99</v>
      </c>
      <c r="I378" s="5">
        <f t="shared" si="225"/>
        <v>3054.01</v>
      </c>
      <c r="J378" s="103">
        <v>11.41</v>
      </c>
      <c r="K378" s="5">
        <f t="shared" si="189"/>
        <v>3065.42</v>
      </c>
      <c r="L378" s="5">
        <f t="shared" si="208"/>
        <v>91.96</v>
      </c>
      <c r="M378" s="15">
        <f t="shared" si="209"/>
        <v>3157.38</v>
      </c>
      <c r="N378" s="15">
        <f t="shared" si="210"/>
        <v>631.48</v>
      </c>
      <c r="O378" s="100">
        <f t="shared" si="211"/>
        <v>3788.86</v>
      </c>
      <c r="P378" s="15">
        <f t="shared" si="226"/>
        <v>63.15</v>
      </c>
      <c r="Q378" s="101">
        <f>69+1</f>
        <v>70</v>
      </c>
      <c r="R378" s="102">
        <f t="shared" si="221"/>
        <v>2.71</v>
      </c>
      <c r="S378" s="97">
        <f t="shared" ref="S378:S379" si="227">ROUND(441.63/Q378,2)</f>
        <v>6.31</v>
      </c>
    </row>
    <row r="379" spans="1:19" ht="15.75" x14ac:dyDescent="0.25">
      <c r="A379" s="87">
        <v>275</v>
      </c>
      <c r="B379" s="45" t="s">
        <v>276</v>
      </c>
      <c r="C379" s="26" t="s">
        <v>260</v>
      </c>
      <c r="D379" s="103">
        <v>2210.63</v>
      </c>
      <c r="E379" s="103">
        <v>18.079999999999998</v>
      </c>
      <c r="F379" s="103">
        <v>532.22</v>
      </c>
      <c r="G379" s="103">
        <v>117.09</v>
      </c>
      <c r="H379" s="11">
        <v>175.99</v>
      </c>
      <c r="I379" s="5">
        <f t="shared" si="225"/>
        <v>3054.01</v>
      </c>
      <c r="J379" s="103">
        <v>11.41</v>
      </c>
      <c r="K379" s="5">
        <f t="shared" si="189"/>
        <v>3065.42</v>
      </c>
      <c r="L379" s="5">
        <f t="shared" si="208"/>
        <v>91.96</v>
      </c>
      <c r="M379" s="15">
        <f t="shared" si="209"/>
        <v>3157.38</v>
      </c>
      <c r="N379" s="15">
        <f t="shared" si="210"/>
        <v>631.48</v>
      </c>
      <c r="O379" s="100">
        <f t="shared" si="211"/>
        <v>3788.86</v>
      </c>
      <c r="P379" s="15">
        <f t="shared" si="226"/>
        <v>63.15</v>
      </c>
      <c r="Q379" s="101">
        <v>70</v>
      </c>
      <c r="R379" s="102">
        <f t="shared" si="221"/>
        <v>2.71</v>
      </c>
      <c r="S379" s="97">
        <f t="shared" si="227"/>
        <v>6.31</v>
      </c>
    </row>
    <row r="380" spans="1:19" ht="15.75" x14ac:dyDescent="0.25">
      <c r="A380" s="87">
        <v>276</v>
      </c>
      <c r="B380" s="45" t="s">
        <v>277</v>
      </c>
      <c r="C380" s="55" t="s">
        <v>278</v>
      </c>
      <c r="D380" s="103">
        <v>1962.25</v>
      </c>
      <c r="E380" s="103">
        <v>18.079999999999998</v>
      </c>
      <c r="F380" s="103">
        <v>532.22</v>
      </c>
      <c r="G380" s="103">
        <v>117.09</v>
      </c>
      <c r="H380" s="11">
        <v>175.99</v>
      </c>
      <c r="I380" s="5">
        <f>E380+F380+G380+H380+D380</f>
        <v>2805.63</v>
      </c>
      <c r="J380" s="103">
        <v>11.41</v>
      </c>
      <c r="K380" s="5">
        <f t="shared" si="189"/>
        <v>2817.04</v>
      </c>
      <c r="L380" s="5">
        <f t="shared" si="208"/>
        <v>84.51</v>
      </c>
      <c r="M380" s="15">
        <f t="shared" si="209"/>
        <v>2901.55</v>
      </c>
      <c r="N380" s="15">
        <f t="shared" si="210"/>
        <v>580.30999999999995</v>
      </c>
      <c r="O380" s="100">
        <f t="shared" si="211"/>
        <v>3481.86</v>
      </c>
      <c r="P380" s="15">
        <f t="shared" si="226"/>
        <v>58.03</v>
      </c>
      <c r="Q380" s="101">
        <v>36</v>
      </c>
      <c r="R380" s="102">
        <f t="shared" si="221"/>
        <v>4.84</v>
      </c>
      <c r="S380" s="97">
        <f>ROUND(469.47/Q380,2)</f>
        <v>13.04</v>
      </c>
    </row>
    <row r="381" spans="1:19" ht="15.75" x14ac:dyDescent="0.25">
      <c r="A381" s="87">
        <v>277</v>
      </c>
      <c r="B381" s="45" t="s">
        <v>279</v>
      </c>
      <c r="C381" s="26" t="s">
        <v>280</v>
      </c>
      <c r="D381" s="103">
        <v>2427.87</v>
      </c>
      <c r="E381" s="103">
        <v>21</v>
      </c>
      <c r="F381" s="103">
        <v>580.29999999999995</v>
      </c>
      <c r="G381" s="103">
        <v>127.67</v>
      </c>
      <c r="H381" s="11">
        <v>195.01</v>
      </c>
      <c r="I381" s="5">
        <f t="shared" ref="I381:I382" si="228">E381+F381+G381+H381+D381</f>
        <v>3351.85</v>
      </c>
      <c r="J381" s="103">
        <v>12.67</v>
      </c>
      <c r="K381" s="5">
        <f t="shared" si="189"/>
        <v>3364.52</v>
      </c>
      <c r="L381" s="5">
        <f t="shared" si="208"/>
        <v>100.94</v>
      </c>
      <c r="M381" s="15">
        <f t="shared" si="209"/>
        <v>3465.46</v>
      </c>
      <c r="N381" s="15">
        <f t="shared" si="210"/>
        <v>693.09</v>
      </c>
      <c r="O381" s="100">
        <f t="shared" si="211"/>
        <v>4158.55</v>
      </c>
      <c r="P381" s="15">
        <f t="shared" si="226"/>
        <v>69.31</v>
      </c>
      <c r="Q381" s="101">
        <f>99+1</f>
        <v>100</v>
      </c>
      <c r="R381" s="102">
        <f t="shared" si="221"/>
        <v>2.08</v>
      </c>
      <c r="S381" s="48">
        <f>ROUND(451.2/Q381,2)</f>
        <v>4.51</v>
      </c>
    </row>
    <row r="382" spans="1:19" ht="15.75" x14ac:dyDescent="0.25">
      <c r="A382" s="87">
        <v>278</v>
      </c>
      <c r="B382" s="45" t="s">
        <v>281</v>
      </c>
      <c r="C382" s="26" t="s">
        <v>272</v>
      </c>
      <c r="D382" s="103">
        <v>2427.87</v>
      </c>
      <c r="E382" s="103">
        <v>21</v>
      </c>
      <c r="F382" s="103">
        <v>580.29999999999995</v>
      </c>
      <c r="G382" s="103">
        <v>127.67</v>
      </c>
      <c r="H382" s="11">
        <v>195.01</v>
      </c>
      <c r="I382" s="5">
        <f t="shared" si="228"/>
        <v>3351.85</v>
      </c>
      <c r="J382" s="103">
        <v>12.67</v>
      </c>
      <c r="K382" s="5">
        <f t="shared" si="189"/>
        <v>3364.52</v>
      </c>
      <c r="L382" s="5">
        <f t="shared" si="208"/>
        <v>100.94</v>
      </c>
      <c r="M382" s="15">
        <f t="shared" si="209"/>
        <v>3465.46</v>
      </c>
      <c r="N382" s="15">
        <f t="shared" si="210"/>
        <v>693.09</v>
      </c>
      <c r="O382" s="100">
        <f t="shared" si="211"/>
        <v>4158.55</v>
      </c>
      <c r="P382" s="15">
        <f t="shared" si="226"/>
        <v>69.31</v>
      </c>
      <c r="Q382" s="101">
        <v>99</v>
      </c>
      <c r="R382" s="102">
        <f t="shared" si="221"/>
        <v>2.1</v>
      </c>
      <c r="S382" s="48">
        <f>ROUND(451.2/Q382,2)</f>
        <v>4.5599999999999996</v>
      </c>
    </row>
    <row r="383" spans="1:19" ht="15.75" x14ac:dyDescent="0.25">
      <c r="A383" s="87">
        <v>279</v>
      </c>
      <c r="B383" s="45" t="s">
        <v>282</v>
      </c>
      <c r="C383" s="26" t="s">
        <v>260</v>
      </c>
      <c r="D383" s="103">
        <v>2210.63</v>
      </c>
      <c r="E383" s="103">
        <v>18.079999999999998</v>
      </c>
      <c r="F383" s="103">
        <v>532.22</v>
      </c>
      <c r="G383" s="103">
        <v>117.09</v>
      </c>
      <c r="H383" s="11">
        <v>175.99</v>
      </c>
      <c r="I383" s="5">
        <f>E383+F383+G383+H383+D383</f>
        <v>3054.01</v>
      </c>
      <c r="J383" s="103">
        <v>11.41</v>
      </c>
      <c r="K383" s="5">
        <f t="shared" si="189"/>
        <v>3065.42</v>
      </c>
      <c r="L383" s="5">
        <f t="shared" si="208"/>
        <v>91.96</v>
      </c>
      <c r="M383" s="15">
        <f t="shared" si="209"/>
        <v>3157.38</v>
      </c>
      <c r="N383" s="15">
        <f t="shared" si="210"/>
        <v>631.48</v>
      </c>
      <c r="O383" s="100">
        <f t="shared" si="211"/>
        <v>3788.86</v>
      </c>
      <c r="P383" s="15">
        <f t="shared" si="226"/>
        <v>63.15</v>
      </c>
      <c r="Q383" s="101">
        <f>99+1</f>
        <v>100</v>
      </c>
      <c r="R383" s="102">
        <f t="shared" si="221"/>
        <v>1.89</v>
      </c>
      <c r="S383" s="97">
        <f>ROUND(441.63/Q383,2)</f>
        <v>4.42</v>
      </c>
    </row>
    <row r="384" spans="1:19" ht="15.75" x14ac:dyDescent="0.25">
      <c r="A384" s="87">
        <v>280</v>
      </c>
      <c r="B384" s="45" t="s">
        <v>283</v>
      </c>
      <c r="C384" s="26" t="s">
        <v>256</v>
      </c>
      <c r="D384" s="103">
        <v>1962.25</v>
      </c>
      <c r="E384" s="103">
        <v>18.079999999999998</v>
      </c>
      <c r="F384" s="103">
        <v>532.22</v>
      </c>
      <c r="G384" s="103">
        <v>117.09</v>
      </c>
      <c r="H384" s="11">
        <v>175.99</v>
      </c>
      <c r="I384" s="5">
        <f>E384+F384+G384+H384+D384</f>
        <v>2805.63</v>
      </c>
      <c r="J384" s="103">
        <v>11.41</v>
      </c>
      <c r="K384" s="5">
        <f t="shared" si="189"/>
        <v>2817.04</v>
      </c>
      <c r="L384" s="5">
        <f t="shared" si="208"/>
        <v>84.51</v>
      </c>
      <c r="M384" s="15">
        <f t="shared" si="209"/>
        <v>2901.55</v>
      </c>
      <c r="N384" s="15">
        <f t="shared" si="210"/>
        <v>580.30999999999995</v>
      </c>
      <c r="O384" s="100">
        <f t="shared" si="211"/>
        <v>3481.86</v>
      </c>
      <c r="P384" s="15">
        <f t="shared" si="226"/>
        <v>58.03</v>
      </c>
      <c r="Q384" s="101">
        <f>7+3</f>
        <v>10</v>
      </c>
      <c r="R384" s="102">
        <f t="shared" si="221"/>
        <v>17.41</v>
      </c>
      <c r="S384" s="97">
        <f>ROUND(441.63/Q384,2)</f>
        <v>44.16</v>
      </c>
    </row>
    <row r="385" spans="1:19" ht="15.75" x14ac:dyDescent="0.25">
      <c r="A385" s="87">
        <v>281</v>
      </c>
      <c r="B385" s="45" t="s">
        <v>808</v>
      </c>
      <c r="C385" s="26" t="s">
        <v>284</v>
      </c>
      <c r="D385" s="103">
        <v>3502.25</v>
      </c>
      <c r="E385" s="103">
        <v>21</v>
      </c>
      <c r="F385" s="103">
        <v>546.46</v>
      </c>
      <c r="G385" s="103">
        <v>120.22</v>
      </c>
      <c r="H385" s="11">
        <v>184.09</v>
      </c>
      <c r="I385" s="5">
        <f t="shared" ref="I385" si="229">E385+F385+G385+H385+D385</f>
        <v>4374.0200000000004</v>
      </c>
      <c r="J385" s="103">
        <v>12.03</v>
      </c>
      <c r="K385" s="5">
        <f t="shared" si="189"/>
        <v>4386.05</v>
      </c>
      <c r="L385" s="5">
        <f t="shared" si="208"/>
        <v>131.58000000000001</v>
      </c>
      <c r="M385" s="15">
        <f t="shared" si="209"/>
        <v>4517.63</v>
      </c>
      <c r="N385" s="15">
        <f t="shared" si="210"/>
        <v>903.53</v>
      </c>
      <c r="O385" s="100">
        <f t="shared" si="211"/>
        <v>5421.16</v>
      </c>
      <c r="P385" s="15">
        <f t="shared" si="226"/>
        <v>90.35</v>
      </c>
      <c r="Q385" s="101">
        <f>249+2</f>
        <v>251</v>
      </c>
      <c r="R385" s="102">
        <f t="shared" si="221"/>
        <v>1.08</v>
      </c>
      <c r="S385" s="97">
        <f>ROUND(705.6/Q385,2)</f>
        <v>2.81</v>
      </c>
    </row>
    <row r="386" spans="1:19" ht="15.75" x14ac:dyDescent="0.25">
      <c r="A386" s="87">
        <v>282</v>
      </c>
      <c r="B386" s="45" t="s">
        <v>285</v>
      </c>
      <c r="C386" s="26" t="s">
        <v>260</v>
      </c>
      <c r="D386" s="103">
        <v>2210.63</v>
      </c>
      <c r="E386" s="103">
        <v>18.079999999999998</v>
      </c>
      <c r="F386" s="103">
        <v>532.22</v>
      </c>
      <c r="G386" s="103">
        <v>117.09</v>
      </c>
      <c r="H386" s="11">
        <v>175.99</v>
      </c>
      <c r="I386" s="5">
        <f>E386+F386+G386+H386+D386</f>
        <v>3054.01</v>
      </c>
      <c r="J386" s="103">
        <v>11.41</v>
      </c>
      <c r="K386" s="5">
        <f t="shared" si="189"/>
        <v>3065.42</v>
      </c>
      <c r="L386" s="5">
        <f t="shared" si="208"/>
        <v>91.96</v>
      </c>
      <c r="M386" s="15">
        <f t="shared" si="209"/>
        <v>3157.38</v>
      </c>
      <c r="N386" s="15">
        <f t="shared" si="210"/>
        <v>631.48</v>
      </c>
      <c r="O386" s="100">
        <f t="shared" si="211"/>
        <v>3788.86</v>
      </c>
      <c r="P386" s="15">
        <f t="shared" si="226"/>
        <v>63.15</v>
      </c>
      <c r="Q386" s="101">
        <v>80</v>
      </c>
      <c r="R386" s="102">
        <f t="shared" si="221"/>
        <v>2.37</v>
      </c>
      <c r="S386" s="97">
        <f t="shared" ref="S386:S388" si="230">ROUND(441.63/Q386,2)</f>
        <v>5.52</v>
      </c>
    </row>
    <row r="387" spans="1:19" ht="15.75" x14ac:dyDescent="0.25">
      <c r="A387" s="87">
        <v>283</v>
      </c>
      <c r="B387" s="45" t="s">
        <v>286</v>
      </c>
      <c r="C387" s="26" t="s">
        <v>261</v>
      </c>
      <c r="D387" s="103">
        <v>1962.25</v>
      </c>
      <c r="E387" s="103">
        <v>18.079999999999998</v>
      </c>
      <c r="F387" s="103">
        <v>532.22</v>
      </c>
      <c r="G387" s="103">
        <v>117.09</v>
      </c>
      <c r="H387" s="11">
        <v>175.99</v>
      </c>
      <c r="I387" s="5">
        <f>E387+F387+G387+H387+D387</f>
        <v>2805.63</v>
      </c>
      <c r="J387" s="103">
        <v>11.41</v>
      </c>
      <c r="K387" s="5">
        <f t="shared" si="189"/>
        <v>2817.04</v>
      </c>
      <c r="L387" s="5">
        <f t="shared" si="208"/>
        <v>84.51</v>
      </c>
      <c r="M387" s="15">
        <f t="shared" si="209"/>
        <v>2901.55</v>
      </c>
      <c r="N387" s="15">
        <f t="shared" si="210"/>
        <v>580.30999999999995</v>
      </c>
      <c r="O387" s="100">
        <f t="shared" si="211"/>
        <v>3481.86</v>
      </c>
      <c r="P387" s="15">
        <f t="shared" si="226"/>
        <v>58.03</v>
      </c>
      <c r="Q387" s="101">
        <f>72+6</f>
        <v>78</v>
      </c>
      <c r="R387" s="102">
        <f t="shared" si="221"/>
        <v>2.23</v>
      </c>
      <c r="S387" s="97">
        <f t="shared" si="230"/>
        <v>5.66</v>
      </c>
    </row>
    <row r="388" spans="1:19" ht="15.75" x14ac:dyDescent="0.25">
      <c r="A388" s="87">
        <v>284</v>
      </c>
      <c r="B388" s="45" t="s">
        <v>287</v>
      </c>
      <c r="C388" s="26" t="s">
        <v>288</v>
      </c>
      <c r="D388" s="103">
        <v>2210.63</v>
      </c>
      <c r="E388" s="103">
        <v>18.079999999999998</v>
      </c>
      <c r="F388" s="103">
        <v>532.22</v>
      </c>
      <c r="G388" s="103">
        <v>117.09</v>
      </c>
      <c r="H388" s="11">
        <v>175.99</v>
      </c>
      <c r="I388" s="5">
        <f>E388+F388+G388+H388+D388</f>
        <v>3054.01</v>
      </c>
      <c r="J388" s="103">
        <v>11.41</v>
      </c>
      <c r="K388" s="5">
        <f t="shared" si="189"/>
        <v>3065.42</v>
      </c>
      <c r="L388" s="5">
        <f t="shared" si="208"/>
        <v>91.96</v>
      </c>
      <c r="M388" s="15">
        <f t="shared" si="209"/>
        <v>3157.38</v>
      </c>
      <c r="N388" s="15">
        <f t="shared" si="210"/>
        <v>631.48</v>
      </c>
      <c r="O388" s="100">
        <f t="shared" si="211"/>
        <v>3788.86</v>
      </c>
      <c r="P388" s="15">
        <f t="shared" si="226"/>
        <v>63.15</v>
      </c>
      <c r="Q388" s="101">
        <f>71+1</f>
        <v>72</v>
      </c>
      <c r="R388" s="102">
        <f t="shared" si="221"/>
        <v>2.63</v>
      </c>
      <c r="S388" s="97">
        <f t="shared" si="230"/>
        <v>6.13</v>
      </c>
    </row>
    <row r="389" spans="1:19" ht="15.75" x14ac:dyDescent="0.25">
      <c r="A389" s="232">
        <v>285</v>
      </c>
      <c r="B389" s="215" t="s">
        <v>806</v>
      </c>
      <c r="C389" s="27" t="s">
        <v>253</v>
      </c>
      <c r="D389" s="175">
        <f>1475.88*2</f>
        <v>2951.76</v>
      </c>
      <c r="E389" s="190">
        <f>18.08*2</f>
        <v>36.159999999999997</v>
      </c>
      <c r="F389" s="190">
        <f>532.22*2</f>
        <v>1064.44</v>
      </c>
      <c r="G389" s="190">
        <f>117.09*2</f>
        <v>234.18</v>
      </c>
      <c r="H389" s="167">
        <f>175.99*2</f>
        <v>351.98</v>
      </c>
      <c r="I389" s="169">
        <f>E389+F389+G389+H389+D389</f>
        <v>4638.5200000000004</v>
      </c>
      <c r="J389" s="167">
        <f>11.41*2</f>
        <v>22.82</v>
      </c>
      <c r="K389" s="169">
        <f>I389+J389</f>
        <v>4661.34</v>
      </c>
      <c r="L389" s="169">
        <f t="shared" si="208"/>
        <v>139.84</v>
      </c>
      <c r="M389" s="173">
        <f t="shared" si="209"/>
        <v>4801.18</v>
      </c>
      <c r="N389" s="173">
        <f t="shared" si="210"/>
        <v>960.24</v>
      </c>
      <c r="O389" s="178">
        <f t="shared" si="211"/>
        <v>5761.42</v>
      </c>
      <c r="P389" s="73">
        <f t="shared" si="226"/>
        <v>96.02</v>
      </c>
      <c r="Q389" s="180">
        <f>30+30</f>
        <v>60</v>
      </c>
      <c r="R389" s="182">
        <f t="shared" si="221"/>
        <v>4.8</v>
      </c>
      <c r="S389" s="184">
        <f>ROUND(441.63*2/Q389,2)</f>
        <v>14.72</v>
      </c>
    </row>
    <row r="390" spans="1:19" ht="15.75" x14ac:dyDescent="0.25">
      <c r="A390" s="232"/>
      <c r="B390" s="216"/>
      <c r="C390" s="40" t="s">
        <v>289</v>
      </c>
      <c r="D390" s="177"/>
      <c r="E390" s="199"/>
      <c r="F390" s="199"/>
      <c r="G390" s="199"/>
      <c r="H390" s="168">
        <f>ROUND((E390+F390+G390)*11.7%,2)</f>
        <v>0</v>
      </c>
      <c r="I390" s="170">
        <f t="shared" si="224"/>
        <v>0</v>
      </c>
      <c r="J390" s="168">
        <f t="shared" si="207"/>
        <v>0</v>
      </c>
      <c r="K390" s="170">
        <f t="shared" si="189"/>
        <v>0</v>
      </c>
      <c r="L390" s="170">
        <f t="shared" si="208"/>
        <v>0</v>
      </c>
      <c r="M390" s="174">
        <f t="shared" si="209"/>
        <v>0</v>
      </c>
      <c r="N390" s="174">
        <f t="shared" si="210"/>
        <v>0</v>
      </c>
      <c r="O390" s="179">
        <f t="shared" si="211"/>
        <v>0</v>
      </c>
      <c r="P390" s="75"/>
      <c r="Q390" s="181"/>
      <c r="R390" s="183" t="e">
        <f t="shared" si="221"/>
        <v>#DIV/0!</v>
      </c>
      <c r="S390" s="184" t="e">
        <f t="shared" si="200"/>
        <v>#DIV/0!</v>
      </c>
    </row>
    <row r="391" spans="1:19" ht="15.75" x14ac:dyDescent="0.25">
      <c r="A391" s="87">
        <v>286</v>
      </c>
      <c r="B391" s="45" t="s">
        <v>290</v>
      </c>
      <c r="C391" s="26" t="s">
        <v>288</v>
      </c>
      <c r="D391" s="103">
        <v>2210.63</v>
      </c>
      <c r="E391" s="103">
        <v>18.079999999999998</v>
      </c>
      <c r="F391" s="103">
        <v>532.22</v>
      </c>
      <c r="G391" s="103">
        <v>117.09</v>
      </c>
      <c r="H391" s="11">
        <v>175.99</v>
      </c>
      <c r="I391" s="5">
        <f t="shared" ref="I391:I393" si="231">E391+F391+G391+H391+D391</f>
        <v>3054.01</v>
      </c>
      <c r="J391" s="103">
        <v>11.41</v>
      </c>
      <c r="K391" s="5">
        <f t="shared" si="189"/>
        <v>3065.42</v>
      </c>
      <c r="L391" s="5">
        <f t="shared" si="208"/>
        <v>91.96</v>
      </c>
      <c r="M391" s="15">
        <f t="shared" si="209"/>
        <v>3157.38</v>
      </c>
      <c r="N391" s="15">
        <f t="shared" si="210"/>
        <v>631.48</v>
      </c>
      <c r="O391" s="100">
        <f t="shared" si="211"/>
        <v>3788.86</v>
      </c>
      <c r="P391" s="15">
        <f t="shared" ref="P391:P396" si="232">ROUND(O391/5/12,2)</f>
        <v>63.15</v>
      </c>
      <c r="Q391" s="101">
        <v>26</v>
      </c>
      <c r="R391" s="102">
        <f t="shared" si="221"/>
        <v>7.29</v>
      </c>
      <c r="S391" s="97">
        <f t="shared" ref="S391:S392" si="233">ROUND(441.63/Q391,2)</f>
        <v>16.989999999999998</v>
      </c>
    </row>
    <row r="392" spans="1:19" ht="15.75" x14ac:dyDescent="0.25">
      <c r="A392" s="87">
        <v>287</v>
      </c>
      <c r="B392" s="45" t="s">
        <v>291</v>
      </c>
      <c r="C392" s="26" t="s">
        <v>288</v>
      </c>
      <c r="D392" s="103">
        <v>2210.63</v>
      </c>
      <c r="E392" s="103">
        <v>18.079999999999998</v>
      </c>
      <c r="F392" s="103">
        <v>532.22</v>
      </c>
      <c r="G392" s="103">
        <v>117.09</v>
      </c>
      <c r="H392" s="11">
        <v>175.99</v>
      </c>
      <c r="I392" s="5">
        <f t="shared" si="231"/>
        <v>3054.01</v>
      </c>
      <c r="J392" s="103">
        <v>11.41</v>
      </c>
      <c r="K392" s="5">
        <f t="shared" si="189"/>
        <v>3065.42</v>
      </c>
      <c r="L392" s="5">
        <f t="shared" si="208"/>
        <v>91.96</v>
      </c>
      <c r="M392" s="15">
        <f t="shared" si="209"/>
        <v>3157.38</v>
      </c>
      <c r="N392" s="15">
        <f t="shared" si="210"/>
        <v>631.48</v>
      </c>
      <c r="O392" s="100">
        <f t="shared" si="211"/>
        <v>3788.86</v>
      </c>
      <c r="P392" s="15">
        <f t="shared" si="232"/>
        <v>63.15</v>
      </c>
      <c r="Q392" s="101">
        <f>78+2</f>
        <v>80</v>
      </c>
      <c r="R392" s="102">
        <f t="shared" si="221"/>
        <v>2.37</v>
      </c>
      <c r="S392" s="97">
        <f t="shared" si="233"/>
        <v>5.52</v>
      </c>
    </row>
    <row r="393" spans="1:19" ht="15.75" x14ac:dyDescent="0.25">
      <c r="A393" s="87">
        <v>288</v>
      </c>
      <c r="B393" s="45" t="s">
        <v>292</v>
      </c>
      <c r="C393" s="26" t="s">
        <v>253</v>
      </c>
      <c r="D393" s="103">
        <v>1475.88</v>
      </c>
      <c r="E393" s="103">
        <v>18.079999999999998</v>
      </c>
      <c r="F393" s="103">
        <v>532.22</v>
      </c>
      <c r="G393" s="103">
        <v>117.09</v>
      </c>
      <c r="H393" s="11">
        <v>175.99</v>
      </c>
      <c r="I393" s="5">
        <f t="shared" si="231"/>
        <v>2319.2600000000002</v>
      </c>
      <c r="J393" s="103">
        <v>11.41</v>
      </c>
      <c r="K393" s="5">
        <f t="shared" si="189"/>
        <v>2330.67</v>
      </c>
      <c r="L393" s="5">
        <f t="shared" si="208"/>
        <v>69.92</v>
      </c>
      <c r="M393" s="15">
        <f t="shared" si="209"/>
        <v>2400.59</v>
      </c>
      <c r="N393" s="15">
        <f t="shared" si="210"/>
        <v>480.12</v>
      </c>
      <c r="O393" s="100">
        <f t="shared" si="211"/>
        <v>2880.71</v>
      </c>
      <c r="P393" s="15">
        <f t="shared" si="232"/>
        <v>48.01</v>
      </c>
      <c r="Q393" s="101">
        <v>5</v>
      </c>
      <c r="R393" s="102">
        <f t="shared" si="221"/>
        <v>28.81</v>
      </c>
      <c r="S393" s="97">
        <f>ROUND(441.63/Q393,2)</f>
        <v>88.33</v>
      </c>
    </row>
    <row r="394" spans="1:19" ht="15.75" x14ac:dyDescent="0.25">
      <c r="A394" s="87">
        <v>289</v>
      </c>
      <c r="B394" s="45" t="s">
        <v>293</v>
      </c>
      <c r="C394" s="26" t="s">
        <v>265</v>
      </c>
      <c r="D394" s="103">
        <v>2210.63</v>
      </c>
      <c r="E394" s="103">
        <v>18.079999999999998</v>
      </c>
      <c r="F394" s="103">
        <v>532.22</v>
      </c>
      <c r="G394" s="103">
        <v>117.09</v>
      </c>
      <c r="H394" s="11">
        <v>175.99</v>
      </c>
      <c r="I394" s="5">
        <f>E394+F394+G394+H394+D394</f>
        <v>3054.01</v>
      </c>
      <c r="J394" s="103">
        <v>11.41</v>
      </c>
      <c r="K394" s="5">
        <f t="shared" ref="K394:K457" si="234">I394+J394</f>
        <v>3065.42</v>
      </c>
      <c r="L394" s="5">
        <f t="shared" si="208"/>
        <v>91.96</v>
      </c>
      <c r="M394" s="15">
        <f t="shared" si="209"/>
        <v>3157.38</v>
      </c>
      <c r="N394" s="15">
        <f t="shared" si="210"/>
        <v>631.48</v>
      </c>
      <c r="O394" s="100">
        <f t="shared" si="211"/>
        <v>3788.86</v>
      </c>
      <c r="P394" s="15">
        <f t="shared" si="232"/>
        <v>63.15</v>
      </c>
      <c r="Q394" s="101">
        <f>38+3</f>
        <v>41</v>
      </c>
      <c r="R394" s="102">
        <f t="shared" si="221"/>
        <v>4.62</v>
      </c>
      <c r="S394" s="48">
        <f>ROUND(469.47/Q394,2)</f>
        <v>11.45</v>
      </c>
    </row>
    <row r="395" spans="1:19" ht="15.75" x14ac:dyDescent="0.25">
      <c r="A395" s="87">
        <v>290</v>
      </c>
      <c r="B395" s="45" t="s">
        <v>294</v>
      </c>
      <c r="C395" s="26" t="s">
        <v>261</v>
      </c>
      <c r="D395" s="103">
        <v>1962.25</v>
      </c>
      <c r="E395" s="103">
        <v>18.079999999999998</v>
      </c>
      <c r="F395" s="103">
        <v>532.22</v>
      </c>
      <c r="G395" s="103">
        <v>117.09</v>
      </c>
      <c r="H395" s="11">
        <v>175.99</v>
      </c>
      <c r="I395" s="5">
        <f>E395+F395+G395+H395+D395</f>
        <v>2805.63</v>
      </c>
      <c r="J395" s="103">
        <v>11.41</v>
      </c>
      <c r="K395" s="5">
        <f t="shared" si="234"/>
        <v>2817.04</v>
      </c>
      <c r="L395" s="5">
        <f t="shared" si="208"/>
        <v>84.51</v>
      </c>
      <c r="M395" s="15">
        <f t="shared" si="209"/>
        <v>2901.55</v>
      </c>
      <c r="N395" s="15">
        <f t="shared" si="210"/>
        <v>580.30999999999995</v>
      </c>
      <c r="O395" s="100">
        <f t="shared" si="211"/>
        <v>3481.86</v>
      </c>
      <c r="P395" s="15">
        <f t="shared" si="232"/>
        <v>58.03</v>
      </c>
      <c r="Q395" s="101">
        <f>29+3</f>
        <v>32</v>
      </c>
      <c r="R395" s="102">
        <f t="shared" si="221"/>
        <v>5.44</v>
      </c>
      <c r="S395" s="97">
        <f>ROUND(441.63/Q395,2)</f>
        <v>13.8</v>
      </c>
    </row>
    <row r="396" spans="1:19" ht="15.75" customHeight="1" x14ac:dyDescent="0.25">
      <c r="A396" s="232">
        <v>291</v>
      </c>
      <c r="B396" s="237" t="s">
        <v>807</v>
      </c>
      <c r="C396" s="27" t="s">
        <v>295</v>
      </c>
      <c r="D396" s="190">
        <f>1962.25*2</f>
        <v>3924.5</v>
      </c>
      <c r="E396" s="238">
        <f>18.08*2</f>
        <v>36.159999999999997</v>
      </c>
      <c r="F396" s="238">
        <f>532.22*2</f>
        <v>1064.44</v>
      </c>
      <c r="G396" s="238">
        <f>117.09*2</f>
        <v>234.18</v>
      </c>
      <c r="H396" s="167">
        <f>175.99*2</f>
        <v>351.98</v>
      </c>
      <c r="I396" s="169">
        <f t="shared" ref="I396" si="235">E396+F396+G396+H396+D396</f>
        <v>5611.26</v>
      </c>
      <c r="J396" s="167">
        <f>11.41*2</f>
        <v>22.82</v>
      </c>
      <c r="K396" s="169">
        <f t="shared" si="234"/>
        <v>5634.08</v>
      </c>
      <c r="L396" s="169">
        <f t="shared" si="208"/>
        <v>169.02</v>
      </c>
      <c r="M396" s="173">
        <f t="shared" si="209"/>
        <v>5803.1</v>
      </c>
      <c r="N396" s="173">
        <f t="shared" si="210"/>
        <v>1160.6199999999999</v>
      </c>
      <c r="O396" s="239">
        <f t="shared" si="211"/>
        <v>6963.72</v>
      </c>
      <c r="P396" s="15">
        <f t="shared" si="232"/>
        <v>116.06</v>
      </c>
      <c r="Q396" s="236">
        <f>80+41+1</f>
        <v>122</v>
      </c>
      <c r="R396" s="240">
        <f t="shared" si="221"/>
        <v>2.85</v>
      </c>
      <c r="S396" s="184">
        <f>ROUND((469.47+467.97)/Q396,2)</f>
        <v>7.68</v>
      </c>
    </row>
    <row r="397" spans="1:19" ht="15.75" customHeight="1" x14ac:dyDescent="0.25">
      <c r="A397" s="232"/>
      <c r="B397" s="237"/>
      <c r="C397" s="30" t="s">
        <v>296</v>
      </c>
      <c r="D397" s="177"/>
      <c r="E397" s="238"/>
      <c r="F397" s="238"/>
      <c r="G397" s="238"/>
      <c r="H397" s="168">
        <f>ROUND((E397+F397+G397)*11.7%,2)</f>
        <v>0</v>
      </c>
      <c r="I397" s="170">
        <f t="shared" si="224"/>
        <v>0</v>
      </c>
      <c r="J397" s="168">
        <f t="shared" si="207"/>
        <v>0</v>
      </c>
      <c r="K397" s="170">
        <f t="shared" si="234"/>
        <v>0</v>
      </c>
      <c r="L397" s="170">
        <f t="shared" si="208"/>
        <v>0</v>
      </c>
      <c r="M397" s="174">
        <f t="shared" si="209"/>
        <v>0</v>
      </c>
      <c r="N397" s="174">
        <f t="shared" si="210"/>
        <v>0</v>
      </c>
      <c r="O397" s="239">
        <f t="shared" si="211"/>
        <v>0</v>
      </c>
      <c r="P397" s="15"/>
      <c r="Q397" s="236"/>
      <c r="R397" s="240" t="e">
        <f t="shared" si="221"/>
        <v>#DIV/0!</v>
      </c>
      <c r="S397" s="184" t="e">
        <f t="shared" si="200"/>
        <v>#DIV/0!</v>
      </c>
    </row>
    <row r="398" spans="1:19" ht="15.75" x14ac:dyDescent="0.25">
      <c r="A398" s="87">
        <v>292</v>
      </c>
      <c r="B398" s="45" t="s">
        <v>297</v>
      </c>
      <c r="C398" s="41" t="s">
        <v>298</v>
      </c>
      <c r="D398" s="103">
        <v>2427.87</v>
      </c>
      <c r="E398" s="103">
        <v>21</v>
      </c>
      <c r="F398" s="103">
        <v>580.29999999999995</v>
      </c>
      <c r="G398" s="103">
        <v>127.67</v>
      </c>
      <c r="H398" s="11">
        <v>195.01</v>
      </c>
      <c r="I398" s="5">
        <f>E398+F398+G398+H398+D398</f>
        <v>3351.85</v>
      </c>
      <c r="J398" s="103">
        <v>12.67</v>
      </c>
      <c r="K398" s="5">
        <f t="shared" si="234"/>
        <v>3364.52</v>
      </c>
      <c r="L398" s="5">
        <f t="shared" si="208"/>
        <v>100.94</v>
      </c>
      <c r="M398" s="15">
        <f t="shared" si="209"/>
        <v>3465.46</v>
      </c>
      <c r="N398" s="15">
        <f t="shared" si="210"/>
        <v>693.09</v>
      </c>
      <c r="O398" s="100">
        <f t="shared" si="211"/>
        <v>4158.55</v>
      </c>
      <c r="P398" s="15">
        <f t="shared" ref="P398:P414" si="236">ROUND(O398/5/12,2)</f>
        <v>69.31</v>
      </c>
      <c r="Q398" s="101">
        <f>107+1</f>
        <v>108</v>
      </c>
      <c r="R398" s="102">
        <f t="shared" si="221"/>
        <v>1.93</v>
      </c>
      <c r="S398" s="48">
        <f>ROUND(482.49/Q398,2)</f>
        <v>4.47</v>
      </c>
    </row>
    <row r="399" spans="1:19" ht="15.75" x14ac:dyDescent="0.25">
      <c r="A399" s="87">
        <v>293</v>
      </c>
      <c r="B399" s="45" t="s">
        <v>299</v>
      </c>
      <c r="C399" s="26" t="s">
        <v>288</v>
      </c>
      <c r="D399" s="103">
        <v>2210.63</v>
      </c>
      <c r="E399" s="103">
        <v>18.079999999999998</v>
      </c>
      <c r="F399" s="103">
        <v>532.22</v>
      </c>
      <c r="G399" s="103">
        <v>117.09</v>
      </c>
      <c r="H399" s="11">
        <v>175.99</v>
      </c>
      <c r="I399" s="5">
        <f t="shared" ref="I399:I410" si="237">E399+F399+G399+H399+D399</f>
        <v>3054.01</v>
      </c>
      <c r="J399" s="103">
        <v>11.41</v>
      </c>
      <c r="K399" s="5">
        <f t="shared" si="234"/>
        <v>3065.42</v>
      </c>
      <c r="L399" s="5">
        <f t="shared" si="208"/>
        <v>91.96</v>
      </c>
      <c r="M399" s="15">
        <f t="shared" si="209"/>
        <v>3157.38</v>
      </c>
      <c r="N399" s="15">
        <f t="shared" si="210"/>
        <v>631.48</v>
      </c>
      <c r="O399" s="100">
        <f t="shared" si="211"/>
        <v>3788.86</v>
      </c>
      <c r="P399" s="15">
        <f t="shared" si="236"/>
        <v>63.15</v>
      </c>
      <c r="Q399" s="101">
        <f>76+5</f>
        <v>81</v>
      </c>
      <c r="R399" s="102">
        <f t="shared" si="221"/>
        <v>2.34</v>
      </c>
      <c r="S399" s="97">
        <f>ROUND(441.63/Q399,2)</f>
        <v>5.45</v>
      </c>
    </row>
    <row r="400" spans="1:19" ht="15.75" x14ac:dyDescent="0.25">
      <c r="A400" s="87">
        <v>294</v>
      </c>
      <c r="B400" s="45" t="s">
        <v>300</v>
      </c>
      <c r="C400" s="26" t="s">
        <v>301</v>
      </c>
      <c r="D400" s="103">
        <v>2210.63</v>
      </c>
      <c r="E400" s="103">
        <v>18.079999999999998</v>
      </c>
      <c r="F400" s="103">
        <v>532.22</v>
      </c>
      <c r="G400" s="103">
        <v>117.09</v>
      </c>
      <c r="H400" s="11">
        <v>175.99</v>
      </c>
      <c r="I400" s="5">
        <f t="shared" si="237"/>
        <v>3054.01</v>
      </c>
      <c r="J400" s="103">
        <v>11.41</v>
      </c>
      <c r="K400" s="5">
        <f t="shared" si="234"/>
        <v>3065.42</v>
      </c>
      <c r="L400" s="5">
        <f t="shared" si="208"/>
        <v>91.96</v>
      </c>
      <c r="M400" s="15">
        <f t="shared" si="209"/>
        <v>3157.38</v>
      </c>
      <c r="N400" s="15">
        <f t="shared" si="210"/>
        <v>631.48</v>
      </c>
      <c r="O400" s="100">
        <f t="shared" si="211"/>
        <v>3788.86</v>
      </c>
      <c r="P400" s="15">
        <f t="shared" si="236"/>
        <v>63.15</v>
      </c>
      <c r="Q400" s="101">
        <f>39+5</f>
        <v>44</v>
      </c>
      <c r="R400" s="102">
        <f t="shared" si="221"/>
        <v>4.3099999999999996</v>
      </c>
      <c r="S400" s="97">
        <f>ROUND(469.47/Q400,2)</f>
        <v>10.67</v>
      </c>
    </row>
    <row r="401" spans="1:19" ht="15.75" x14ac:dyDescent="0.25">
      <c r="A401" s="87">
        <v>295</v>
      </c>
      <c r="B401" s="45" t="s">
        <v>302</v>
      </c>
      <c r="C401" s="26" t="s">
        <v>253</v>
      </c>
      <c r="D401" s="103">
        <v>1475.88</v>
      </c>
      <c r="E401" s="103">
        <v>18.079999999999998</v>
      </c>
      <c r="F401" s="103">
        <v>532.22</v>
      </c>
      <c r="G401" s="103">
        <v>117.09</v>
      </c>
      <c r="H401" s="11">
        <v>175.99</v>
      </c>
      <c r="I401" s="5">
        <f t="shared" si="237"/>
        <v>2319.2600000000002</v>
      </c>
      <c r="J401" s="103">
        <v>11.41</v>
      </c>
      <c r="K401" s="5">
        <f t="shared" si="234"/>
        <v>2330.67</v>
      </c>
      <c r="L401" s="5">
        <f t="shared" si="208"/>
        <v>69.92</v>
      </c>
      <c r="M401" s="15">
        <f t="shared" si="209"/>
        <v>2400.59</v>
      </c>
      <c r="N401" s="15">
        <f t="shared" si="210"/>
        <v>480.12</v>
      </c>
      <c r="O401" s="100">
        <f t="shared" si="211"/>
        <v>2880.71</v>
      </c>
      <c r="P401" s="15">
        <f t="shared" si="236"/>
        <v>48.01</v>
      </c>
      <c r="Q401" s="101">
        <f>23+1</f>
        <v>24</v>
      </c>
      <c r="R401" s="102">
        <f t="shared" si="221"/>
        <v>6</v>
      </c>
      <c r="S401" s="97">
        <f>ROUND(441.63/Q401,2)</f>
        <v>18.399999999999999</v>
      </c>
    </row>
    <row r="402" spans="1:19" ht="15.75" x14ac:dyDescent="0.25">
      <c r="A402" s="87">
        <v>296</v>
      </c>
      <c r="B402" s="45" t="s">
        <v>303</v>
      </c>
      <c r="C402" s="26" t="s">
        <v>261</v>
      </c>
      <c r="D402" s="103">
        <v>1962.25</v>
      </c>
      <c r="E402" s="103">
        <v>18.079999999999998</v>
      </c>
      <c r="F402" s="103">
        <v>532.22</v>
      </c>
      <c r="G402" s="103">
        <v>117.09</v>
      </c>
      <c r="H402" s="11">
        <v>175.99</v>
      </c>
      <c r="I402" s="5">
        <f>E402+F402+G402+H402+D402</f>
        <v>2805.63</v>
      </c>
      <c r="J402" s="103">
        <v>11.41</v>
      </c>
      <c r="K402" s="5">
        <f t="shared" si="234"/>
        <v>2817.04</v>
      </c>
      <c r="L402" s="5">
        <f t="shared" si="208"/>
        <v>84.51</v>
      </c>
      <c r="M402" s="15">
        <f t="shared" si="209"/>
        <v>2901.55</v>
      </c>
      <c r="N402" s="15">
        <f t="shared" si="210"/>
        <v>580.30999999999995</v>
      </c>
      <c r="O402" s="100">
        <f t="shared" si="211"/>
        <v>3481.86</v>
      </c>
      <c r="P402" s="15">
        <f t="shared" si="236"/>
        <v>58.03</v>
      </c>
      <c r="Q402" s="101">
        <f>35+3</f>
        <v>38</v>
      </c>
      <c r="R402" s="102">
        <f t="shared" si="221"/>
        <v>4.58</v>
      </c>
      <c r="S402" s="97">
        <f t="shared" ref="S402:S406" si="238">ROUND(441.63/Q402,2)</f>
        <v>11.62</v>
      </c>
    </row>
    <row r="403" spans="1:19" ht="15.75" x14ac:dyDescent="0.25">
      <c r="A403" s="87">
        <v>297</v>
      </c>
      <c r="B403" s="45" t="s">
        <v>304</v>
      </c>
      <c r="C403" s="26" t="s">
        <v>261</v>
      </c>
      <c r="D403" s="103">
        <v>1962.25</v>
      </c>
      <c r="E403" s="103">
        <v>18.079999999999998</v>
      </c>
      <c r="F403" s="103">
        <v>532.22</v>
      </c>
      <c r="G403" s="103">
        <v>117.09</v>
      </c>
      <c r="H403" s="11">
        <v>175.99</v>
      </c>
      <c r="I403" s="5">
        <f>E403+F403+G403+H403+D403</f>
        <v>2805.63</v>
      </c>
      <c r="J403" s="103">
        <v>11.41</v>
      </c>
      <c r="K403" s="5">
        <f t="shared" si="234"/>
        <v>2817.04</v>
      </c>
      <c r="L403" s="5">
        <f t="shared" si="208"/>
        <v>84.51</v>
      </c>
      <c r="M403" s="15">
        <f t="shared" si="209"/>
        <v>2901.55</v>
      </c>
      <c r="N403" s="15">
        <f t="shared" si="210"/>
        <v>580.30999999999995</v>
      </c>
      <c r="O403" s="100">
        <f t="shared" si="211"/>
        <v>3481.86</v>
      </c>
      <c r="P403" s="15">
        <f t="shared" si="236"/>
        <v>58.03</v>
      </c>
      <c r="Q403" s="101">
        <f>20+3</f>
        <v>23</v>
      </c>
      <c r="R403" s="102">
        <f t="shared" si="221"/>
        <v>7.57</v>
      </c>
      <c r="S403" s="97">
        <f t="shared" si="238"/>
        <v>19.2</v>
      </c>
    </row>
    <row r="404" spans="1:19" ht="15.75" x14ac:dyDescent="0.25">
      <c r="A404" s="87">
        <v>298</v>
      </c>
      <c r="B404" s="45" t="s">
        <v>305</v>
      </c>
      <c r="C404" s="26" t="s">
        <v>256</v>
      </c>
      <c r="D404" s="103">
        <v>1962.25</v>
      </c>
      <c r="E404" s="103">
        <v>18.079999999999998</v>
      </c>
      <c r="F404" s="103">
        <v>532.22</v>
      </c>
      <c r="G404" s="103">
        <v>117.09</v>
      </c>
      <c r="H404" s="11">
        <v>175.99</v>
      </c>
      <c r="I404" s="5">
        <f>E404+F404+G404+H404+D404</f>
        <v>2805.63</v>
      </c>
      <c r="J404" s="103">
        <v>11.41</v>
      </c>
      <c r="K404" s="5">
        <f t="shared" si="234"/>
        <v>2817.04</v>
      </c>
      <c r="L404" s="5">
        <f t="shared" si="208"/>
        <v>84.51</v>
      </c>
      <c r="M404" s="15">
        <f t="shared" si="209"/>
        <v>2901.55</v>
      </c>
      <c r="N404" s="15">
        <f t="shared" si="210"/>
        <v>580.30999999999995</v>
      </c>
      <c r="O404" s="100">
        <f t="shared" si="211"/>
        <v>3481.86</v>
      </c>
      <c r="P404" s="15">
        <f t="shared" si="236"/>
        <v>58.03</v>
      </c>
      <c r="Q404" s="101">
        <f>23+1</f>
        <v>24</v>
      </c>
      <c r="R404" s="102">
        <f t="shared" si="221"/>
        <v>7.25</v>
      </c>
      <c r="S404" s="97">
        <f t="shared" si="238"/>
        <v>18.399999999999999</v>
      </c>
    </row>
    <row r="405" spans="1:19" ht="15.75" x14ac:dyDescent="0.25">
      <c r="A405" s="87">
        <v>299</v>
      </c>
      <c r="B405" s="45" t="s">
        <v>306</v>
      </c>
      <c r="C405" s="26" t="s">
        <v>253</v>
      </c>
      <c r="D405" s="103">
        <v>1475.88</v>
      </c>
      <c r="E405" s="103">
        <v>18.079999999999998</v>
      </c>
      <c r="F405" s="103">
        <v>532.22</v>
      </c>
      <c r="G405" s="103">
        <v>117.09</v>
      </c>
      <c r="H405" s="11">
        <v>175.99</v>
      </c>
      <c r="I405" s="5">
        <f t="shared" ref="I405" si="239">E405+F405+G405+H405+D405</f>
        <v>2319.2600000000002</v>
      </c>
      <c r="J405" s="103">
        <v>11.41</v>
      </c>
      <c r="K405" s="5">
        <f t="shared" si="234"/>
        <v>2330.67</v>
      </c>
      <c r="L405" s="5">
        <f t="shared" si="208"/>
        <v>69.92</v>
      </c>
      <c r="M405" s="15">
        <f t="shared" si="209"/>
        <v>2400.59</v>
      </c>
      <c r="N405" s="15">
        <f t="shared" si="210"/>
        <v>480.12</v>
      </c>
      <c r="O405" s="100">
        <f t="shared" si="211"/>
        <v>2880.71</v>
      </c>
      <c r="P405" s="15">
        <f t="shared" si="236"/>
        <v>48.01</v>
      </c>
      <c r="Q405" s="101">
        <f>3+9</f>
        <v>12</v>
      </c>
      <c r="R405" s="102">
        <f t="shared" si="221"/>
        <v>12</v>
      </c>
      <c r="S405" s="97">
        <f t="shared" si="238"/>
        <v>36.799999999999997</v>
      </c>
    </row>
    <row r="406" spans="1:19" ht="15.75" x14ac:dyDescent="0.25">
      <c r="A406" s="87">
        <v>300</v>
      </c>
      <c r="B406" s="45" t="s">
        <v>307</v>
      </c>
      <c r="C406" s="26" t="s">
        <v>288</v>
      </c>
      <c r="D406" s="103">
        <v>2210.63</v>
      </c>
      <c r="E406" s="103">
        <v>18.079999999999998</v>
      </c>
      <c r="F406" s="103">
        <v>532.22</v>
      </c>
      <c r="G406" s="103">
        <v>117.09</v>
      </c>
      <c r="H406" s="11">
        <v>175.99</v>
      </c>
      <c r="I406" s="5">
        <f>E406+F406+G406+H406+D406</f>
        <v>3054.01</v>
      </c>
      <c r="J406" s="103">
        <v>11.41</v>
      </c>
      <c r="K406" s="5">
        <f t="shared" si="234"/>
        <v>3065.42</v>
      </c>
      <c r="L406" s="5">
        <f t="shared" si="208"/>
        <v>91.96</v>
      </c>
      <c r="M406" s="15">
        <f t="shared" si="209"/>
        <v>3157.38</v>
      </c>
      <c r="N406" s="15">
        <f t="shared" si="210"/>
        <v>631.48</v>
      </c>
      <c r="O406" s="100">
        <f t="shared" si="211"/>
        <v>3788.86</v>
      </c>
      <c r="P406" s="15">
        <f t="shared" si="236"/>
        <v>63.15</v>
      </c>
      <c r="Q406" s="101">
        <f>22+2</f>
        <v>24</v>
      </c>
      <c r="R406" s="102">
        <f t="shared" si="221"/>
        <v>7.89</v>
      </c>
      <c r="S406" s="97">
        <f t="shared" si="238"/>
        <v>18.399999999999999</v>
      </c>
    </row>
    <row r="407" spans="1:19" ht="15.75" x14ac:dyDescent="0.25">
      <c r="A407" s="87">
        <v>301</v>
      </c>
      <c r="B407" s="45" t="s">
        <v>308</v>
      </c>
      <c r="C407" s="26" t="s">
        <v>309</v>
      </c>
      <c r="D407" s="103">
        <v>2639</v>
      </c>
      <c r="E407" s="3">
        <v>21</v>
      </c>
      <c r="F407" s="3">
        <v>580.29999999999995</v>
      </c>
      <c r="G407" s="3">
        <v>127.67</v>
      </c>
      <c r="H407" s="11">
        <v>195.01</v>
      </c>
      <c r="I407" s="5">
        <f>E407+F407+G407+H407+D407</f>
        <v>3562.98</v>
      </c>
      <c r="J407" s="103">
        <v>12.67</v>
      </c>
      <c r="K407" s="5">
        <f t="shared" si="234"/>
        <v>3575.65</v>
      </c>
      <c r="L407" s="5">
        <f t="shared" si="208"/>
        <v>107.27</v>
      </c>
      <c r="M407" s="15">
        <f t="shared" si="209"/>
        <v>3682.92</v>
      </c>
      <c r="N407" s="15">
        <f t="shared" si="210"/>
        <v>736.58</v>
      </c>
      <c r="O407" s="100">
        <f t="shared" si="211"/>
        <v>4419.5</v>
      </c>
      <c r="P407" s="15">
        <f t="shared" si="236"/>
        <v>73.66</v>
      </c>
      <c r="Q407" s="101">
        <f>157+2</f>
        <v>159</v>
      </c>
      <c r="R407" s="102">
        <f t="shared" si="221"/>
        <v>1.39</v>
      </c>
      <c r="S407" s="48">
        <f>ROUND(452.88/Q407,2)</f>
        <v>2.85</v>
      </c>
    </row>
    <row r="408" spans="1:19" ht="15.75" x14ac:dyDescent="0.25">
      <c r="A408" s="87">
        <v>302</v>
      </c>
      <c r="B408" s="45" t="s">
        <v>310</v>
      </c>
      <c r="C408" s="26" t="s">
        <v>301</v>
      </c>
      <c r="D408" s="103">
        <v>2210.63</v>
      </c>
      <c r="E408" s="103">
        <v>18.079999999999998</v>
      </c>
      <c r="F408" s="103">
        <v>532.22</v>
      </c>
      <c r="G408" s="103">
        <v>117.09</v>
      </c>
      <c r="H408" s="11">
        <v>175.99</v>
      </c>
      <c r="I408" s="5">
        <f t="shared" si="237"/>
        <v>3054.01</v>
      </c>
      <c r="J408" s="103">
        <v>11.41</v>
      </c>
      <c r="K408" s="5">
        <f t="shared" si="234"/>
        <v>3065.42</v>
      </c>
      <c r="L408" s="5">
        <f t="shared" si="208"/>
        <v>91.96</v>
      </c>
      <c r="M408" s="15">
        <f t="shared" si="209"/>
        <v>3157.38</v>
      </c>
      <c r="N408" s="15">
        <f t="shared" si="210"/>
        <v>631.48</v>
      </c>
      <c r="O408" s="100">
        <f t="shared" si="211"/>
        <v>3788.86</v>
      </c>
      <c r="P408" s="15">
        <f t="shared" si="236"/>
        <v>63.15</v>
      </c>
      <c r="Q408" s="101">
        <f>43+67</f>
        <v>110</v>
      </c>
      <c r="R408" s="102">
        <f t="shared" si="221"/>
        <v>1.72</v>
      </c>
      <c r="S408" s="97">
        <f>ROUND(469.47/Q408,2)</f>
        <v>4.2699999999999996</v>
      </c>
    </row>
    <row r="409" spans="1:19" ht="15.75" x14ac:dyDescent="0.25">
      <c r="A409" s="87">
        <v>303</v>
      </c>
      <c r="B409" s="45" t="s">
        <v>311</v>
      </c>
      <c r="C409" s="26" t="s">
        <v>265</v>
      </c>
      <c r="D409" s="103">
        <v>2210.63</v>
      </c>
      <c r="E409" s="103">
        <v>18.079999999999998</v>
      </c>
      <c r="F409" s="103">
        <v>532.22</v>
      </c>
      <c r="G409" s="103">
        <v>117.09</v>
      </c>
      <c r="H409" s="11">
        <v>175.99</v>
      </c>
      <c r="I409" s="5">
        <f t="shared" si="237"/>
        <v>3054.01</v>
      </c>
      <c r="J409" s="103">
        <v>11.41</v>
      </c>
      <c r="K409" s="5">
        <f t="shared" si="234"/>
        <v>3065.42</v>
      </c>
      <c r="L409" s="5">
        <f t="shared" si="208"/>
        <v>91.96</v>
      </c>
      <c r="M409" s="15">
        <f t="shared" si="209"/>
        <v>3157.38</v>
      </c>
      <c r="N409" s="15">
        <f t="shared" si="210"/>
        <v>631.48</v>
      </c>
      <c r="O409" s="100">
        <f t="shared" si="211"/>
        <v>3788.86</v>
      </c>
      <c r="P409" s="15">
        <f t="shared" si="236"/>
        <v>63.15</v>
      </c>
      <c r="Q409" s="101">
        <v>80</v>
      </c>
      <c r="R409" s="102">
        <f t="shared" si="221"/>
        <v>2.37</v>
      </c>
      <c r="S409" s="97">
        <f>ROUND(469.47/Q409,2)</f>
        <v>5.87</v>
      </c>
    </row>
    <row r="410" spans="1:19" ht="15.75" x14ac:dyDescent="0.25">
      <c r="A410" s="87">
        <v>304</v>
      </c>
      <c r="B410" s="45" t="s">
        <v>312</v>
      </c>
      <c r="C410" s="26" t="s">
        <v>273</v>
      </c>
      <c r="D410" s="103">
        <v>1475.88</v>
      </c>
      <c r="E410" s="103">
        <v>18.079999999999998</v>
      </c>
      <c r="F410" s="103">
        <v>532.22</v>
      </c>
      <c r="G410" s="103">
        <v>117.09</v>
      </c>
      <c r="H410" s="11">
        <v>175.99</v>
      </c>
      <c r="I410" s="5">
        <f t="shared" si="237"/>
        <v>2319.2600000000002</v>
      </c>
      <c r="J410" s="103">
        <v>11.41</v>
      </c>
      <c r="K410" s="5">
        <f t="shared" si="234"/>
        <v>2330.67</v>
      </c>
      <c r="L410" s="5">
        <f t="shared" si="208"/>
        <v>69.92</v>
      </c>
      <c r="M410" s="15">
        <f t="shared" si="209"/>
        <v>2400.59</v>
      </c>
      <c r="N410" s="15">
        <f t="shared" si="210"/>
        <v>480.12</v>
      </c>
      <c r="O410" s="100">
        <f t="shared" si="211"/>
        <v>2880.71</v>
      </c>
      <c r="P410" s="15">
        <f t="shared" si="236"/>
        <v>48.01</v>
      </c>
      <c r="Q410" s="101">
        <f>11+1</f>
        <v>12</v>
      </c>
      <c r="R410" s="102">
        <f t="shared" si="221"/>
        <v>12</v>
      </c>
      <c r="S410" s="97">
        <f t="shared" ref="S410" si="240">ROUND(441.63/Q410,2)</f>
        <v>36.799999999999997</v>
      </c>
    </row>
    <row r="411" spans="1:19" ht="15.75" x14ac:dyDescent="0.25">
      <c r="A411" s="87">
        <v>305</v>
      </c>
      <c r="B411" s="45" t="s">
        <v>313</v>
      </c>
      <c r="C411" s="26" t="s">
        <v>314</v>
      </c>
      <c r="D411" s="103">
        <v>2210.63</v>
      </c>
      <c r="E411" s="103">
        <v>18.079999999999998</v>
      </c>
      <c r="F411" s="103">
        <v>532.22</v>
      </c>
      <c r="G411" s="103">
        <v>117.09</v>
      </c>
      <c r="H411" s="11">
        <v>175.99</v>
      </c>
      <c r="I411" s="5">
        <f>E411+F411+G411+H411+D411</f>
        <v>3054.01</v>
      </c>
      <c r="J411" s="103">
        <v>11.41</v>
      </c>
      <c r="K411" s="5">
        <f t="shared" si="234"/>
        <v>3065.42</v>
      </c>
      <c r="L411" s="5">
        <f t="shared" si="208"/>
        <v>91.96</v>
      </c>
      <c r="M411" s="15">
        <f t="shared" si="209"/>
        <v>3157.38</v>
      </c>
      <c r="N411" s="15">
        <f t="shared" si="210"/>
        <v>631.48</v>
      </c>
      <c r="O411" s="100">
        <f t="shared" si="211"/>
        <v>3788.86</v>
      </c>
      <c r="P411" s="15">
        <f t="shared" si="236"/>
        <v>63.15</v>
      </c>
      <c r="Q411" s="101">
        <v>108</v>
      </c>
      <c r="R411" s="102">
        <f t="shared" si="221"/>
        <v>1.75</v>
      </c>
      <c r="S411" s="97">
        <f>ROUND(441.63/Q411,2)</f>
        <v>4.09</v>
      </c>
    </row>
    <row r="412" spans="1:19" ht="15.75" x14ac:dyDescent="0.25">
      <c r="A412" s="87">
        <v>306</v>
      </c>
      <c r="B412" s="45" t="s">
        <v>315</v>
      </c>
      <c r="C412" s="26" t="s">
        <v>316</v>
      </c>
      <c r="D412" s="103">
        <v>2427.87</v>
      </c>
      <c r="E412" s="103">
        <v>21</v>
      </c>
      <c r="F412" s="103">
        <v>580.29999999999995</v>
      </c>
      <c r="G412" s="103">
        <v>127.67</v>
      </c>
      <c r="H412" s="11">
        <v>195.01</v>
      </c>
      <c r="I412" s="5">
        <f t="shared" ref="I412:I413" si="241">E412+F412+G412+H412+D412</f>
        <v>3351.85</v>
      </c>
      <c r="J412" s="103">
        <v>12.67</v>
      </c>
      <c r="K412" s="5">
        <f t="shared" si="234"/>
        <v>3364.52</v>
      </c>
      <c r="L412" s="5">
        <f t="shared" si="208"/>
        <v>100.94</v>
      </c>
      <c r="M412" s="15">
        <f t="shared" si="209"/>
        <v>3465.46</v>
      </c>
      <c r="N412" s="15">
        <f t="shared" si="210"/>
        <v>693.09</v>
      </c>
      <c r="O412" s="100">
        <f t="shared" si="211"/>
        <v>4158.55</v>
      </c>
      <c r="P412" s="15">
        <f t="shared" si="236"/>
        <v>69.31</v>
      </c>
      <c r="Q412" s="101">
        <v>169</v>
      </c>
      <c r="R412" s="102">
        <f t="shared" si="221"/>
        <v>1.23</v>
      </c>
      <c r="S412" s="48">
        <f>ROUND(451.2/Q412,2)</f>
        <v>2.67</v>
      </c>
    </row>
    <row r="413" spans="1:19" ht="15.75" x14ac:dyDescent="0.25">
      <c r="A413" s="87">
        <v>307</v>
      </c>
      <c r="B413" s="45" t="s">
        <v>317</v>
      </c>
      <c r="C413" s="26" t="s">
        <v>318</v>
      </c>
      <c r="D413" s="103">
        <v>2427.87</v>
      </c>
      <c r="E413" s="103">
        <v>21</v>
      </c>
      <c r="F413" s="103">
        <v>580.29999999999995</v>
      </c>
      <c r="G413" s="103">
        <v>127.67</v>
      </c>
      <c r="H413" s="11">
        <v>195.01</v>
      </c>
      <c r="I413" s="5">
        <f t="shared" si="241"/>
        <v>3351.85</v>
      </c>
      <c r="J413" s="103">
        <v>12.67</v>
      </c>
      <c r="K413" s="5">
        <f t="shared" si="234"/>
        <v>3364.52</v>
      </c>
      <c r="L413" s="5">
        <f t="shared" si="208"/>
        <v>100.94</v>
      </c>
      <c r="M413" s="15">
        <f t="shared" si="209"/>
        <v>3465.46</v>
      </c>
      <c r="N413" s="15">
        <f t="shared" si="210"/>
        <v>693.09</v>
      </c>
      <c r="O413" s="100">
        <f t="shared" si="211"/>
        <v>4158.55</v>
      </c>
      <c r="P413" s="15">
        <f t="shared" si="236"/>
        <v>69.31</v>
      </c>
      <c r="Q413" s="101">
        <v>108</v>
      </c>
      <c r="R413" s="102">
        <f t="shared" si="221"/>
        <v>1.93</v>
      </c>
      <c r="S413" s="48">
        <f>ROUND(451.2/Q413,2)</f>
        <v>4.18</v>
      </c>
    </row>
    <row r="414" spans="1:19" ht="15.75" customHeight="1" x14ac:dyDescent="0.25">
      <c r="A414" s="232">
        <v>308</v>
      </c>
      <c r="B414" s="215" t="s">
        <v>809</v>
      </c>
      <c r="C414" s="27" t="s">
        <v>318</v>
      </c>
      <c r="D414" s="175">
        <f>2427.87*2</f>
        <v>4855.74</v>
      </c>
      <c r="E414" s="190">
        <f>21*2</f>
        <v>42</v>
      </c>
      <c r="F414" s="190">
        <f>580.3*2</f>
        <v>1160.5999999999999</v>
      </c>
      <c r="G414" s="190">
        <f>127.67*2</f>
        <v>255.34</v>
      </c>
      <c r="H414" s="167">
        <f>195.01*2</f>
        <v>390.02</v>
      </c>
      <c r="I414" s="169">
        <f>E414+F414+G414+H414+D414</f>
        <v>6703.7</v>
      </c>
      <c r="J414" s="167">
        <f>12.67*2</f>
        <v>25.34</v>
      </c>
      <c r="K414" s="169">
        <f t="shared" si="234"/>
        <v>6729.04</v>
      </c>
      <c r="L414" s="169">
        <f t="shared" si="208"/>
        <v>201.87</v>
      </c>
      <c r="M414" s="173">
        <f t="shared" si="209"/>
        <v>6930.91</v>
      </c>
      <c r="N414" s="173">
        <f t="shared" si="210"/>
        <v>1386.18</v>
      </c>
      <c r="O414" s="178">
        <f t="shared" si="211"/>
        <v>8317.09</v>
      </c>
      <c r="P414" s="73">
        <f t="shared" si="236"/>
        <v>138.62</v>
      </c>
      <c r="Q414" s="180">
        <f>118+75+4</f>
        <v>197</v>
      </c>
      <c r="R414" s="182">
        <f t="shared" si="221"/>
        <v>2.11</v>
      </c>
      <c r="S414" s="184">
        <f>ROUND(451.2*2/Q414,2)</f>
        <v>4.58</v>
      </c>
    </row>
    <row r="415" spans="1:19" ht="15.75" customHeight="1" x14ac:dyDescent="0.25">
      <c r="A415" s="232"/>
      <c r="B415" s="216"/>
      <c r="C415" s="30" t="s">
        <v>318</v>
      </c>
      <c r="D415" s="177"/>
      <c r="E415" s="199"/>
      <c r="F415" s="199"/>
      <c r="G415" s="199"/>
      <c r="H415" s="168">
        <f>ROUND((E415+F415+G415)*11.7%,2)</f>
        <v>0</v>
      </c>
      <c r="I415" s="170">
        <f t="shared" ref="I415" si="242">E415+F415+G415+H415</f>
        <v>0</v>
      </c>
      <c r="J415" s="168">
        <f t="shared" si="207"/>
        <v>0</v>
      </c>
      <c r="K415" s="170">
        <f t="shared" si="234"/>
        <v>0</v>
      </c>
      <c r="L415" s="170">
        <f t="shared" si="208"/>
        <v>0</v>
      </c>
      <c r="M415" s="174">
        <f t="shared" si="209"/>
        <v>0</v>
      </c>
      <c r="N415" s="174">
        <f t="shared" si="210"/>
        <v>0</v>
      </c>
      <c r="O415" s="179">
        <f t="shared" si="211"/>
        <v>0</v>
      </c>
      <c r="P415" s="75"/>
      <c r="Q415" s="181"/>
      <c r="R415" s="183" t="e">
        <f t="shared" si="221"/>
        <v>#DIV/0!</v>
      </c>
      <c r="S415" s="184" t="e">
        <f t="shared" ref="S415:S457" si="243">ROUND(512.79/Q415,2)</f>
        <v>#DIV/0!</v>
      </c>
    </row>
    <row r="416" spans="1:19" ht="15.75" x14ac:dyDescent="0.25">
      <c r="A416" s="87">
        <v>309</v>
      </c>
      <c r="B416" s="45" t="s">
        <v>319</v>
      </c>
      <c r="C416" s="26" t="s">
        <v>314</v>
      </c>
      <c r="D416" s="103">
        <v>2210.63</v>
      </c>
      <c r="E416" s="103">
        <v>18.079999999999998</v>
      </c>
      <c r="F416" s="103">
        <v>532.22</v>
      </c>
      <c r="G416" s="103">
        <v>117.09</v>
      </c>
      <c r="H416" s="11">
        <v>175.99</v>
      </c>
      <c r="I416" s="5">
        <f>E416+F416+G416+H416+D416</f>
        <v>3054.01</v>
      </c>
      <c r="J416" s="103">
        <v>11.41</v>
      </c>
      <c r="K416" s="5">
        <f t="shared" si="234"/>
        <v>3065.42</v>
      </c>
      <c r="L416" s="5">
        <f t="shared" si="208"/>
        <v>91.96</v>
      </c>
      <c r="M416" s="15">
        <f t="shared" si="209"/>
        <v>3157.38</v>
      </c>
      <c r="N416" s="15">
        <f t="shared" si="210"/>
        <v>631.48</v>
      </c>
      <c r="O416" s="100">
        <f t="shared" si="211"/>
        <v>3788.86</v>
      </c>
      <c r="P416" s="15">
        <f t="shared" ref="P416:P418" si="244">ROUND(O416/5/12,2)</f>
        <v>63.15</v>
      </c>
      <c r="Q416" s="101">
        <f>73+2</f>
        <v>75</v>
      </c>
      <c r="R416" s="102">
        <f t="shared" si="221"/>
        <v>2.5299999999999998</v>
      </c>
      <c r="S416" s="97">
        <f>ROUND(441.63/Q416,2)</f>
        <v>5.89</v>
      </c>
    </row>
    <row r="417" spans="1:19" ht="15.75" x14ac:dyDescent="0.25">
      <c r="A417" s="87">
        <v>310</v>
      </c>
      <c r="B417" s="45" t="s">
        <v>320</v>
      </c>
      <c r="C417" s="26" t="s">
        <v>318</v>
      </c>
      <c r="D417" s="103">
        <v>2427.87</v>
      </c>
      <c r="E417" s="103">
        <v>21</v>
      </c>
      <c r="F417" s="103">
        <v>580.29999999999995</v>
      </c>
      <c r="G417" s="103">
        <v>127.67</v>
      </c>
      <c r="H417" s="11">
        <v>195.01</v>
      </c>
      <c r="I417" s="5">
        <f>E417+F417+G417+H417+D417</f>
        <v>3351.85</v>
      </c>
      <c r="J417" s="103">
        <v>12.67</v>
      </c>
      <c r="K417" s="5">
        <f t="shared" si="234"/>
        <v>3364.52</v>
      </c>
      <c r="L417" s="5">
        <f t="shared" si="208"/>
        <v>100.94</v>
      </c>
      <c r="M417" s="15">
        <f t="shared" si="209"/>
        <v>3465.46</v>
      </c>
      <c r="N417" s="15">
        <f t="shared" si="210"/>
        <v>693.09</v>
      </c>
      <c r="O417" s="100">
        <f t="shared" si="211"/>
        <v>4158.55</v>
      </c>
      <c r="P417" s="15">
        <f t="shared" si="244"/>
        <v>69.31</v>
      </c>
      <c r="Q417" s="101">
        <f>110+1</f>
        <v>111</v>
      </c>
      <c r="R417" s="102">
        <f t="shared" si="221"/>
        <v>1.87</v>
      </c>
      <c r="S417" s="97">
        <f>ROUND(451.2/Q417,2)</f>
        <v>4.0599999999999996</v>
      </c>
    </row>
    <row r="418" spans="1:19" ht="15" customHeight="1" x14ac:dyDescent="0.25">
      <c r="A418" s="232">
        <v>311</v>
      </c>
      <c r="B418" s="215" t="s">
        <v>810</v>
      </c>
      <c r="C418" s="27" t="s">
        <v>265</v>
      </c>
      <c r="D418" s="190">
        <f>2210.63+2427.87</f>
        <v>4638.5</v>
      </c>
      <c r="E418" s="222">
        <f>18.08+21</f>
        <v>39.08</v>
      </c>
      <c r="F418" s="222">
        <f>532.22+580.3</f>
        <v>1112.52</v>
      </c>
      <c r="G418" s="190">
        <f>117.09+127.67</f>
        <v>244.76</v>
      </c>
      <c r="H418" s="167">
        <f>175.99+195.01</f>
        <v>371</v>
      </c>
      <c r="I418" s="169">
        <f>E418+F418+G418+H418+D418</f>
        <v>6405.86</v>
      </c>
      <c r="J418" s="167">
        <f>11.41+12.67</f>
        <v>24.08</v>
      </c>
      <c r="K418" s="169">
        <f t="shared" si="234"/>
        <v>6429.94</v>
      </c>
      <c r="L418" s="169">
        <f t="shared" si="208"/>
        <v>192.9</v>
      </c>
      <c r="M418" s="173">
        <f t="shared" si="209"/>
        <v>6622.8399999999992</v>
      </c>
      <c r="N418" s="173">
        <f t="shared" si="210"/>
        <v>1324.57</v>
      </c>
      <c r="O418" s="239">
        <f t="shared" si="211"/>
        <v>7947.4099999999989</v>
      </c>
      <c r="P418" s="15">
        <f t="shared" si="244"/>
        <v>132.46</v>
      </c>
      <c r="Q418" s="236">
        <f>142+1</f>
        <v>143</v>
      </c>
      <c r="R418" s="240">
        <f t="shared" si="221"/>
        <v>2.78</v>
      </c>
      <c r="S418" s="184">
        <f>ROUND((451.2+469.47)/Q418,2)</f>
        <v>6.44</v>
      </c>
    </row>
    <row r="419" spans="1:19" ht="15" customHeight="1" x14ac:dyDescent="0.25">
      <c r="A419" s="232"/>
      <c r="B419" s="216"/>
      <c r="C419" s="30" t="s">
        <v>318</v>
      </c>
      <c r="D419" s="177"/>
      <c r="E419" s="197"/>
      <c r="F419" s="197"/>
      <c r="G419" s="199"/>
      <c r="H419" s="168">
        <f>ROUND((E419+F419+G419)*11.7%,2)</f>
        <v>0</v>
      </c>
      <c r="I419" s="170">
        <f t="shared" ref="I419" si="245">E419+F419+G419+H419</f>
        <v>0</v>
      </c>
      <c r="J419" s="168">
        <f t="shared" ref="J419" si="246">ROUND(I419*11.6%,2)</f>
        <v>0</v>
      </c>
      <c r="K419" s="170">
        <f t="shared" si="234"/>
        <v>0</v>
      </c>
      <c r="L419" s="170">
        <f t="shared" si="208"/>
        <v>0</v>
      </c>
      <c r="M419" s="174">
        <f t="shared" si="209"/>
        <v>0</v>
      </c>
      <c r="N419" s="174">
        <f t="shared" si="210"/>
        <v>0</v>
      </c>
      <c r="O419" s="239">
        <f t="shared" si="211"/>
        <v>0</v>
      </c>
      <c r="P419" s="15"/>
      <c r="Q419" s="236"/>
      <c r="R419" s="240" t="e">
        <f t="shared" si="221"/>
        <v>#DIV/0!</v>
      </c>
      <c r="S419" s="184" t="e">
        <f t="shared" si="243"/>
        <v>#DIV/0!</v>
      </c>
    </row>
    <row r="420" spans="1:19" ht="15.75" x14ac:dyDescent="0.25">
      <c r="A420" s="87">
        <v>312</v>
      </c>
      <c r="B420" s="45" t="s">
        <v>321</v>
      </c>
      <c r="C420" s="26" t="s">
        <v>261</v>
      </c>
      <c r="D420" s="103">
        <v>1962.25</v>
      </c>
      <c r="E420" s="103">
        <v>18.079999999999998</v>
      </c>
      <c r="F420" s="103">
        <v>532.22</v>
      </c>
      <c r="G420" s="103">
        <v>117.09</v>
      </c>
      <c r="H420" s="11">
        <v>175.99</v>
      </c>
      <c r="I420" s="5">
        <f>E420+F420+G420+H420+D420</f>
        <v>2805.63</v>
      </c>
      <c r="J420" s="103">
        <v>11.41</v>
      </c>
      <c r="K420" s="5">
        <f t="shared" si="234"/>
        <v>2817.04</v>
      </c>
      <c r="L420" s="5">
        <f t="shared" si="208"/>
        <v>84.51</v>
      </c>
      <c r="M420" s="15">
        <f t="shared" si="209"/>
        <v>2901.55</v>
      </c>
      <c r="N420" s="15">
        <f t="shared" si="210"/>
        <v>580.30999999999995</v>
      </c>
      <c r="O420" s="100">
        <f t="shared" si="211"/>
        <v>3481.86</v>
      </c>
      <c r="P420" s="15">
        <f t="shared" ref="P420:P438" si="247">ROUND(O420/5/12,2)</f>
        <v>58.03</v>
      </c>
      <c r="Q420" s="101">
        <f>53+1</f>
        <v>54</v>
      </c>
      <c r="R420" s="102">
        <f t="shared" si="221"/>
        <v>3.22</v>
      </c>
      <c r="S420" s="97">
        <f t="shared" ref="S420" si="248">ROUND(441.63/Q420,2)</f>
        <v>8.18</v>
      </c>
    </row>
    <row r="421" spans="1:19" ht="16.5" thickBot="1" x14ac:dyDescent="0.3">
      <c r="A421" s="23">
        <v>313</v>
      </c>
      <c r="B421" s="139" t="s">
        <v>322</v>
      </c>
      <c r="C421" s="112" t="s">
        <v>314</v>
      </c>
      <c r="D421" s="57">
        <v>2210.63</v>
      </c>
      <c r="E421" s="57">
        <v>18.079999999999998</v>
      </c>
      <c r="F421" s="57">
        <v>532.22</v>
      </c>
      <c r="G421" s="57">
        <v>117.09</v>
      </c>
      <c r="H421" s="58">
        <v>175.99</v>
      </c>
      <c r="I421" s="59">
        <f>E421+F421+G421+H421+D421</f>
        <v>3054.01</v>
      </c>
      <c r="J421" s="57">
        <v>11.41</v>
      </c>
      <c r="K421" s="59">
        <f t="shared" si="234"/>
        <v>3065.42</v>
      </c>
      <c r="L421" s="59">
        <f t="shared" si="208"/>
        <v>91.96</v>
      </c>
      <c r="M421" s="60">
        <f t="shared" si="209"/>
        <v>3157.38</v>
      </c>
      <c r="N421" s="60">
        <f t="shared" si="210"/>
        <v>631.48</v>
      </c>
      <c r="O421" s="61">
        <f t="shared" si="211"/>
        <v>3788.86</v>
      </c>
      <c r="P421" s="60">
        <f t="shared" si="247"/>
        <v>63.15</v>
      </c>
      <c r="Q421" s="113">
        <v>74</v>
      </c>
      <c r="R421" s="53">
        <f t="shared" si="221"/>
        <v>2.56</v>
      </c>
      <c r="S421" s="141">
        <f>ROUND(441.63/Q421,2)</f>
        <v>5.97</v>
      </c>
    </row>
    <row r="422" spans="1:19" ht="15.75" x14ac:dyDescent="0.25">
      <c r="A422" s="115">
        <v>314</v>
      </c>
      <c r="B422" s="140" t="s">
        <v>323</v>
      </c>
      <c r="C422" s="117" t="s">
        <v>316</v>
      </c>
      <c r="D422" s="118">
        <v>2427.87</v>
      </c>
      <c r="E422" s="118">
        <v>21</v>
      </c>
      <c r="F422" s="118">
        <v>580.29999999999995</v>
      </c>
      <c r="G422" s="118">
        <v>127.67</v>
      </c>
      <c r="H422" s="119">
        <v>195.01</v>
      </c>
      <c r="I422" s="120">
        <f>E422+F422+G422+H422+D422</f>
        <v>3351.85</v>
      </c>
      <c r="J422" s="118">
        <v>12.67</v>
      </c>
      <c r="K422" s="120">
        <f t="shared" si="234"/>
        <v>3364.52</v>
      </c>
      <c r="L422" s="120">
        <f t="shared" si="208"/>
        <v>100.94</v>
      </c>
      <c r="M422" s="121">
        <f t="shared" si="209"/>
        <v>3465.46</v>
      </c>
      <c r="N422" s="121">
        <f t="shared" si="210"/>
        <v>693.09</v>
      </c>
      <c r="O422" s="122">
        <f t="shared" si="211"/>
        <v>4158.55</v>
      </c>
      <c r="P422" s="121">
        <f t="shared" si="247"/>
        <v>69.31</v>
      </c>
      <c r="Q422" s="129">
        <f>90+1</f>
        <v>91</v>
      </c>
      <c r="R422" s="124">
        <f t="shared" si="221"/>
        <v>2.2799999999999998</v>
      </c>
      <c r="S422" s="125">
        <f>ROUND(451.2/Q422,2)</f>
        <v>4.96</v>
      </c>
    </row>
    <row r="423" spans="1:19" ht="15.75" x14ac:dyDescent="0.25">
      <c r="A423" s="87">
        <v>315</v>
      </c>
      <c r="B423" s="45" t="s">
        <v>324</v>
      </c>
      <c r="C423" s="26" t="s">
        <v>314</v>
      </c>
      <c r="D423" s="103">
        <v>2210.63</v>
      </c>
      <c r="E423" s="103">
        <v>18.079999999999998</v>
      </c>
      <c r="F423" s="103">
        <v>532.22</v>
      </c>
      <c r="G423" s="103">
        <v>117.09</v>
      </c>
      <c r="H423" s="11">
        <v>175.99</v>
      </c>
      <c r="I423" s="5">
        <f t="shared" ref="I423:I427" si="249">E423+F423+G423+H423+D423</f>
        <v>3054.01</v>
      </c>
      <c r="J423" s="103">
        <v>11.41</v>
      </c>
      <c r="K423" s="5">
        <f t="shared" si="234"/>
        <v>3065.42</v>
      </c>
      <c r="L423" s="5">
        <f t="shared" si="208"/>
        <v>91.96</v>
      </c>
      <c r="M423" s="15">
        <f t="shared" si="209"/>
        <v>3157.38</v>
      </c>
      <c r="N423" s="15">
        <f t="shared" si="210"/>
        <v>631.48</v>
      </c>
      <c r="O423" s="100">
        <f t="shared" si="211"/>
        <v>3788.86</v>
      </c>
      <c r="P423" s="15">
        <f t="shared" si="247"/>
        <v>63.15</v>
      </c>
      <c r="Q423" s="101">
        <v>72</v>
      </c>
      <c r="R423" s="102">
        <f t="shared" si="221"/>
        <v>2.63</v>
      </c>
      <c r="S423" s="97">
        <f t="shared" ref="S423:S424" si="250">ROUND(441.63/Q423,2)</f>
        <v>6.13</v>
      </c>
    </row>
    <row r="424" spans="1:19" ht="15.75" x14ac:dyDescent="0.25">
      <c r="A424" s="87">
        <v>316</v>
      </c>
      <c r="B424" s="45" t="s">
        <v>325</v>
      </c>
      <c r="C424" s="26" t="s">
        <v>314</v>
      </c>
      <c r="D424" s="103">
        <v>2210.63</v>
      </c>
      <c r="E424" s="103">
        <v>18.079999999999998</v>
      </c>
      <c r="F424" s="103">
        <v>532.22</v>
      </c>
      <c r="G424" s="103">
        <v>117.09</v>
      </c>
      <c r="H424" s="11">
        <v>175.99</v>
      </c>
      <c r="I424" s="5">
        <f t="shared" si="249"/>
        <v>3054.01</v>
      </c>
      <c r="J424" s="103">
        <v>11.41</v>
      </c>
      <c r="K424" s="5">
        <f t="shared" si="234"/>
        <v>3065.42</v>
      </c>
      <c r="L424" s="5">
        <f t="shared" ref="L424:L467" si="251">ROUND(K424*3%,2)</f>
        <v>91.96</v>
      </c>
      <c r="M424" s="15">
        <f t="shared" ref="M424:M467" si="252">K424+L424</f>
        <v>3157.38</v>
      </c>
      <c r="N424" s="15">
        <f t="shared" ref="N424:N467" si="253">ROUND(M424*20%,2)</f>
        <v>631.48</v>
      </c>
      <c r="O424" s="100">
        <f t="shared" ref="O424:O467" si="254">M424+N424</f>
        <v>3788.86</v>
      </c>
      <c r="P424" s="15">
        <f t="shared" si="247"/>
        <v>63.15</v>
      </c>
      <c r="Q424" s="101">
        <v>93</v>
      </c>
      <c r="R424" s="102">
        <f t="shared" si="221"/>
        <v>2.04</v>
      </c>
      <c r="S424" s="97">
        <f t="shared" si="250"/>
        <v>4.75</v>
      </c>
    </row>
    <row r="425" spans="1:19" ht="15.75" x14ac:dyDescent="0.25">
      <c r="A425" s="87">
        <v>317</v>
      </c>
      <c r="B425" s="45" t="s">
        <v>326</v>
      </c>
      <c r="C425" s="26" t="s">
        <v>318</v>
      </c>
      <c r="D425" s="103">
        <v>2427.87</v>
      </c>
      <c r="E425" s="103">
        <v>21</v>
      </c>
      <c r="F425" s="103">
        <v>580.29999999999995</v>
      </c>
      <c r="G425" s="103">
        <v>127.67</v>
      </c>
      <c r="H425" s="11">
        <v>195.01</v>
      </c>
      <c r="I425" s="5">
        <f>E425+F425+G425+H425+D425</f>
        <v>3351.85</v>
      </c>
      <c r="J425" s="103">
        <v>12.67</v>
      </c>
      <c r="K425" s="5">
        <f t="shared" si="234"/>
        <v>3364.52</v>
      </c>
      <c r="L425" s="5">
        <f t="shared" si="251"/>
        <v>100.94</v>
      </c>
      <c r="M425" s="15">
        <f t="shared" si="252"/>
        <v>3465.46</v>
      </c>
      <c r="N425" s="15">
        <f t="shared" si="253"/>
        <v>693.09</v>
      </c>
      <c r="O425" s="100">
        <f t="shared" si="254"/>
        <v>4158.55</v>
      </c>
      <c r="P425" s="15">
        <f t="shared" si="247"/>
        <v>69.31</v>
      </c>
      <c r="Q425" s="101">
        <f>107+3</f>
        <v>110</v>
      </c>
      <c r="R425" s="102">
        <f t="shared" si="221"/>
        <v>1.89</v>
      </c>
      <c r="S425" s="97">
        <f>ROUND(451.2/Q425,2)</f>
        <v>4.0999999999999996</v>
      </c>
    </row>
    <row r="426" spans="1:19" ht="15.75" x14ac:dyDescent="0.25">
      <c r="A426" s="87">
        <v>318</v>
      </c>
      <c r="B426" s="45" t="s">
        <v>327</v>
      </c>
      <c r="C426" s="26" t="s">
        <v>328</v>
      </c>
      <c r="D426" s="103">
        <v>2210.63</v>
      </c>
      <c r="E426" s="103">
        <v>18.079999999999998</v>
      </c>
      <c r="F426" s="103">
        <v>532.22</v>
      </c>
      <c r="G426" s="103">
        <v>117.09</v>
      </c>
      <c r="H426" s="11">
        <v>175.99</v>
      </c>
      <c r="I426" s="5">
        <f t="shared" si="249"/>
        <v>3054.01</v>
      </c>
      <c r="J426" s="103">
        <v>11.41</v>
      </c>
      <c r="K426" s="5">
        <f t="shared" si="234"/>
        <v>3065.42</v>
      </c>
      <c r="L426" s="5">
        <f t="shared" si="251"/>
        <v>91.96</v>
      </c>
      <c r="M426" s="15">
        <f t="shared" si="252"/>
        <v>3157.38</v>
      </c>
      <c r="N426" s="15">
        <f t="shared" si="253"/>
        <v>631.48</v>
      </c>
      <c r="O426" s="100">
        <f t="shared" si="254"/>
        <v>3788.86</v>
      </c>
      <c r="P426" s="15">
        <f t="shared" si="247"/>
        <v>63.15</v>
      </c>
      <c r="Q426" s="101">
        <f>120+1</f>
        <v>121</v>
      </c>
      <c r="R426" s="102">
        <f t="shared" si="221"/>
        <v>1.57</v>
      </c>
      <c r="S426" s="97">
        <f t="shared" ref="S426:S427" si="255">ROUND(441.63/Q426,2)</f>
        <v>3.65</v>
      </c>
    </row>
    <row r="427" spans="1:19" ht="15.75" x14ac:dyDescent="0.25">
      <c r="A427" s="87">
        <v>319</v>
      </c>
      <c r="B427" s="45" t="s">
        <v>329</v>
      </c>
      <c r="C427" s="26" t="s">
        <v>328</v>
      </c>
      <c r="D427" s="103">
        <v>2210.63</v>
      </c>
      <c r="E427" s="103">
        <v>18.079999999999998</v>
      </c>
      <c r="F427" s="103">
        <v>532.22</v>
      </c>
      <c r="G427" s="103">
        <v>117.09</v>
      </c>
      <c r="H427" s="11">
        <v>175.99</v>
      </c>
      <c r="I427" s="5">
        <f t="shared" si="249"/>
        <v>3054.01</v>
      </c>
      <c r="J427" s="103">
        <v>11.41</v>
      </c>
      <c r="K427" s="5">
        <f t="shared" si="234"/>
        <v>3065.42</v>
      </c>
      <c r="L427" s="5">
        <f t="shared" si="251"/>
        <v>91.96</v>
      </c>
      <c r="M427" s="15">
        <f t="shared" si="252"/>
        <v>3157.38</v>
      </c>
      <c r="N427" s="15">
        <f t="shared" si="253"/>
        <v>631.48</v>
      </c>
      <c r="O427" s="100">
        <f t="shared" si="254"/>
        <v>3788.86</v>
      </c>
      <c r="P427" s="15">
        <f t="shared" si="247"/>
        <v>63.15</v>
      </c>
      <c r="Q427" s="101">
        <f>98+2</f>
        <v>100</v>
      </c>
      <c r="R427" s="102">
        <f t="shared" si="221"/>
        <v>1.89</v>
      </c>
      <c r="S427" s="97">
        <f t="shared" si="255"/>
        <v>4.42</v>
      </c>
    </row>
    <row r="428" spans="1:19" ht="15.75" x14ac:dyDescent="0.25">
      <c r="A428" s="87">
        <v>320</v>
      </c>
      <c r="B428" s="45" t="s">
        <v>330</v>
      </c>
      <c r="C428" s="41" t="s">
        <v>331</v>
      </c>
      <c r="D428" s="103">
        <v>1962.25</v>
      </c>
      <c r="E428" s="103">
        <v>18.079999999999998</v>
      </c>
      <c r="F428" s="103">
        <v>532.22</v>
      </c>
      <c r="G428" s="103">
        <v>117.09</v>
      </c>
      <c r="H428" s="11">
        <v>175.99</v>
      </c>
      <c r="I428" s="5">
        <f>E428+F428+G428+H428+D428</f>
        <v>2805.63</v>
      </c>
      <c r="J428" s="103">
        <v>11.41</v>
      </c>
      <c r="K428" s="84">
        <f t="shared" si="234"/>
        <v>2817.04</v>
      </c>
      <c r="L428" s="5">
        <f t="shared" si="251"/>
        <v>84.51</v>
      </c>
      <c r="M428" s="15">
        <f t="shared" si="252"/>
        <v>2901.55</v>
      </c>
      <c r="N428" s="15">
        <f t="shared" si="253"/>
        <v>580.30999999999995</v>
      </c>
      <c r="O428" s="100">
        <f t="shared" si="254"/>
        <v>3481.86</v>
      </c>
      <c r="P428" s="15">
        <f t="shared" si="247"/>
        <v>58.03</v>
      </c>
      <c r="Q428" s="101">
        <v>75</v>
      </c>
      <c r="R428" s="102">
        <f t="shared" si="221"/>
        <v>2.3199999999999998</v>
      </c>
      <c r="S428" s="97">
        <f>ROUND(441.63/Q428,2)</f>
        <v>5.89</v>
      </c>
    </row>
    <row r="429" spans="1:19" ht="15.75" x14ac:dyDescent="0.25">
      <c r="A429" s="87">
        <v>321</v>
      </c>
      <c r="B429" s="45" t="s">
        <v>332</v>
      </c>
      <c r="C429" s="26" t="s">
        <v>328</v>
      </c>
      <c r="D429" s="103">
        <v>2210.63</v>
      </c>
      <c r="E429" s="103">
        <v>18.079999999999998</v>
      </c>
      <c r="F429" s="103">
        <v>532.22</v>
      </c>
      <c r="G429" s="103">
        <v>117.09</v>
      </c>
      <c r="H429" s="11">
        <v>175.99</v>
      </c>
      <c r="I429" s="5">
        <f t="shared" ref="I429:I430" si="256">E429+F429+G429+H429+D429</f>
        <v>3054.01</v>
      </c>
      <c r="J429" s="103">
        <v>11.41</v>
      </c>
      <c r="K429" s="5">
        <f t="shared" si="234"/>
        <v>3065.42</v>
      </c>
      <c r="L429" s="5">
        <f t="shared" si="251"/>
        <v>91.96</v>
      </c>
      <c r="M429" s="15">
        <f t="shared" si="252"/>
        <v>3157.38</v>
      </c>
      <c r="N429" s="15">
        <f t="shared" si="253"/>
        <v>631.48</v>
      </c>
      <c r="O429" s="100">
        <f t="shared" si="254"/>
        <v>3788.86</v>
      </c>
      <c r="P429" s="15">
        <f t="shared" si="247"/>
        <v>63.15</v>
      </c>
      <c r="Q429" s="101">
        <v>80</v>
      </c>
      <c r="R429" s="102">
        <f t="shared" si="221"/>
        <v>2.37</v>
      </c>
      <c r="S429" s="97">
        <f t="shared" ref="S429:S430" si="257">ROUND(441.63/Q429,2)</f>
        <v>5.52</v>
      </c>
    </row>
    <row r="430" spans="1:19" ht="15.75" x14ac:dyDescent="0.25">
      <c r="A430" s="87">
        <v>322</v>
      </c>
      <c r="B430" s="45" t="s">
        <v>333</v>
      </c>
      <c r="C430" s="26" t="s">
        <v>328</v>
      </c>
      <c r="D430" s="103">
        <v>2210.63</v>
      </c>
      <c r="E430" s="103">
        <v>18.079999999999998</v>
      </c>
      <c r="F430" s="103">
        <v>532.22</v>
      </c>
      <c r="G430" s="103">
        <v>117.09</v>
      </c>
      <c r="H430" s="11">
        <v>175.99</v>
      </c>
      <c r="I430" s="5">
        <f t="shared" si="256"/>
        <v>3054.01</v>
      </c>
      <c r="J430" s="103">
        <v>11.41</v>
      </c>
      <c r="K430" s="5">
        <f t="shared" si="234"/>
        <v>3065.42</v>
      </c>
      <c r="L430" s="5">
        <f t="shared" si="251"/>
        <v>91.96</v>
      </c>
      <c r="M430" s="15">
        <f t="shared" si="252"/>
        <v>3157.38</v>
      </c>
      <c r="N430" s="15">
        <f t="shared" si="253"/>
        <v>631.48</v>
      </c>
      <c r="O430" s="100">
        <f t="shared" si="254"/>
        <v>3788.86</v>
      </c>
      <c r="P430" s="15">
        <f t="shared" si="247"/>
        <v>63.15</v>
      </c>
      <c r="Q430" s="101">
        <v>74</v>
      </c>
      <c r="R430" s="102">
        <f t="shared" si="221"/>
        <v>2.56</v>
      </c>
      <c r="S430" s="97">
        <f t="shared" si="257"/>
        <v>5.97</v>
      </c>
    </row>
    <row r="431" spans="1:19" ht="15.75" x14ac:dyDescent="0.25">
      <c r="A431" s="87">
        <v>323</v>
      </c>
      <c r="B431" s="45" t="s">
        <v>334</v>
      </c>
      <c r="C431" s="26" t="s">
        <v>318</v>
      </c>
      <c r="D431" s="103">
        <v>2427.87</v>
      </c>
      <c r="E431" s="103">
        <v>21</v>
      </c>
      <c r="F431" s="103">
        <v>580.29999999999995</v>
      </c>
      <c r="G431" s="103">
        <v>127.67</v>
      </c>
      <c r="H431" s="11">
        <v>195.01</v>
      </c>
      <c r="I431" s="5">
        <f>E431+F431+G431+H431+D431</f>
        <v>3351.85</v>
      </c>
      <c r="J431" s="103">
        <v>12.67</v>
      </c>
      <c r="K431" s="5">
        <f t="shared" si="234"/>
        <v>3364.52</v>
      </c>
      <c r="L431" s="5">
        <f t="shared" si="251"/>
        <v>100.94</v>
      </c>
      <c r="M431" s="15">
        <f t="shared" si="252"/>
        <v>3465.46</v>
      </c>
      <c r="N431" s="15">
        <f t="shared" si="253"/>
        <v>693.09</v>
      </c>
      <c r="O431" s="100">
        <f t="shared" si="254"/>
        <v>4158.55</v>
      </c>
      <c r="P431" s="15">
        <f t="shared" si="247"/>
        <v>69.31</v>
      </c>
      <c r="Q431" s="101">
        <v>108</v>
      </c>
      <c r="R431" s="102">
        <f t="shared" ref="R431:R466" si="258">ROUND(P431*3/Q431,2)</f>
        <v>1.93</v>
      </c>
      <c r="S431" s="97">
        <f>ROUND(451.2/Q431,2)</f>
        <v>4.18</v>
      </c>
    </row>
    <row r="432" spans="1:19" ht="15.75" x14ac:dyDescent="0.25">
      <c r="A432" s="87">
        <v>324</v>
      </c>
      <c r="B432" s="45" t="s">
        <v>335</v>
      </c>
      <c r="C432" s="26" t="s">
        <v>336</v>
      </c>
      <c r="D432" s="103">
        <v>2210.63</v>
      </c>
      <c r="E432" s="103">
        <v>18.079999999999998</v>
      </c>
      <c r="F432" s="103">
        <v>532.22</v>
      </c>
      <c r="G432" s="103">
        <v>117.09</v>
      </c>
      <c r="H432" s="11">
        <v>175.99</v>
      </c>
      <c r="I432" s="5">
        <f>E432+F432+G432+H432+D432</f>
        <v>3054.01</v>
      </c>
      <c r="J432" s="103">
        <v>11.41</v>
      </c>
      <c r="K432" s="5">
        <f t="shared" si="234"/>
        <v>3065.42</v>
      </c>
      <c r="L432" s="5">
        <f t="shared" si="251"/>
        <v>91.96</v>
      </c>
      <c r="M432" s="15">
        <f t="shared" si="252"/>
        <v>3157.38</v>
      </c>
      <c r="N432" s="15">
        <f t="shared" si="253"/>
        <v>631.48</v>
      </c>
      <c r="O432" s="100">
        <f t="shared" si="254"/>
        <v>3788.86</v>
      </c>
      <c r="P432" s="15">
        <f t="shared" si="247"/>
        <v>63.15</v>
      </c>
      <c r="Q432" s="101">
        <f>119+3</f>
        <v>122</v>
      </c>
      <c r="R432" s="102">
        <f t="shared" si="258"/>
        <v>1.55</v>
      </c>
      <c r="S432" s="97">
        <f>ROUND(469.47/Q432,2)</f>
        <v>3.85</v>
      </c>
    </row>
    <row r="433" spans="1:19" ht="15.75" x14ac:dyDescent="0.25">
      <c r="A433" s="87">
        <v>325</v>
      </c>
      <c r="B433" s="45" t="s">
        <v>337</v>
      </c>
      <c r="C433" s="26" t="s">
        <v>318</v>
      </c>
      <c r="D433" s="103">
        <v>2427.87</v>
      </c>
      <c r="E433" s="103">
        <v>21</v>
      </c>
      <c r="F433" s="103">
        <v>580.29999999999995</v>
      </c>
      <c r="G433" s="103">
        <v>127.67</v>
      </c>
      <c r="H433" s="11">
        <v>195.01</v>
      </c>
      <c r="I433" s="5">
        <f t="shared" ref="I433:I437" si="259">E433+F433+G433+H433+D433</f>
        <v>3351.85</v>
      </c>
      <c r="J433" s="103">
        <v>12.67</v>
      </c>
      <c r="K433" s="5">
        <f t="shared" si="234"/>
        <v>3364.52</v>
      </c>
      <c r="L433" s="5">
        <f t="shared" si="251"/>
        <v>100.94</v>
      </c>
      <c r="M433" s="15">
        <f t="shared" si="252"/>
        <v>3465.46</v>
      </c>
      <c r="N433" s="15">
        <f t="shared" si="253"/>
        <v>693.09</v>
      </c>
      <c r="O433" s="100">
        <f t="shared" si="254"/>
        <v>4158.55</v>
      </c>
      <c r="P433" s="15">
        <f t="shared" si="247"/>
        <v>69.31</v>
      </c>
      <c r="Q433" s="101">
        <v>34</v>
      </c>
      <c r="R433" s="102">
        <f t="shared" si="258"/>
        <v>6.12</v>
      </c>
      <c r="S433" s="97">
        <f t="shared" ref="S433:S434" si="260">ROUND(451.2/Q433,2)</f>
        <v>13.27</v>
      </c>
    </row>
    <row r="434" spans="1:19" ht="15.75" x14ac:dyDescent="0.25">
      <c r="A434" s="87">
        <v>326</v>
      </c>
      <c r="B434" s="45" t="s">
        <v>338</v>
      </c>
      <c r="C434" s="26" t="s">
        <v>318</v>
      </c>
      <c r="D434" s="103">
        <v>2427.87</v>
      </c>
      <c r="E434" s="103">
        <v>21</v>
      </c>
      <c r="F434" s="103">
        <v>580.29999999999995</v>
      </c>
      <c r="G434" s="103">
        <v>127.67</v>
      </c>
      <c r="H434" s="11">
        <v>195.01</v>
      </c>
      <c r="I434" s="5">
        <f t="shared" si="259"/>
        <v>3351.85</v>
      </c>
      <c r="J434" s="103">
        <v>12.67</v>
      </c>
      <c r="K434" s="5">
        <f t="shared" si="234"/>
        <v>3364.52</v>
      </c>
      <c r="L434" s="5">
        <f t="shared" si="251"/>
        <v>100.94</v>
      </c>
      <c r="M434" s="15">
        <f t="shared" si="252"/>
        <v>3465.46</v>
      </c>
      <c r="N434" s="15">
        <f t="shared" si="253"/>
        <v>693.09</v>
      </c>
      <c r="O434" s="100">
        <f t="shared" si="254"/>
        <v>4158.55</v>
      </c>
      <c r="P434" s="15">
        <f t="shared" si="247"/>
        <v>69.31</v>
      </c>
      <c r="Q434" s="101">
        <v>117</v>
      </c>
      <c r="R434" s="102">
        <f t="shared" si="258"/>
        <v>1.78</v>
      </c>
      <c r="S434" s="97">
        <f t="shared" si="260"/>
        <v>3.86</v>
      </c>
    </row>
    <row r="435" spans="1:19" ht="15.75" x14ac:dyDescent="0.25">
      <c r="A435" s="87">
        <v>327</v>
      </c>
      <c r="B435" s="45" t="s">
        <v>339</v>
      </c>
      <c r="C435" s="26" t="s">
        <v>340</v>
      </c>
      <c r="D435" s="103">
        <v>2639</v>
      </c>
      <c r="E435" s="3">
        <v>21</v>
      </c>
      <c r="F435" s="3">
        <v>580.29999999999995</v>
      </c>
      <c r="G435" s="3">
        <v>127.67</v>
      </c>
      <c r="H435" s="11">
        <v>195.01</v>
      </c>
      <c r="I435" s="5">
        <f t="shared" si="259"/>
        <v>3562.98</v>
      </c>
      <c r="J435" s="103">
        <v>12.67</v>
      </c>
      <c r="K435" s="5">
        <f t="shared" si="234"/>
        <v>3575.65</v>
      </c>
      <c r="L435" s="5">
        <f t="shared" si="251"/>
        <v>107.27</v>
      </c>
      <c r="M435" s="15">
        <f t="shared" si="252"/>
        <v>3682.92</v>
      </c>
      <c r="N435" s="15">
        <f t="shared" si="253"/>
        <v>736.58</v>
      </c>
      <c r="O435" s="100">
        <f t="shared" si="254"/>
        <v>4419.5</v>
      </c>
      <c r="P435" s="15">
        <f t="shared" si="247"/>
        <v>73.66</v>
      </c>
      <c r="Q435" s="101">
        <f>159+2</f>
        <v>161</v>
      </c>
      <c r="R435" s="102">
        <f t="shared" si="258"/>
        <v>1.37</v>
      </c>
      <c r="S435" s="48">
        <f>ROUND(452.88/Q435,2)</f>
        <v>2.81</v>
      </c>
    </row>
    <row r="436" spans="1:19" ht="15.75" x14ac:dyDescent="0.25">
      <c r="A436" s="87">
        <v>328</v>
      </c>
      <c r="B436" s="45" t="s">
        <v>341</v>
      </c>
      <c r="C436" s="26" t="s">
        <v>309</v>
      </c>
      <c r="D436" s="103">
        <v>2639</v>
      </c>
      <c r="E436" s="3">
        <v>21</v>
      </c>
      <c r="F436" s="3">
        <v>580.29999999999995</v>
      </c>
      <c r="G436" s="3">
        <v>127.67</v>
      </c>
      <c r="H436" s="11">
        <v>195.01</v>
      </c>
      <c r="I436" s="5">
        <f t="shared" si="259"/>
        <v>3562.98</v>
      </c>
      <c r="J436" s="103">
        <v>12.67</v>
      </c>
      <c r="K436" s="5">
        <f t="shared" si="234"/>
        <v>3575.65</v>
      </c>
      <c r="L436" s="5">
        <f t="shared" si="251"/>
        <v>107.27</v>
      </c>
      <c r="M436" s="15">
        <f t="shared" si="252"/>
        <v>3682.92</v>
      </c>
      <c r="N436" s="15">
        <f t="shared" si="253"/>
        <v>736.58</v>
      </c>
      <c r="O436" s="100">
        <f t="shared" si="254"/>
        <v>4419.5</v>
      </c>
      <c r="P436" s="15">
        <f t="shared" si="247"/>
        <v>73.66</v>
      </c>
      <c r="Q436" s="101">
        <f>152+1</f>
        <v>153</v>
      </c>
      <c r="R436" s="102">
        <f t="shared" si="258"/>
        <v>1.44</v>
      </c>
      <c r="S436" s="48">
        <f>ROUND(452.88/Q436,2)</f>
        <v>2.96</v>
      </c>
    </row>
    <row r="437" spans="1:19" ht="15.75" x14ac:dyDescent="0.25">
      <c r="A437" s="87">
        <v>329</v>
      </c>
      <c r="B437" s="45" t="s">
        <v>342</v>
      </c>
      <c r="C437" s="26" t="s">
        <v>340</v>
      </c>
      <c r="D437" s="103">
        <v>2639</v>
      </c>
      <c r="E437" s="3">
        <v>21</v>
      </c>
      <c r="F437" s="3">
        <v>580.29999999999995</v>
      </c>
      <c r="G437" s="3">
        <v>127.67</v>
      </c>
      <c r="H437" s="11">
        <v>195.01</v>
      </c>
      <c r="I437" s="5">
        <f t="shared" si="259"/>
        <v>3562.98</v>
      </c>
      <c r="J437" s="103">
        <v>12.67</v>
      </c>
      <c r="K437" s="5">
        <f t="shared" si="234"/>
        <v>3575.65</v>
      </c>
      <c r="L437" s="5">
        <f t="shared" si="251"/>
        <v>107.27</v>
      </c>
      <c r="M437" s="15">
        <f t="shared" si="252"/>
        <v>3682.92</v>
      </c>
      <c r="N437" s="15">
        <f t="shared" si="253"/>
        <v>736.58</v>
      </c>
      <c r="O437" s="100">
        <f t="shared" si="254"/>
        <v>4419.5</v>
      </c>
      <c r="P437" s="15">
        <f t="shared" si="247"/>
        <v>73.66</v>
      </c>
      <c r="Q437" s="101">
        <f>151+2</f>
        <v>153</v>
      </c>
      <c r="R437" s="102">
        <f t="shared" si="258"/>
        <v>1.44</v>
      </c>
      <c r="S437" s="48">
        <f>ROUND(452.88/Q437,2)</f>
        <v>2.96</v>
      </c>
    </row>
    <row r="438" spans="1:19" ht="15.75" customHeight="1" x14ac:dyDescent="0.25">
      <c r="A438" s="232">
        <v>330</v>
      </c>
      <c r="B438" s="237" t="s">
        <v>811</v>
      </c>
      <c r="C438" s="27" t="s">
        <v>328</v>
      </c>
      <c r="D438" s="190">
        <f>1962.25+2210.63</f>
        <v>4172.88</v>
      </c>
      <c r="E438" s="190">
        <f>18.08+18.08</f>
        <v>36.159999999999997</v>
      </c>
      <c r="F438" s="190">
        <f>532.22+532.22</f>
        <v>1064.44</v>
      </c>
      <c r="G438" s="222">
        <f>117.09+117.09</f>
        <v>234.18</v>
      </c>
      <c r="H438" s="167">
        <f>175.99+175.99</f>
        <v>351.98</v>
      </c>
      <c r="I438" s="169">
        <f>E438+F438+G438+H438+D438</f>
        <v>5859.64</v>
      </c>
      <c r="J438" s="167">
        <f>11.41+11.41</f>
        <v>22.82</v>
      </c>
      <c r="K438" s="169">
        <f t="shared" si="234"/>
        <v>5882.46</v>
      </c>
      <c r="L438" s="169">
        <f t="shared" si="251"/>
        <v>176.47</v>
      </c>
      <c r="M438" s="173">
        <f t="shared" si="252"/>
        <v>6058.93</v>
      </c>
      <c r="N438" s="173">
        <f t="shared" si="253"/>
        <v>1211.79</v>
      </c>
      <c r="O438" s="178">
        <f t="shared" si="254"/>
        <v>7270.72</v>
      </c>
      <c r="P438" s="73">
        <f t="shared" si="247"/>
        <v>121.18</v>
      </c>
      <c r="Q438" s="180">
        <f>175+5</f>
        <v>180</v>
      </c>
      <c r="R438" s="182">
        <f t="shared" si="258"/>
        <v>2.02</v>
      </c>
      <c r="S438" s="184">
        <f>ROUND(441.63*2/Q438,2)</f>
        <v>4.91</v>
      </c>
    </row>
    <row r="439" spans="1:19" ht="15.75" customHeight="1" x14ac:dyDescent="0.25">
      <c r="A439" s="232"/>
      <c r="B439" s="237"/>
      <c r="C439" s="30" t="s">
        <v>343</v>
      </c>
      <c r="D439" s="177"/>
      <c r="E439" s="199"/>
      <c r="F439" s="199"/>
      <c r="G439" s="197"/>
      <c r="H439" s="168">
        <f>ROUND((E439+F439+G439)*11.7%,2)</f>
        <v>0</v>
      </c>
      <c r="I439" s="170">
        <f t="shared" ref="I439:I457" si="261">E439+F439+G439+H439</f>
        <v>0</v>
      </c>
      <c r="J439" s="168"/>
      <c r="K439" s="170">
        <f t="shared" si="234"/>
        <v>0</v>
      </c>
      <c r="L439" s="170">
        <f t="shared" si="251"/>
        <v>0</v>
      </c>
      <c r="M439" s="174">
        <f t="shared" si="252"/>
        <v>0</v>
      </c>
      <c r="N439" s="174">
        <f t="shared" si="253"/>
        <v>0</v>
      </c>
      <c r="O439" s="179">
        <f t="shared" si="254"/>
        <v>0</v>
      </c>
      <c r="P439" s="75"/>
      <c r="Q439" s="181"/>
      <c r="R439" s="183" t="e">
        <f t="shared" si="258"/>
        <v>#DIV/0!</v>
      </c>
      <c r="S439" s="184" t="e">
        <f t="shared" si="243"/>
        <v>#DIV/0!</v>
      </c>
    </row>
    <row r="440" spans="1:19" ht="15.75" x14ac:dyDescent="0.25">
      <c r="A440" s="87">
        <v>331</v>
      </c>
      <c r="B440" s="45" t="s">
        <v>344</v>
      </c>
      <c r="C440" s="26" t="s">
        <v>318</v>
      </c>
      <c r="D440" s="103">
        <v>2427.87</v>
      </c>
      <c r="E440" s="103">
        <v>21</v>
      </c>
      <c r="F440" s="103">
        <v>580.29999999999995</v>
      </c>
      <c r="G440" s="103">
        <v>127.67</v>
      </c>
      <c r="H440" s="11">
        <v>195.01</v>
      </c>
      <c r="I440" s="5">
        <f t="shared" ref="I440:I441" si="262">E440+F440+G440+H440+D440</f>
        <v>3351.85</v>
      </c>
      <c r="J440" s="103">
        <v>12.67</v>
      </c>
      <c r="K440" s="5">
        <f t="shared" si="234"/>
        <v>3364.52</v>
      </c>
      <c r="L440" s="5">
        <f t="shared" si="251"/>
        <v>100.94</v>
      </c>
      <c r="M440" s="15">
        <f t="shared" si="252"/>
        <v>3465.46</v>
      </c>
      <c r="N440" s="15">
        <f t="shared" si="253"/>
        <v>693.09</v>
      </c>
      <c r="O440" s="100">
        <f t="shared" si="254"/>
        <v>4158.55</v>
      </c>
      <c r="P440" s="15">
        <f t="shared" ref="P440:P443" si="263">ROUND(O440/5/12,2)</f>
        <v>69.31</v>
      </c>
      <c r="Q440" s="101">
        <f>119+2</f>
        <v>121</v>
      </c>
      <c r="R440" s="102">
        <f t="shared" si="258"/>
        <v>1.72</v>
      </c>
      <c r="S440" s="97">
        <f t="shared" ref="S440:S441" si="264">ROUND(451.2/Q440,2)</f>
        <v>3.73</v>
      </c>
    </row>
    <row r="441" spans="1:19" ht="15.75" x14ac:dyDescent="0.25">
      <c r="A441" s="87">
        <v>332</v>
      </c>
      <c r="B441" s="45" t="s">
        <v>345</v>
      </c>
      <c r="C441" s="26" t="s">
        <v>318</v>
      </c>
      <c r="D441" s="103">
        <v>2427.87</v>
      </c>
      <c r="E441" s="103">
        <v>21</v>
      </c>
      <c r="F441" s="103">
        <v>580.29999999999995</v>
      </c>
      <c r="G441" s="103">
        <v>127.67</v>
      </c>
      <c r="H441" s="11">
        <v>195.01</v>
      </c>
      <c r="I441" s="5">
        <f t="shared" si="262"/>
        <v>3351.85</v>
      </c>
      <c r="J441" s="103">
        <v>12.67</v>
      </c>
      <c r="K441" s="5">
        <f t="shared" si="234"/>
        <v>3364.52</v>
      </c>
      <c r="L441" s="5">
        <f t="shared" si="251"/>
        <v>100.94</v>
      </c>
      <c r="M441" s="15">
        <f t="shared" si="252"/>
        <v>3465.46</v>
      </c>
      <c r="N441" s="15">
        <f t="shared" si="253"/>
        <v>693.09</v>
      </c>
      <c r="O441" s="100">
        <f t="shared" si="254"/>
        <v>4158.55</v>
      </c>
      <c r="P441" s="15">
        <f t="shared" si="263"/>
        <v>69.31</v>
      </c>
      <c r="Q441" s="101">
        <f>107+2</f>
        <v>109</v>
      </c>
      <c r="R441" s="102">
        <f t="shared" si="258"/>
        <v>1.91</v>
      </c>
      <c r="S441" s="97">
        <f t="shared" si="264"/>
        <v>4.1399999999999997</v>
      </c>
    </row>
    <row r="442" spans="1:19" ht="15.75" x14ac:dyDescent="0.25">
      <c r="A442" s="87">
        <v>333</v>
      </c>
      <c r="B442" s="45" t="s">
        <v>346</v>
      </c>
      <c r="C442" s="26" t="s">
        <v>328</v>
      </c>
      <c r="D442" s="103">
        <v>2210.63</v>
      </c>
      <c r="E442" s="103">
        <v>18.079999999999998</v>
      </c>
      <c r="F442" s="103">
        <v>532.22</v>
      </c>
      <c r="G442" s="103">
        <v>117.09</v>
      </c>
      <c r="H442" s="11">
        <v>175.99</v>
      </c>
      <c r="I442" s="5">
        <f>E442+F442+G442+H442+D442</f>
        <v>3054.01</v>
      </c>
      <c r="J442" s="103">
        <v>11.41</v>
      </c>
      <c r="K442" s="5">
        <f t="shared" si="234"/>
        <v>3065.42</v>
      </c>
      <c r="L442" s="5">
        <f t="shared" si="251"/>
        <v>91.96</v>
      </c>
      <c r="M442" s="15">
        <f t="shared" si="252"/>
        <v>3157.38</v>
      </c>
      <c r="N442" s="15">
        <f t="shared" si="253"/>
        <v>631.48</v>
      </c>
      <c r="O442" s="100">
        <f t="shared" si="254"/>
        <v>3788.86</v>
      </c>
      <c r="P442" s="15">
        <f t="shared" si="263"/>
        <v>63.15</v>
      </c>
      <c r="Q442" s="101">
        <f>71+2</f>
        <v>73</v>
      </c>
      <c r="R442" s="102">
        <f t="shared" si="258"/>
        <v>2.6</v>
      </c>
      <c r="S442" s="97">
        <f>ROUND(441.63/Q442,2)</f>
        <v>6.05</v>
      </c>
    </row>
    <row r="443" spans="1:19" ht="15.75" customHeight="1" x14ac:dyDescent="0.25">
      <c r="A443" s="220">
        <v>334</v>
      </c>
      <c r="B443" s="226" t="s">
        <v>812</v>
      </c>
      <c r="C443" s="27" t="s">
        <v>343</v>
      </c>
      <c r="D443" s="175">
        <f>1962.25*6+3502.25</f>
        <v>15275.75</v>
      </c>
      <c r="E443" s="190">
        <f>18.08*6+21</f>
        <v>129.47999999999999</v>
      </c>
      <c r="F443" s="190">
        <f>532.22*6+546.46</f>
        <v>3739.78</v>
      </c>
      <c r="G443" s="190">
        <f>117.09*6+120.22</f>
        <v>822.76</v>
      </c>
      <c r="H443" s="167">
        <f>175.99*6+184.09</f>
        <v>1240.03</v>
      </c>
      <c r="I443" s="169">
        <f>E443+F443+G443+H443+D443</f>
        <v>21207.8</v>
      </c>
      <c r="J443" s="167">
        <f>11.41*6+12.03</f>
        <v>80.490000000000009</v>
      </c>
      <c r="K443" s="169">
        <f t="shared" si="234"/>
        <v>21288.29</v>
      </c>
      <c r="L443" s="169">
        <f t="shared" si="251"/>
        <v>638.65</v>
      </c>
      <c r="M443" s="169">
        <f t="shared" si="252"/>
        <v>21926.940000000002</v>
      </c>
      <c r="N443" s="169">
        <f t="shared" si="253"/>
        <v>4385.3900000000003</v>
      </c>
      <c r="O443" s="185">
        <f t="shared" si="254"/>
        <v>26312.33</v>
      </c>
      <c r="P443" s="83">
        <f t="shared" si="263"/>
        <v>438.54</v>
      </c>
      <c r="Q443" s="241">
        <f>54+54+55+55+49+49+9</f>
        <v>325</v>
      </c>
      <c r="R443" s="244">
        <f t="shared" si="258"/>
        <v>4.05</v>
      </c>
      <c r="S443" s="245">
        <f>ROUND((441.63*6+705.6)/Q443,2)</f>
        <v>10.32</v>
      </c>
    </row>
    <row r="444" spans="1:19" ht="15.75" customHeight="1" x14ac:dyDescent="0.25">
      <c r="A444" s="223"/>
      <c r="B444" s="227"/>
      <c r="C444" s="29" t="s">
        <v>343</v>
      </c>
      <c r="D444" s="176"/>
      <c r="E444" s="200"/>
      <c r="F444" s="200"/>
      <c r="G444" s="200"/>
      <c r="H444" s="171">
        <f t="shared" ref="H444:H449" si="265">ROUND((E444+F444+G444)*11.7%,2)</f>
        <v>0</v>
      </c>
      <c r="I444" s="172">
        <f t="shared" si="261"/>
        <v>0</v>
      </c>
      <c r="J444" s="171">
        <f t="shared" ref="J444:J466" si="266">ROUND(I444*11.6%,2)</f>
        <v>0</v>
      </c>
      <c r="K444" s="172">
        <f t="shared" si="234"/>
        <v>0</v>
      </c>
      <c r="L444" s="172">
        <f t="shared" si="251"/>
        <v>0</v>
      </c>
      <c r="M444" s="172">
        <f t="shared" si="252"/>
        <v>0</v>
      </c>
      <c r="N444" s="172">
        <f t="shared" si="253"/>
        <v>0</v>
      </c>
      <c r="O444" s="198">
        <f t="shared" si="254"/>
        <v>0</v>
      </c>
      <c r="P444" s="89"/>
      <c r="Q444" s="242"/>
      <c r="R444" s="244" t="e">
        <f t="shared" si="258"/>
        <v>#DIV/0!</v>
      </c>
      <c r="S444" s="245" t="e">
        <f t="shared" si="243"/>
        <v>#DIV/0!</v>
      </c>
    </row>
    <row r="445" spans="1:19" ht="15.75" customHeight="1" x14ac:dyDescent="0.25">
      <c r="A445" s="223"/>
      <c r="B445" s="227"/>
      <c r="C445" s="29" t="s">
        <v>343</v>
      </c>
      <c r="D445" s="176"/>
      <c r="E445" s="200"/>
      <c r="F445" s="200"/>
      <c r="G445" s="200"/>
      <c r="H445" s="171">
        <f t="shared" si="265"/>
        <v>0</v>
      </c>
      <c r="I445" s="172">
        <f t="shared" si="261"/>
        <v>0</v>
      </c>
      <c r="J445" s="171">
        <f t="shared" si="266"/>
        <v>0</v>
      </c>
      <c r="K445" s="172">
        <f t="shared" si="234"/>
        <v>0</v>
      </c>
      <c r="L445" s="172">
        <f t="shared" si="251"/>
        <v>0</v>
      </c>
      <c r="M445" s="172">
        <f t="shared" si="252"/>
        <v>0</v>
      </c>
      <c r="N445" s="172">
        <f t="shared" si="253"/>
        <v>0</v>
      </c>
      <c r="O445" s="198">
        <f t="shared" si="254"/>
        <v>0</v>
      </c>
      <c r="P445" s="89"/>
      <c r="Q445" s="242"/>
      <c r="R445" s="244" t="e">
        <f t="shared" si="258"/>
        <v>#DIV/0!</v>
      </c>
      <c r="S445" s="245" t="e">
        <f t="shared" si="243"/>
        <v>#DIV/0!</v>
      </c>
    </row>
    <row r="446" spans="1:19" ht="15.75" customHeight="1" x14ac:dyDescent="0.25">
      <c r="A446" s="223"/>
      <c r="B446" s="227"/>
      <c r="C446" s="29" t="s">
        <v>343</v>
      </c>
      <c r="D446" s="176"/>
      <c r="E446" s="200"/>
      <c r="F446" s="200"/>
      <c r="G446" s="200"/>
      <c r="H446" s="171">
        <f t="shared" si="265"/>
        <v>0</v>
      </c>
      <c r="I446" s="172">
        <f t="shared" si="261"/>
        <v>0</v>
      </c>
      <c r="J446" s="171">
        <f t="shared" si="266"/>
        <v>0</v>
      </c>
      <c r="K446" s="172">
        <f t="shared" si="234"/>
        <v>0</v>
      </c>
      <c r="L446" s="172">
        <f t="shared" si="251"/>
        <v>0</v>
      </c>
      <c r="M446" s="172">
        <f t="shared" si="252"/>
        <v>0</v>
      </c>
      <c r="N446" s="172">
        <f t="shared" si="253"/>
        <v>0</v>
      </c>
      <c r="O446" s="198">
        <f t="shared" si="254"/>
        <v>0</v>
      </c>
      <c r="P446" s="89"/>
      <c r="Q446" s="242"/>
      <c r="R446" s="244" t="e">
        <f t="shared" si="258"/>
        <v>#DIV/0!</v>
      </c>
      <c r="S446" s="245" t="e">
        <f t="shared" si="243"/>
        <v>#DIV/0!</v>
      </c>
    </row>
    <row r="447" spans="1:19" ht="15.75" customHeight="1" x14ac:dyDescent="0.25">
      <c r="A447" s="223"/>
      <c r="B447" s="227"/>
      <c r="C447" s="29" t="s">
        <v>343</v>
      </c>
      <c r="D447" s="176"/>
      <c r="E447" s="200"/>
      <c r="F447" s="200"/>
      <c r="G447" s="200"/>
      <c r="H447" s="171">
        <f t="shared" si="265"/>
        <v>0</v>
      </c>
      <c r="I447" s="172">
        <f t="shared" si="261"/>
        <v>0</v>
      </c>
      <c r="J447" s="171">
        <f t="shared" si="266"/>
        <v>0</v>
      </c>
      <c r="K447" s="172">
        <f t="shared" si="234"/>
        <v>0</v>
      </c>
      <c r="L447" s="172">
        <f t="shared" si="251"/>
        <v>0</v>
      </c>
      <c r="M447" s="172">
        <f t="shared" si="252"/>
        <v>0</v>
      </c>
      <c r="N447" s="172">
        <f t="shared" si="253"/>
        <v>0</v>
      </c>
      <c r="O447" s="198">
        <f t="shared" si="254"/>
        <v>0</v>
      </c>
      <c r="P447" s="89"/>
      <c r="Q447" s="242"/>
      <c r="R447" s="244" t="e">
        <f t="shared" si="258"/>
        <v>#DIV/0!</v>
      </c>
      <c r="S447" s="245" t="e">
        <f t="shared" si="243"/>
        <v>#DIV/0!</v>
      </c>
    </row>
    <row r="448" spans="1:19" ht="15.75" customHeight="1" x14ac:dyDescent="0.25">
      <c r="A448" s="223"/>
      <c r="B448" s="227"/>
      <c r="C448" s="29" t="s">
        <v>343</v>
      </c>
      <c r="D448" s="176"/>
      <c r="E448" s="200"/>
      <c r="F448" s="200"/>
      <c r="G448" s="200"/>
      <c r="H448" s="171">
        <f t="shared" si="265"/>
        <v>0</v>
      </c>
      <c r="I448" s="172">
        <f t="shared" si="261"/>
        <v>0</v>
      </c>
      <c r="J448" s="171">
        <f t="shared" si="266"/>
        <v>0</v>
      </c>
      <c r="K448" s="172">
        <f t="shared" si="234"/>
        <v>0</v>
      </c>
      <c r="L448" s="172">
        <f t="shared" si="251"/>
        <v>0</v>
      </c>
      <c r="M448" s="172">
        <f t="shared" si="252"/>
        <v>0</v>
      </c>
      <c r="N448" s="172">
        <f t="shared" si="253"/>
        <v>0</v>
      </c>
      <c r="O448" s="198">
        <f t="shared" si="254"/>
        <v>0</v>
      </c>
      <c r="P448" s="89"/>
      <c r="Q448" s="242"/>
      <c r="R448" s="244" t="e">
        <f t="shared" si="258"/>
        <v>#DIV/0!</v>
      </c>
      <c r="S448" s="245" t="e">
        <f t="shared" si="243"/>
        <v>#DIV/0!</v>
      </c>
    </row>
    <row r="449" spans="1:19" ht="15.75" customHeight="1" x14ac:dyDescent="0.25">
      <c r="A449" s="223"/>
      <c r="B449" s="228"/>
      <c r="C449" s="30" t="s">
        <v>347</v>
      </c>
      <c r="D449" s="177"/>
      <c r="E449" s="199"/>
      <c r="F449" s="199"/>
      <c r="G449" s="199"/>
      <c r="H449" s="168">
        <f t="shared" si="265"/>
        <v>0</v>
      </c>
      <c r="I449" s="170">
        <f t="shared" si="261"/>
        <v>0</v>
      </c>
      <c r="J449" s="168">
        <f t="shared" si="266"/>
        <v>0</v>
      </c>
      <c r="K449" s="170">
        <f t="shared" si="234"/>
        <v>0</v>
      </c>
      <c r="L449" s="170">
        <f t="shared" si="251"/>
        <v>0</v>
      </c>
      <c r="M449" s="170">
        <f t="shared" si="252"/>
        <v>0</v>
      </c>
      <c r="N449" s="170">
        <f t="shared" si="253"/>
        <v>0</v>
      </c>
      <c r="O449" s="186">
        <f t="shared" si="254"/>
        <v>0</v>
      </c>
      <c r="P449" s="84"/>
      <c r="Q449" s="243">
        <f>54+54+55+55+49+49</f>
        <v>316</v>
      </c>
      <c r="R449" s="244">
        <f t="shared" si="258"/>
        <v>0</v>
      </c>
      <c r="S449" s="245">
        <f t="shared" si="243"/>
        <v>1.62</v>
      </c>
    </row>
    <row r="450" spans="1:19" ht="15.75" x14ac:dyDescent="0.25">
      <c r="A450" s="87">
        <v>335</v>
      </c>
      <c r="B450" s="45" t="s">
        <v>348</v>
      </c>
      <c r="C450" s="26" t="s">
        <v>309</v>
      </c>
      <c r="D450" s="103">
        <v>2639</v>
      </c>
      <c r="E450" s="3">
        <v>21</v>
      </c>
      <c r="F450" s="3">
        <v>580.29999999999995</v>
      </c>
      <c r="G450" s="3">
        <v>127.67</v>
      </c>
      <c r="H450" s="11">
        <v>195.01</v>
      </c>
      <c r="I450" s="5">
        <f>E450+F450+G450+H450+D450</f>
        <v>3562.98</v>
      </c>
      <c r="J450" s="103">
        <v>12.67</v>
      </c>
      <c r="K450" s="5">
        <f t="shared" si="234"/>
        <v>3575.65</v>
      </c>
      <c r="L450" s="5">
        <f t="shared" si="251"/>
        <v>107.27</v>
      </c>
      <c r="M450" s="15">
        <f t="shared" si="252"/>
        <v>3682.92</v>
      </c>
      <c r="N450" s="15">
        <f t="shared" si="253"/>
        <v>736.58</v>
      </c>
      <c r="O450" s="100">
        <f t="shared" si="254"/>
        <v>4419.5</v>
      </c>
      <c r="P450" s="15">
        <f t="shared" ref="P450:P456" si="267">ROUND(O450/5/12,2)</f>
        <v>73.66</v>
      </c>
      <c r="Q450" s="101">
        <f>134+2</f>
        <v>136</v>
      </c>
      <c r="R450" s="102">
        <f t="shared" si="258"/>
        <v>1.62</v>
      </c>
      <c r="S450" s="48">
        <f>ROUND(452.88/Q450,2)</f>
        <v>3.33</v>
      </c>
    </row>
    <row r="451" spans="1:19" ht="15.75" x14ac:dyDescent="0.25">
      <c r="A451" s="87">
        <v>336</v>
      </c>
      <c r="B451" s="45" t="s">
        <v>349</v>
      </c>
      <c r="C451" s="26" t="s">
        <v>318</v>
      </c>
      <c r="D451" s="103">
        <v>2427.87</v>
      </c>
      <c r="E451" s="103">
        <v>21</v>
      </c>
      <c r="F451" s="103">
        <v>580.29999999999995</v>
      </c>
      <c r="G451" s="103">
        <v>127.67</v>
      </c>
      <c r="H451" s="11">
        <v>195.01</v>
      </c>
      <c r="I451" s="5">
        <f>E451+F451+G451+H451+D451</f>
        <v>3351.85</v>
      </c>
      <c r="J451" s="103">
        <v>12.67</v>
      </c>
      <c r="K451" s="5">
        <f t="shared" si="234"/>
        <v>3364.52</v>
      </c>
      <c r="L451" s="5">
        <f t="shared" si="251"/>
        <v>100.94</v>
      </c>
      <c r="M451" s="15">
        <f t="shared" si="252"/>
        <v>3465.46</v>
      </c>
      <c r="N451" s="15">
        <f t="shared" si="253"/>
        <v>693.09</v>
      </c>
      <c r="O451" s="100">
        <f t="shared" si="254"/>
        <v>4158.55</v>
      </c>
      <c r="P451" s="15">
        <f t="shared" si="267"/>
        <v>69.31</v>
      </c>
      <c r="Q451" s="101">
        <v>110</v>
      </c>
      <c r="R451" s="102">
        <f t="shared" si="258"/>
        <v>1.89</v>
      </c>
      <c r="S451" s="97">
        <f>ROUND(451.2/Q451,2)</f>
        <v>4.0999999999999996</v>
      </c>
    </row>
    <row r="452" spans="1:19" ht="15.75" x14ac:dyDescent="0.25">
      <c r="A452" s="87">
        <v>337</v>
      </c>
      <c r="B452" s="45" t="s">
        <v>350</v>
      </c>
      <c r="C452" s="26" t="s">
        <v>328</v>
      </c>
      <c r="D452" s="103">
        <v>2210.63</v>
      </c>
      <c r="E452" s="103">
        <v>18.079999999999998</v>
      </c>
      <c r="F452" s="103">
        <v>532.22</v>
      </c>
      <c r="G452" s="103">
        <v>117.09</v>
      </c>
      <c r="H452" s="11">
        <v>175.99</v>
      </c>
      <c r="I452" s="5">
        <f>E452+F452+G452+H452+D452</f>
        <v>3054.01</v>
      </c>
      <c r="J452" s="103">
        <v>11.41</v>
      </c>
      <c r="K452" s="5">
        <f t="shared" si="234"/>
        <v>3065.42</v>
      </c>
      <c r="L452" s="5">
        <f t="shared" si="251"/>
        <v>91.96</v>
      </c>
      <c r="M452" s="15">
        <f t="shared" si="252"/>
        <v>3157.38</v>
      </c>
      <c r="N452" s="15">
        <f t="shared" si="253"/>
        <v>631.48</v>
      </c>
      <c r="O452" s="100">
        <f t="shared" si="254"/>
        <v>3788.86</v>
      </c>
      <c r="P452" s="15">
        <f t="shared" si="267"/>
        <v>63.15</v>
      </c>
      <c r="Q452" s="101">
        <v>72</v>
      </c>
      <c r="R452" s="102">
        <f t="shared" si="258"/>
        <v>2.63</v>
      </c>
      <c r="S452" s="97">
        <f>ROUND(441.63/Q452,2)</f>
        <v>6.13</v>
      </c>
    </row>
    <row r="453" spans="1:19" ht="15.75" x14ac:dyDescent="0.25">
      <c r="A453" s="87">
        <v>338</v>
      </c>
      <c r="B453" s="45" t="s">
        <v>351</v>
      </c>
      <c r="C453" s="26" t="s">
        <v>318</v>
      </c>
      <c r="D453" s="103">
        <v>2427.87</v>
      </c>
      <c r="E453" s="103">
        <v>21</v>
      </c>
      <c r="F453" s="103">
        <v>580.29999999999995</v>
      </c>
      <c r="G453" s="103">
        <v>127.67</v>
      </c>
      <c r="H453" s="11">
        <v>195.01</v>
      </c>
      <c r="I453" s="5">
        <f>E453+F453+G453+H453+D453</f>
        <v>3351.85</v>
      </c>
      <c r="J453" s="103">
        <v>12.67</v>
      </c>
      <c r="K453" s="5">
        <f t="shared" si="234"/>
        <v>3364.52</v>
      </c>
      <c r="L453" s="5">
        <f t="shared" si="251"/>
        <v>100.94</v>
      </c>
      <c r="M453" s="15">
        <f t="shared" si="252"/>
        <v>3465.46</v>
      </c>
      <c r="N453" s="15">
        <f t="shared" si="253"/>
        <v>693.09</v>
      </c>
      <c r="O453" s="100">
        <f t="shared" si="254"/>
        <v>4158.55</v>
      </c>
      <c r="P453" s="15">
        <f t="shared" si="267"/>
        <v>69.31</v>
      </c>
      <c r="Q453" s="101">
        <f>120+7</f>
        <v>127</v>
      </c>
      <c r="R453" s="102">
        <f t="shared" si="258"/>
        <v>1.64</v>
      </c>
      <c r="S453" s="97">
        <f>ROUND(451.2/Q453,2)</f>
        <v>3.55</v>
      </c>
    </row>
    <row r="454" spans="1:19" ht="15.75" x14ac:dyDescent="0.25">
      <c r="A454" s="87">
        <v>339</v>
      </c>
      <c r="B454" s="45" t="s">
        <v>352</v>
      </c>
      <c r="C454" s="26" t="s">
        <v>309</v>
      </c>
      <c r="D454" s="103">
        <v>2639</v>
      </c>
      <c r="E454" s="3">
        <v>21</v>
      </c>
      <c r="F454" s="3">
        <v>580.29999999999995</v>
      </c>
      <c r="G454" s="3">
        <v>127.67</v>
      </c>
      <c r="H454" s="11">
        <v>195.01</v>
      </c>
      <c r="I454" s="5">
        <f t="shared" ref="I454:I455" si="268">E454+F454+G454+H454+D454</f>
        <v>3562.98</v>
      </c>
      <c r="J454" s="103">
        <v>12.67</v>
      </c>
      <c r="K454" s="5">
        <f t="shared" si="234"/>
        <v>3575.65</v>
      </c>
      <c r="L454" s="5">
        <f t="shared" si="251"/>
        <v>107.27</v>
      </c>
      <c r="M454" s="15">
        <f t="shared" si="252"/>
        <v>3682.92</v>
      </c>
      <c r="N454" s="15">
        <f t="shared" si="253"/>
        <v>736.58</v>
      </c>
      <c r="O454" s="100">
        <f t="shared" si="254"/>
        <v>4419.5</v>
      </c>
      <c r="P454" s="15">
        <f t="shared" si="267"/>
        <v>73.66</v>
      </c>
      <c r="Q454" s="101">
        <f>164+9</f>
        <v>173</v>
      </c>
      <c r="R454" s="102">
        <f t="shared" si="258"/>
        <v>1.28</v>
      </c>
      <c r="S454" s="48">
        <f t="shared" ref="S454:S455" si="269">ROUND(452.88/Q454,2)</f>
        <v>2.62</v>
      </c>
    </row>
    <row r="455" spans="1:19" ht="15.75" x14ac:dyDescent="0.25">
      <c r="A455" s="87">
        <v>340</v>
      </c>
      <c r="B455" s="45" t="s">
        <v>353</v>
      </c>
      <c r="C455" s="26" t="s">
        <v>309</v>
      </c>
      <c r="D455" s="103">
        <v>2639</v>
      </c>
      <c r="E455" s="3">
        <v>21</v>
      </c>
      <c r="F455" s="3">
        <v>580.29999999999995</v>
      </c>
      <c r="G455" s="3">
        <v>127.67</v>
      </c>
      <c r="H455" s="11">
        <v>195.01</v>
      </c>
      <c r="I455" s="5">
        <f t="shared" si="268"/>
        <v>3562.98</v>
      </c>
      <c r="J455" s="103">
        <v>12.67</v>
      </c>
      <c r="K455" s="5">
        <f t="shared" si="234"/>
        <v>3575.65</v>
      </c>
      <c r="L455" s="5">
        <f t="shared" si="251"/>
        <v>107.27</v>
      </c>
      <c r="M455" s="15">
        <f t="shared" si="252"/>
        <v>3682.92</v>
      </c>
      <c r="N455" s="15">
        <f t="shared" si="253"/>
        <v>736.58</v>
      </c>
      <c r="O455" s="100">
        <f t="shared" si="254"/>
        <v>4419.5</v>
      </c>
      <c r="P455" s="15">
        <f t="shared" si="267"/>
        <v>73.66</v>
      </c>
      <c r="Q455" s="101">
        <f>269+3</f>
        <v>272</v>
      </c>
      <c r="R455" s="102">
        <f t="shared" si="258"/>
        <v>0.81</v>
      </c>
      <c r="S455" s="48">
        <f t="shared" si="269"/>
        <v>1.67</v>
      </c>
    </row>
    <row r="456" spans="1:19" ht="15.75" customHeight="1" x14ac:dyDescent="0.25">
      <c r="A456" s="232">
        <v>341</v>
      </c>
      <c r="B456" s="215" t="s">
        <v>813</v>
      </c>
      <c r="C456" s="27" t="s">
        <v>354</v>
      </c>
      <c r="D456" s="190">
        <f>1962.25+2210.63</f>
        <v>4172.88</v>
      </c>
      <c r="E456" s="190">
        <f>18.08+18.08</f>
        <v>36.159999999999997</v>
      </c>
      <c r="F456" s="190">
        <f>532.22+532.22</f>
        <v>1064.44</v>
      </c>
      <c r="G456" s="222">
        <f>117.09+117.09</f>
        <v>234.18</v>
      </c>
      <c r="H456" s="167">
        <f>175.99+175.99</f>
        <v>351.98</v>
      </c>
      <c r="I456" s="169">
        <f>E456+F456+G456+H456+D456</f>
        <v>5859.64</v>
      </c>
      <c r="J456" s="167">
        <f>11.41+11.41</f>
        <v>22.82</v>
      </c>
      <c r="K456" s="169">
        <f t="shared" si="234"/>
        <v>5882.46</v>
      </c>
      <c r="L456" s="169">
        <f t="shared" si="251"/>
        <v>176.47</v>
      </c>
      <c r="M456" s="173">
        <f t="shared" si="252"/>
        <v>6058.93</v>
      </c>
      <c r="N456" s="173">
        <f t="shared" si="253"/>
        <v>1211.79</v>
      </c>
      <c r="O456" s="239">
        <f t="shared" si="254"/>
        <v>7270.72</v>
      </c>
      <c r="P456" s="173">
        <f t="shared" si="267"/>
        <v>121.18</v>
      </c>
      <c r="Q456" s="236">
        <f>50+101</f>
        <v>151</v>
      </c>
      <c r="R456" s="240">
        <f t="shared" si="258"/>
        <v>2.41</v>
      </c>
      <c r="S456" s="184">
        <f>ROUND(469.47*2/Q456,2)</f>
        <v>6.22</v>
      </c>
    </row>
    <row r="457" spans="1:19" ht="15.75" customHeight="1" x14ac:dyDescent="0.25">
      <c r="A457" s="232"/>
      <c r="B457" s="216"/>
      <c r="C457" s="30" t="s">
        <v>355</v>
      </c>
      <c r="D457" s="177"/>
      <c r="E457" s="199"/>
      <c r="F457" s="199"/>
      <c r="G457" s="197"/>
      <c r="H457" s="168">
        <f>ROUND((E457+F457+G457)*11.7%,2)</f>
        <v>0</v>
      </c>
      <c r="I457" s="170">
        <f t="shared" si="261"/>
        <v>0</v>
      </c>
      <c r="J457" s="168"/>
      <c r="K457" s="170">
        <f t="shared" si="234"/>
        <v>0</v>
      </c>
      <c r="L457" s="170">
        <f t="shared" si="251"/>
        <v>0</v>
      </c>
      <c r="M457" s="174">
        <f t="shared" si="252"/>
        <v>0</v>
      </c>
      <c r="N457" s="174">
        <f t="shared" si="253"/>
        <v>0</v>
      </c>
      <c r="O457" s="239">
        <f t="shared" si="254"/>
        <v>0</v>
      </c>
      <c r="P457" s="174"/>
      <c r="Q457" s="236"/>
      <c r="R457" s="240" t="e">
        <f t="shared" si="258"/>
        <v>#DIV/0!</v>
      </c>
      <c r="S457" s="184" t="e">
        <f t="shared" si="243"/>
        <v>#DIV/0!</v>
      </c>
    </row>
    <row r="458" spans="1:19" ht="15.75" x14ac:dyDescent="0.25">
      <c r="A458" s="87">
        <v>342</v>
      </c>
      <c r="B458" s="45" t="s">
        <v>356</v>
      </c>
      <c r="C458" s="26" t="s">
        <v>328</v>
      </c>
      <c r="D458" s="103">
        <v>2210.63</v>
      </c>
      <c r="E458" s="103">
        <v>18.079999999999998</v>
      </c>
      <c r="F458" s="103">
        <v>532.22</v>
      </c>
      <c r="G458" s="103">
        <v>117.09</v>
      </c>
      <c r="H458" s="11">
        <v>175.99</v>
      </c>
      <c r="I458" s="5">
        <f t="shared" ref="I458:I459" si="270">E458+F458+G458+H458+D458</f>
        <v>3054.01</v>
      </c>
      <c r="J458" s="103">
        <v>11.41</v>
      </c>
      <c r="K458" s="5">
        <f t="shared" ref="K458:K467" si="271">I458+J458</f>
        <v>3065.42</v>
      </c>
      <c r="L458" s="5">
        <f t="shared" si="251"/>
        <v>91.96</v>
      </c>
      <c r="M458" s="15">
        <f t="shared" si="252"/>
        <v>3157.38</v>
      </c>
      <c r="N458" s="15">
        <f t="shared" si="253"/>
        <v>631.48</v>
      </c>
      <c r="O458" s="100">
        <f t="shared" si="254"/>
        <v>3788.86</v>
      </c>
      <c r="P458" s="15">
        <f t="shared" ref="P458:P465" si="272">ROUND(O458/5/12,2)</f>
        <v>63.15</v>
      </c>
      <c r="Q458" s="101">
        <f>20+26+26</f>
        <v>72</v>
      </c>
      <c r="R458" s="102">
        <f t="shared" si="258"/>
        <v>2.63</v>
      </c>
      <c r="S458" s="97">
        <f>ROUND(441.63/Q458,2)</f>
        <v>6.13</v>
      </c>
    </row>
    <row r="459" spans="1:19" ht="25.5" x14ac:dyDescent="0.25">
      <c r="A459" s="87">
        <v>343</v>
      </c>
      <c r="B459" s="45" t="s">
        <v>357</v>
      </c>
      <c r="C459" s="26" t="s">
        <v>358</v>
      </c>
      <c r="D459" s="103">
        <v>2210.63</v>
      </c>
      <c r="E459" s="103">
        <v>18.079999999999998</v>
      </c>
      <c r="F459" s="103">
        <v>532.22</v>
      </c>
      <c r="G459" s="103">
        <v>117.09</v>
      </c>
      <c r="H459" s="11">
        <v>175.99</v>
      </c>
      <c r="I459" s="5">
        <f t="shared" si="270"/>
        <v>3054.01</v>
      </c>
      <c r="J459" s="103">
        <v>11.41</v>
      </c>
      <c r="K459" s="5">
        <f t="shared" si="271"/>
        <v>3065.42</v>
      </c>
      <c r="L459" s="5">
        <f t="shared" si="251"/>
        <v>91.96</v>
      </c>
      <c r="M459" s="15">
        <f t="shared" si="252"/>
        <v>3157.38</v>
      </c>
      <c r="N459" s="15">
        <f t="shared" si="253"/>
        <v>631.48</v>
      </c>
      <c r="O459" s="100">
        <f t="shared" si="254"/>
        <v>3788.86</v>
      </c>
      <c r="P459" s="15">
        <f t="shared" si="272"/>
        <v>63.15</v>
      </c>
      <c r="Q459" s="101">
        <f>55+33</f>
        <v>88</v>
      </c>
      <c r="R459" s="102">
        <f t="shared" si="258"/>
        <v>2.15</v>
      </c>
      <c r="S459" s="104">
        <f>ROUND(469.47/Q459,2)</f>
        <v>5.33</v>
      </c>
    </row>
    <row r="460" spans="1:19" ht="15.75" x14ac:dyDescent="0.25">
      <c r="A460" s="87">
        <v>344</v>
      </c>
      <c r="B460" s="45" t="s">
        <v>359</v>
      </c>
      <c r="C460" s="26" t="s">
        <v>360</v>
      </c>
      <c r="D460" s="103">
        <v>2427.87</v>
      </c>
      <c r="E460" s="103">
        <v>21</v>
      </c>
      <c r="F460" s="103">
        <v>580.29999999999995</v>
      </c>
      <c r="G460" s="103">
        <v>127.67</v>
      </c>
      <c r="H460" s="11">
        <v>195.01</v>
      </c>
      <c r="I460" s="5">
        <f>E460+F460+G460+H460+D460</f>
        <v>3351.85</v>
      </c>
      <c r="J460" s="103">
        <v>12.67</v>
      </c>
      <c r="K460" s="5">
        <f t="shared" si="271"/>
        <v>3364.52</v>
      </c>
      <c r="L460" s="5">
        <f t="shared" si="251"/>
        <v>100.94</v>
      </c>
      <c r="M460" s="15">
        <f t="shared" si="252"/>
        <v>3465.46</v>
      </c>
      <c r="N460" s="15">
        <f t="shared" si="253"/>
        <v>693.09</v>
      </c>
      <c r="O460" s="100">
        <f t="shared" si="254"/>
        <v>4158.55</v>
      </c>
      <c r="P460" s="15">
        <f t="shared" si="272"/>
        <v>69.31</v>
      </c>
      <c r="Q460" s="101">
        <f>171+5</f>
        <v>176</v>
      </c>
      <c r="R460" s="102">
        <f t="shared" si="258"/>
        <v>1.18</v>
      </c>
      <c r="S460" s="97">
        <f>ROUND(482.49/Q460,2)</f>
        <v>2.74</v>
      </c>
    </row>
    <row r="461" spans="1:19" ht="15.75" x14ac:dyDescent="0.25">
      <c r="A461" s="87">
        <v>345</v>
      </c>
      <c r="B461" s="45" t="s">
        <v>361</v>
      </c>
      <c r="C461" s="41" t="s">
        <v>331</v>
      </c>
      <c r="D461" s="103">
        <v>1962.25</v>
      </c>
      <c r="E461" s="103">
        <v>18.079999999999998</v>
      </c>
      <c r="F461" s="103">
        <v>532.22</v>
      </c>
      <c r="G461" s="103">
        <v>117.09</v>
      </c>
      <c r="H461" s="11">
        <v>175.99</v>
      </c>
      <c r="I461" s="5">
        <f>E461+F461+G461+H461+D461</f>
        <v>2805.63</v>
      </c>
      <c r="J461" s="103">
        <v>11.41</v>
      </c>
      <c r="K461" s="84">
        <f t="shared" si="271"/>
        <v>2817.04</v>
      </c>
      <c r="L461" s="5">
        <f t="shared" si="251"/>
        <v>84.51</v>
      </c>
      <c r="M461" s="15">
        <f t="shared" si="252"/>
        <v>2901.55</v>
      </c>
      <c r="N461" s="15">
        <f t="shared" si="253"/>
        <v>580.30999999999995</v>
      </c>
      <c r="O461" s="100">
        <f t="shared" si="254"/>
        <v>3481.86</v>
      </c>
      <c r="P461" s="15">
        <f t="shared" si="272"/>
        <v>58.03</v>
      </c>
      <c r="Q461" s="101">
        <f>69+3</f>
        <v>72</v>
      </c>
      <c r="R461" s="102">
        <f t="shared" si="258"/>
        <v>2.42</v>
      </c>
      <c r="S461" s="97">
        <f>ROUND(441.63/Q461,2)</f>
        <v>6.13</v>
      </c>
    </row>
    <row r="462" spans="1:19" ht="15.75" x14ac:dyDescent="0.25">
      <c r="A462" s="87">
        <v>346</v>
      </c>
      <c r="B462" s="45" t="s">
        <v>362</v>
      </c>
      <c r="C462" s="26" t="s">
        <v>318</v>
      </c>
      <c r="D462" s="103">
        <v>2427.87</v>
      </c>
      <c r="E462" s="103">
        <v>21</v>
      </c>
      <c r="F462" s="103">
        <v>580.29999999999995</v>
      </c>
      <c r="G462" s="103">
        <v>127.67</v>
      </c>
      <c r="H462" s="11">
        <v>195.01</v>
      </c>
      <c r="I462" s="5">
        <f t="shared" ref="I462:I464" si="273">E462+F462+G462+H462+D462</f>
        <v>3351.85</v>
      </c>
      <c r="J462" s="103">
        <v>12.67</v>
      </c>
      <c r="K462" s="5">
        <f t="shared" si="271"/>
        <v>3364.52</v>
      </c>
      <c r="L462" s="5">
        <f t="shared" si="251"/>
        <v>100.94</v>
      </c>
      <c r="M462" s="15">
        <f t="shared" si="252"/>
        <v>3465.46</v>
      </c>
      <c r="N462" s="15">
        <f t="shared" si="253"/>
        <v>693.09</v>
      </c>
      <c r="O462" s="100">
        <f t="shared" si="254"/>
        <v>4158.55</v>
      </c>
      <c r="P462" s="15">
        <f t="shared" si="272"/>
        <v>69.31</v>
      </c>
      <c r="Q462" s="101">
        <f>105+3</f>
        <v>108</v>
      </c>
      <c r="R462" s="102">
        <f t="shared" si="258"/>
        <v>1.93</v>
      </c>
      <c r="S462" s="97">
        <f>ROUND(451.2/Q462,2)</f>
        <v>4.18</v>
      </c>
    </row>
    <row r="463" spans="1:19" ht="15.75" x14ac:dyDescent="0.25">
      <c r="A463" s="87">
        <v>347</v>
      </c>
      <c r="B463" s="45" t="s">
        <v>363</v>
      </c>
      <c r="C463" s="41" t="s">
        <v>298</v>
      </c>
      <c r="D463" s="103">
        <v>2427.87</v>
      </c>
      <c r="E463" s="103">
        <v>21</v>
      </c>
      <c r="F463" s="103">
        <v>580.29999999999995</v>
      </c>
      <c r="G463" s="103">
        <v>127.67</v>
      </c>
      <c r="H463" s="11">
        <v>195.01</v>
      </c>
      <c r="I463" s="5">
        <f t="shared" si="273"/>
        <v>3351.85</v>
      </c>
      <c r="J463" s="103">
        <v>12.67</v>
      </c>
      <c r="K463" s="5">
        <f t="shared" si="271"/>
        <v>3364.52</v>
      </c>
      <c r="L463" s="5">
        <f t="shared" si="251"/>
        <v>100.94</v>
      </c>
      <c r="M463" s="15">
        <f t="shared" si="252"/>
        <v>3465.46</v>
      </c>
      <c r="N463" s="15">
        <f t="shared" si="253"/>
        <v>693.09</v>
      </c>
      <c r="O463" s="100">
        <f t="shared" si="254"/>
        <v>4158.55</v>
      </c>
      <c r="P463" s="15">
        <f t="shared" si="272"/>
        <v>69.31</v>
      </c>
      <c r="Q463" s="101">
        <f>118+2</f>
        <v>120</v>
      </c>
      <c r="R463" s="102">
        <f t="shared" si="258"/>
        <v>1.73</v>
      </c>
      <c r="S463" s="48">
        <f>ROUND(482.49/Q463,2)</f>
        <v>4.0199999999999996</v>
      </c>
    </row>
    <row r="464" spans="1:19" ht="15.75" x14ac:dyDescent="0.25">
      <c r="A464" s="87">
        <v>348</v>
      </c>
      <c r="B464" s="45" t="s">
        <v>364</v>
      </c>
      <c r="C464" s="26" t="s">
        <v>318</v>
      </c>
      <c r="D464" s="103">
        <v>2427.87</v>
      </c>
      <c r="E464" s="103">
        <v>21</v>
      </c>
      <c r="F464" s="103">
        <v>580.29999999999995</v>
      </c>
      <c r="G464" s="103">
        <v>127.67</v>
      </c>
      <c r="H464" s="11">
        <v>195.01</v>
      </c>
      <c r="I464" s="5">
        <f t="shared" si="273"/>
        <v>3351.85</v>
      </c>
      <c r="J464" s="103">
        <v>12.67</v>
      </c>
      <c r="K464" s="5">
        <f t="shared" si="271"/>
        <v>3364.52</v>
      </c>
      <c r="L464" s="5">
        <f t="shared" si="251"/>
        <v>100.94</v>
      </c>
      <c r="M464" s="15">
        <f t="shared" si="252"/>
        <v>3465.46</v>
      </c>
      <c r="N464" s="15">
        <f t="shared" si="253"/>
        <v>693.09</v>
      </c>
      <c r="O464" s="100">
        <f t="shared" si="254"/>
        <v>4158.55</v>
      </c>
      <c r="P464" s="15">
        <f t="shared" si="272"/>
        <v>69.31</v>
      </c>
      <c r="Q464" s="101">
        <f>118+1</f>
        <v>119</v>
      </c>
      <c r="R464" s="102">
        <f t="shared" si="258"/>
        <v>1.75</v>
      </c>
      <c r="S464" s="97">
        <f>ROUND(451.2/Q464,2)</f>
        <v>3.79</v>
      </c>
    </row>
    <row r="465" spans="1:19" ht="15.75" customHeight="1" x14ac:dyDescent="0.25">
      <c r="A465" s="232">
        <v>349</v>
      </c>
      <c r="B465" s="215" t="s">
        <v>814</v>
      </c>
      <c r="C465" s="27" t="s">
        <v>365</v>
      </c>
      <c r="D465" s="175">
        <f>1475.88*2</f>
        <v>2951.76</v>
      </c>
      <c r="E465" s="190">
        <f>18.08*2</f>
        <v>36.159999999999997</v>
      </c>
      <c r="F465" s="190">
        <f>532.22*2</f>
        <v>1064.44</v>
      </c>
      <c r="G465" s="190">
        <f>117.09*2</f>
        <v>234.18</v>
      </c>
      <c r="H465" s="167">
        <f>175.99*2</f>
        <v>351.98</v>
      </c>
      <c r="I465" s="169">
        <f>E465+F465+G465+H465+D465</f>
        <v>4638.5200000000004</v>
      </c>
      <c r="J465" s="167">
        <f>11.41*2</f>
        <v>22.82</v>
      </c>
      <c r="K465" s="169">
        <f t="shared" si="271"/>
        <v>4661.34</v>
      </c>
      <c r="L465" s="169">
        <f t="shared" si="251"/>
        <v>139.84</v>
      </c>
      <c r="M465" s="173">
        <f t="shared" si="252"/>
        <v>4801.18</v>
      </c>
      <c r="N465" s="173">
        <f t="shared" si="253"/>
        <v>960.24</v>
      </c>
      <c r="O465" s="178">
        <f t="shared" si="254"/>
        <v>5761.42</v>
      </c>
      <c r="P465" s="173">
        <f t="shared" si="272"/>
        <v>96.02</v>
      </c>
      <c r="Q465" s="180">
        <f>135+1</f>
        <v>136</v>
      </c>
      <c r="R465" s="182">
        <f t="shared" si="258"/>
        <v>2.12</v>
      </c>
      <c r="S465" s="184">
        <f>ROUND(467.97*2/Q465,2)</f>
        <v>6.88</v>
      </c>
    </row>
    <row r="466" spans="1:19" ht="15.75" customHeight="1" x14ac:dyDescent="0.25">
      <c r="A466" s="232"/>
      <c r="B466" s="216"/>
      <c r="C466" s="30" t="s">
        <v>365</v>
      </c>
      <c r="D466" s="177"/>
      <c r="E466" s="199"/>
      <c r="F466" s="199"/>
      <c r="G466" s="199"/>
      <c r="H466" s="168">
        <f>ROUND((E466+F466+G466)*11.7%,2)</f>
        <v>0</v>
      </c>
      <c r="I466" s="170">
        <f t="shared" ref="I466" si="274">E466+F466+G466+H466</f>
        <v>0</v>
      </c>
      <c r="J466" s="168">
        <f t="shared" si="266"/>
        <v>0</v>
      </c>
      <c r="K466" s="170">
        <f t="shared" si="271"/>
        <v>0</v>
      </c>
      <c r="L466" s="170">
        <f t="shared" si="251"/>
        <v>0</v>
      </c>
      <c r="M466" s="174">
        <f t="shared" si="252"/>
        <v>0</v>
      </c>
      <c r="N466" s="174">
        <f t="shared" si="253"/>
        <v>0</v>
      </c>
      <c r="O466" s="179">
        <f t="shared" si="254"/>
        <v>0</v>
      </c>
      <c r="P466" s="174"/>
      <c r="Q466" s="181"/>
      <c r="R466" s="183" t="e">
        <f t="shared" si="258"/>
        <v>#DIV/0!</v>
      </c>
      <c r="S466" s="184" t="e">
        <f t="shared" ref="S466" si="275">ROUND(512.79/Q466,2)</f>
        <v>#DIV/0!</v>
      </c>
    </row>
    <row r="467" spans="1:19" ht="15.75" x14ac:dyDescent="0.25">
      <c r="A467" s="91">
        <v>350</v>
      </c>
      <c r="B467" s="45" t="s">
        <v>691</v>
      </c>
      <c r="C467" s="41" t="s">
        <v>366</v>
      </c>
      <c r="D467" s="103">
        <v>1962.25</v>
      </c>
      <c r="E467" s="103">
        <v>18.079999999999998</v>
      </c>
      <c r="F467" s="103">
        <v>532.22</v>
      </c>
      <c r="G467" s="103">
        <v>117.09</v>
      </c>
      <c r="H467" s="11">
        <v>175.99</v>
      </c>
      <c r="I467" s="5">
        <f>E467+F467+G467+H467+D467</f>
        <v>2805.63</v>
      </c>
      <c r="J467" s="103">
        <v>11.41</v>
      </c>
      <c r="K467" s="5">
        <f t="shared" si="271"/>
        <v>2817.04</v>
      </c>
      <c r="L467" s="5">
        <f t="shared" si="251"/>
        <v>84.51</v>
      </c>
      <c r="M467" s="15">
        <f t="shared" si="252"/>
        <v>2901.55</v>
      </c>
      <c r="N467" s="15">
        <f t="shared" si="253"/>
        <v>580.30999999999995</v>
      </c>
      <c r="O467" s="100">
        <f t="shared" si="254"/>
        <v>3481.86</v>
      </c>
      <c r="P467" s="75">
        <f>ROUND(O467/5/12,2)</f>
        <v>58.03</v>
      </c>
      <c r="Q467" s="101">
        <v>61</v>
      </c>
      <c r="R467" s="79">
        <f>ROUND(P467*3/Q467,2)</f>
        <v>2.85</v>
      </c>
      <c r="S467" s="97">
        <f>ROUND(469.47/Q467,2)</f>
        <v>7.7</v>
      </c>
    </row>
    <row r="468" spans="1:19" ht="15.75" customHeight="1" x14ac:dyDescent="0.25">
      <c r="A468" s="232">
        <v>351</v>
      </c>
      <c r="B468" s="215" t="s">
        <v>745</v>
      </c>
      <c r="C468" s="27" t="s">
        <v>688</v>
      </c>
      <c r="D468" s="175">
        <f>2210.63*2+2427.87</f>
        <v>6849.13</v>
      </c>
      <c r="E468" s="190">
        <f>18.08*2+21</f>
        <v>57.16</v>
      </c>
      <c r="F468" s="190">
        <f>532.22*2+580.3</f>
        <v>1644.74</v>
      </c>
      <c r="G468" s="190">
        <f>117.09*2+127.67</f>
        <v>361.85</v>
      </c>
      <c r="H468" s="167">
        <f>175.99*2+195.01</f>
        <v>546.99</v>
      </c>
      <c r="I468" s="169">
        <f>E468+F468+G468+H468+D468</f>
        <v>9459.869999999999</v>
      </c>
      <c r="J468" s="167">
        <f>11.41*2+12.67</f>
        <v>35.49</v>
      </c>
      <c r="K468" s="169">
        <f>I468+J468</f>
        <v>9495.3599999999988</v>
      </c>
      <c r="L468" s="169">
        <f>ROUND(K468*3%,2)</f>
        <v>284.86</v>
      </c>
      <c r="M468" s="173">
        <f>K468+L468</f>
        <v>9780.2199999999993</v>
      </c>
      <c r="N468" s="173">
        <f>ROUND(M468*20%,2)</f>
        <v>1956.04</v>
      </c>
      <c r="O468" s="178">
        <f>M468+N468</f>
        <v>11736.259999999998</v>
      </c>
      <c r="P468" s="173">
        <f t="shared" ref="P468" si="276">ROUND(O468/5/12,2)</f>
        <v>195.6</v>
      </c>
      <c r="Q468" s="180">
        <f>85+46+63+196</f>
        <v>390</v>
      </c>
      <c r="R468" s="182">
        <f t="shared" ref="R468" si="277">ROUND(P468*3/Q468,2)</f>
        <v>1.5</v>
      </c>
      <c r="S468" s="184">
        <f>ROUND((441.63+451.2+469.47)/Q468,2)</f>
        <v>3.49</v>
      </c>
    </row>
    <row r="469" spans="1:19" ht="15.75" customHeight="1" x14ac:dyDescent="0.25">
      <c r="A469" s="232"/>
      <c r="B469" s="218"/>
      <c r="C469" s="29" t="s">
        <v>689</v>
      </c>
      <c r="D469" s="176"/>
      <c r="E469" s="200"/>
      <c r="F469" s="200"/>
      <c r="G469" s="200"/>
      <c r="H469" s="171"/>
      <c r="I469" s="172"/>
      <c r="J469" s="171"/>
      <c r="K469" s="172"/>
      <c r="L469" s="172"/>
      <c r="M469" s="191"/>
      <c r="N469" s="191"/>
      <c r="O469" s="187"/>
      <c r="P469" s="191"/>
      <c r="Q469" s="188"/>
      <c r="R469" s="189"/>
      <c r="S469" s="184"/>
    </row>
    <row r="470" spans="1:19" ht="15.75" customHeight="1" x14ac:dyDescent="0.25">
      <c r="A470" s="232"/>
      <c r="B470" s="216"/>
      <c r="C470" s="40" t="s">
        <v>690</v>
      </c>
      <c r="D470" s="177"/>
      <c r="E470" s="199"/>
      <c r="F470" s="199"/>
      <c r="G470" s="199"/>
      <c r="H470" s="168"/>
      <c r="I470" s="170"/>
      <c r="J470" s="168"/>
      <c r="K470" s="170"/>
      <c r="L470" s="170"/>
      <c r="M470" s="174"/>
      <c r="N470" s="174"/>
      <c r="O470" s="179"/>
      <c r="P470" s="174"/>
      <c r="Q470" s="181"/>
      <c r="R470" s="183"/>
      <c r="S470" s="184"/>
    </row>
    <row r="471" spans="1:19" ht="16.5" thickBot="1" x14ac:dyDescent="0.3">
      <c r="A471" s="23">
        <v>352</v>
      </c>
      <c r="B471" s="139" t="s">
        <v>367</v>
      </c>
      <c r="C471" s="112" t="s">
        <v>261</v>
      </c>
      <c r="D471" s="57">
        <v>1962.25</v>
      </c>
      <c r="E471" s="57">
        <v>18.079999999999998</v>
      </c>
      <c r="F471" s="57">
        <v>532.22</v>
      </c>
      <c r="G471" s="57">
        <v>117.09</v>
      </c>
      <c r="H471" s="58">
        <v>175.99</v>
      </c>
      <c r="I471" s="59">
        <f>E471+F471+G471+H471+D471</f>
        <v>2805.63</v>
      </c>
      <c r="J471" s="57">
        <v>11.41</v>
      </c>
      <c r="K471" s="59">
        <f t="shared" ref="K471" si="278">I471+J471</f>
        <v>2817.04</v>
      </c>
      <c r="L471" s="59">
        <f t="shared" ref="L471" si="279">ROUND(K471*3%,2)</f>
        <v>84.51</v>
      </c>
      <c r="M471" s="60">
        <f t="shared" ref="M471" si="280">K471+L471</f>
        <v>2901.55</v>
      </c>
      <c r="N471" s="60">
        <f t="shared" ref="N471" si="281">ROUND(M471*20%,2)</f>
        <v>580.30999999999995</v>
      </c>
      <c r="O471" s="61">
        <f t="shared" ref="O471" si="282">M471+N471</f>
        <v>3481.86</v>
      </c>
      <c r="P471" s="109">
        <f>ROUND(O471/5/12,2)</f>
        <v>58.03</v>
      </c>
      <c r="Q471" s="113">
        <v>37</v>
      </c>
      <c r="R471" s="110">
        <f>ROUND(P471*3/Q471,2)</f>
        <v>4.71</v>
      </c>
      <c r="S471" s="141">
        <f>ROUND(441.63/Q471,2)</f>
        <v>11.94</v>
      </c>
    </row>
    <row r="472" spans="1:19" ht="15.75" x14ac:dyDescent="0.25">
      <c r="A472" s="115">
        <v>353</v>
      </c>
      <c r="B472" s="140" t="s">
        <v>368</v>
      </c>
      <c r="C472" s="117" t="s">
        <v>314</v>
      </c>
      <c r="D472" s="118">
        <v>2210.63</v>
      </c>
      <c r="E472" s="118">
        <v>18.079999999999998</v>
      </c>
      <c r="F472" s="118">
        <v>532.22</v>
      </c>
      <c r="G472" s="118">
        <v>117.09</v>
      </c>
      <c r="H472" s="119">
        <v>175.99</v>
      </c>
      <c r="I472" s="120">
        <f>E472+F472+G472+H472+D472</f>
        <v>3054.01</v>
      </c>
      <c r="J472" s="118">
        <v>11.41</v>
      </c>
      <c r="K472" s="120">
        <f>I472+J472</f>
        <v>3065.42</v>
      </c>
      <c r="L472" s="120">
        <f>ROUND(K472*3%,2)</f>
        <v>91.96</v>
      </c>
      <c r="M472" s="121">
        <f>K472+L472</f>
        <v>3157.38</v>
      </c>
      <c r="N472" s="121">
        <f>ROUND(M472*20%,2)</f>
        <v>631.48</v>
      </c>
      <c r="O472" s="122">
        <f>M472+N472</f>
        <v>3788.86</v>
      </c>
      <c r="P472" s="121">
        <f>ROUND(O472/5/12,2)</f>
        <v>63.15</v>
      </c>
      <c r="Q472" s="129">
        <f>74+1</f>
        <v>75</v>
      </c>
      <c r="R472" s="124">
        <f>ROUND(P472*3/Q472,2)</f>
        <v>2.5299999999999998</v>
      </c>
      <c r="S472" s="142">
        <f t="shared" ref="S472" si="283">ROUND(441.63/Q472,2)</f>
        <v>5.89</v>
      </c>
    </row>
    <row r="473" spans="1:19" ht="15.75" customHeight="1" x14ac:dyDescent="0.25">
      <c r="A473" s="220">
        <v>354</v>
      </c>
      <c r="B473" s="226" t="s">
        <v>815</v>
      </c>
      <c r="C473" s="27" t="s">
        <v>256</v>
      </c>
      <c r="D473" s="175">
        <f>1962.25*2+2427.87</f>
        <v>6352.37</v>
      </c>
      <c r="E473" s="190">
        <f>18.08*2+21</f>
        <v>57.16</v>
      </c>
      <c r="F473" s="190">
        <f>532.22*2+580.3</f>
        <v>1644.74</v>
      </c>
      <c r="G473" s="190">
        <f>117.09*2+127.67</f>
        <v>361.85</v>
      </c>
      <c r="H473" s="167">
        <f>175.99*2+195.01</f>
        <v>546.99</v>
      </c>
      <c r="I473" s="169">
        <f>E473+F473+G473+H473+D473</f>
        <v>8963.11</v>
      </c>
      <c r="J473" s="167">
        <f>11.41*2+12.67</f>
        <v>35.49</v>
      </c>
      <c r="K473" s="169">
        <f>I473+J473</f>
        <v>8998.6</v>
      </c>
      <c r="L473" s="169">
        <f t="shared" ref="L473:L518" si="284">ROUND(K473*3%,2)</f>
        <v>269.95999999999998</v>
      </c>
      <c r="M473" s="173">
        <f>K473+L473</f>
        <v>9268.56</v>
      </c>
      <c r="N473" s="173">
        <f t="shared" ref="N473:N518" si="285">ROUND(M473*20%,2)</f>
        <v>1853.71</v>
      </c>
      <c r="O473" s="178">
        <f>M473+N473</f>
        <v>11122.27</v>
      </c>
      <c r="P473" s="173">
        <f>ROUND(O473/5/12,2)</f>
        <v>185.37</v>
      </c>
      <c r="Q473" s="180">
        <f>37+38+37+36+1</f>
        <v>149</v>
      </c>
      <c r="R473" s="182">
        <f t="shared" ref="R473" si="286">ROUND(P473*3/Q473,2)</f>
        <v>3.73</v>
      </c>
      <c r="S473" s="184">
        <f>ROUND((441.63*2+451.2)/Q473,2)</f>
        <v>8.9600000000000009</v>
      </c>
    </row>
    <row r="474" spans="1:19" ht="15.75" customHeight="1" x14ac:dyDescent="0.25">
      <c r="A474" s="223"/>
      <c r="B474" s="227"/>
      <c r="C474" s="29" t="s">
        <v>261</v>
      </c>
      <c r="D474" s="176"/>
      <c r="E474" s="200"/>
      <c r="F474" s="200"/>
      <c r="G474" s="200"/>
      <c r="H474" s="171">
        <f>ROUND((E474+F474+G474)*11.7%,2)</f>
        <v>0</v>
      </c>
      <c r="I474" s="172"/>
      <c r="J474" s="171">
        <f t="shared" ref="J474:J475" si="287">ROUND(I474*11.6%,2)</f>
        <v>0</v>
      </c>
      <c r="K474" s="172"/>
      <c r="L474" s="172">
        <f t="shared" si="284"/>
        <v>0</v>
      </c>
      <c r="M474" s="191"/>
      <c r="N474" s="191">
        <f t="shared" si="285"/>
        <v>0</v>
      </c>
      <c r="O474" s="187"/>
      <c r="P474" s="191"/>
      <c r="Q474" s="188"/>
      <c r="R474" s="189"/>
      <c r="S474" s="184"/>
    </row>
    <row r="475" spans="1:19" ht="15.75" customHeight="1" x14ac:dyDescent="0.25">
      <c r="A475" s="221"/>
      <c r="B475" s="228"/>
      <c r="C475" s="30" t="s">
        <v>318</v>
      </c>
      <c r="D475" s="177"/>
      <c r="E475" s="199"/>
      <c r="F475" s="199"/>
      <c r="G475" s="199"/>
      <c r="H475" s="168">
        <f>ROUND((E475+F475+G475)*11.7%,2)</f>
        <v>0</v>
      </c>
      <c r="I475" s="170"/>
      <c r="J475" s="168">
        <f t="shared" si="287"/>
        <v>0</v>
      </c>
      <c r="K475" s="170"/>
      <c r="L475" s="170">
        <f t="shared" si="284"/>
        <v>0</v>
      </c>
      <c r="M475" s="174"/>
      <c r="N475" s="174">
        <f t="shared" si="285"/>
        <v>0</v>
      </c>
      <c r="O475" s="179"/>
      <c r="P475" s="174"/>
      <c r="Q475" s="181"/>
      <c r="R475" s="183"/>
      <c r="S475" s="184"/>
    </row>
    <row r="476" spans="1:19" ht="15.75" x14ac:dyDescent="0.25">
      <c r="A476" s="87">
        <v>355</v>
      </c>
      <c r="B476" s="45" t="s">
        <v>816</v>
      </c>
      <c r="C476" s="26" t="s">
        <v>261</v>
      </c>
      <c r="D476" s="103">
        <v>1962.25</v>
      </c>
      <c r="E476" s="103">
        <v>18.079999999999998</v>
      </c>
      <c r="F476" s="103">
        <v>532.22</v>
      </c>
      <c r="G476" s="103">
        <v>117.09</v>
      </c>
      <c r="H476" s="11">
        <v>175.99</v>
      </c>
      <c r="I476" s="5">
        <f>E476+F476+G476+H476+D476</f>
        <v>2805.63</v>
      </c>
      <c r="J476" s="103">
        <v>11.41</v>
      </c>
      <c r="K476" s="5">
        <f t="shared" ref="K476:K478" si="288">I476+J476</f>
        <v>2817.04</v>
      </c>
      <c r="L476" s="5">
        <f t="shared" si="284"/>
        <v>84.51</v>
      </c>
      <c r="M476" s="15">
        <f t="shared" ref="M476:M478" si="289">K476+L476</f>
        <v>2901.55</v>
      </c>
      <c r="N476" s="15">
        <f t="shared" si="285"/>
        <v>580.30999999999995</v>
      </c>
      <c r="O476" s="100">
        <f t="shared" ref="O476:O478" si="290">M476+N476</f>
        <v>3481.86</v>
      </c>
      <c r="P476" s="75">
        <f>ROUND(O476/5/12,2)</f>
        <v>58.03</v>
      </c>
      <c r="Q476" s="101">
        <f>36+35+1</f>
        <v>72</v>
      </c>
      <c r="R476" s="79">
        <f>ROUND(P476*3/Q476,2)</f>
        <v>2.42</v>
      </c>
      <c r="S476" s="97">
        <f>ROUND(441.63/Q476,2)</f>
        <v>6.13</v>
      </c>
    </row>
    <row r="477" spans="1:19" ht="15.75" x14ac:dyDescent="0.25">
      <c r="A477" s="87">
        <v>356</v>
      </c>
      <c r="B477" s="45" t="s">
        <v>369</v>
      </c>
      <c r="C477" s="26" t="s">
        <v>261</v>
      </c>
      <c r="D477" s="103">
        <v>1962.25</v>
      </c>
      <c r="E477" s="103">
        <v>18.079999999999998</v>
      </c>
      <c r="F477" s="103">
        <v>532.22</v>
      </c>
      <c r="G477" s="103">
        <v>117.09</v>
      </c>
      <c r="H477" s="11">
        <v>175.99</v>
      </c>
      <c r="I477" s="5">
        <f>E477+F477+G477+H477+D477</f>
        <v>2805.63</v>
      </c>
      <c r="J477" s="103">
        <v>11.41</v>
      </c>
      <c r="K477" s="5">
        <f t="shared" si="288"/>
        <v>2817.04</v>
      </c>
      <c r="L477" s="5">
        <f t="shared" si="284"/>
        <v>84.51</v>
      </c>
      <c r="M477" s="15">
        <f t="shared" si="289"/>
        <v>2901.55</v>
      </c>
      <c r="N477" s="15">
        <f t="shared" si="285"/>
        <v>580.30999999999995</v>
      </c>
      <c r="O477" s="100">
        <f t="shared" si="290"/>
        <v>3481.86</v>
      </c>
      <c r="P477" s="75">
        <f>ROUND(O477/5/12,2)</f>
        <v>58.03</v>
      </c>
      <c r="Q477" s="101">
        <f>43+3</f>
        <v>46</v>
      </c>
      <c r="R477" s="79">
        <f>ROUND(P477*3/Q477,2)</f>
        <v>3.78</v>
      </c>
      <c r="S477" s="97">
        <f>ROUND(441.63/Q477,2)</f>
        <v>9.6</v>
      </c>
    </row>
    <row r="478" spans="1:19" ht="15.75" customHeight="1" x14ac:dyDescent="0.25">
      <c r="A478" s="232">
        <v>357</v>
      </c>
      <c r="B478" s="237" t="s">
        <v>817</v>
      </c>
      <c r="C478" s="27" t="s">
        <v>261</v>
      </c>
      <c r="D478" s="175">
        <f>1962.25*6</f>
        <v>11773.5</v>
      </c>
      <c r="E478" s="195">
        <f>18.08*6</f>
        <v>108.47999999999999</v>
      </c>
      <c r="F478" s="195">
        <f>532.22*6</f>
        <v>3193.32</v>
      </c>
      <c r="G478" s="195">
        <f>117.09*6</f>
        <v>702.54</v>
      </c>
      <c r="H478" s="167">
        <f>175.99*6</f>
        <v>1055.94</v>
      </c>
      <c r="I478" s="169">
        <f>E478+F478+G478+H478+D478</f>
        <v>16833.78</v>
      </c>
      <c r="J478" s="167">
        <f>11.41*6</f>
        <v>68.460000000000008</v>
      </c>
      <c r="K478" s="169">
        <f t="shared" si="288"/>
        <v>16902.239999999998</v>
      </c>
      <c r="L478" s="169">
        <f t="shared" si="284"/>
        <v>507.07</v>
      </c>
      <c r="M478" s="173">
        <f t="shared" si="289"/>
        <v>17409.309999999998</v>
      </c>
      <c r="N478" s="173">
        <f t="shared" si="285"/>
        <v>3481.86</v>
      </c>
      <c r="O478" s="178">
        <f t="shared" si="290"/>
        <v>20891.169999999998</v>
      </c>
      <c r="P478" s="173">
        <f>ROUND(O478/5/12,2)</f>
        <v>348.19</v>
      </c>
      <c r="Q478" s="246">
        <f>36+36+36+36+36+36+2</f>
        <v>218</v>
      </c>
      <c r="R478" s="182">
        <f t="shared" ref="R478" si="291">ROUND(P478*3/Q478,2)</f>
        <v>4.79</v>
      </c>
      <c r="S478" s="184">
        <f>ROUND(441.63*6/Q478,2)</f>
        <v>12.15</v>
      </c>
    </row>
    <row r="479" spans="1:19" ht="15.75" customHeight="1" x14ac:dyDescent="0.25">
      <c r="A479" s="232"/>
      <c r="B479" s="237"/>
      <c r="C479" s="29" t="s">
        <v>261</v>
      </c>
      <c r="D479" s="176"/>
      <c r="E479" s="196"/>
      <c r="F479" s="196"/>
      <c r="G479" s="196"/>
      <c r="H479" s="171">
        <f>ROUND((E479+F479+G479)*11.7%,2)</f>
        <v>0</v>
      </c>
      <c r="I479" s="172"/>
      <c r="J479" s="171">
        <f t="shared" ref="J479:J518" si="292">ROUND(I479*11.6%,2)</f>
        <v>0</v>
      </c>
      <c r="K479" s="172"/>
      <c r="L479" s="172">
        <f t="shared" si="284"/>
        <v>0</v>
      </c>
      <c r="M479" s="191"/>
      <c r="N479" s="191">
        <f t="shared" si="285"/>
        <v>0</v>
      </c>
      <c r="O479" s="187"/>
      <c r="P479" s="191"/>
      <c r="Q479" s="252"/>
      <c r="R479" s="189"/>
      <c r="S479" s="184"/>
    </row>
    <row r="480" spans="1:19" ht="15.75" customHeight="1" x14ac:dyDescent="0.25">
      <c r="A480" s="232"/>
      <c r="B480" s="237"/>
      <c r="C480" s="29" t="s">
        <v>261</v>
      </c>
      <c r="D480" s="176"/>
      <c r="E480" s="196"/>
      <c r="F480" s="196"/>
      <c r="G480" s="196"/>
      <c r="H480" s="171">
        <f>ROUND((E480+F480+G480)*11.7%,2)</f>
        <v>0</v>
      </c>
      <c r="I480" s="172"/>
      <c r="J480" s="171">
        <f t="shared" si="292"/>
        <v>0</v>
      </c>
      <c r="K480" s="172"/>
      <c r="L480" s="172">
        <f t="shared" si="284"/>
        <v>0</v>
      </c>
      <c r="M480" s="191"/>
      <c r="N480" s="191">
        <f t="shared" si="285"/>
        <v>0</v>
      </c>
      <c r="O480" s="187"/>
      <c r="P480" s="191"/>
      <c r="Q480" s="252"/>
      <c r="R480" s="189"/>
      <c r="S480" s="184"/>
    </row>
    <row r="481" spans="1:19" ht="15.75" customHeight="1" x14ac:dyDescent="0.25">
      <c r="A481" s="232"/>
      <c r="B481" s="237"/>
      <c r="C481" s="29" t="s">
        <v>261</v>
      </c>
      <c r="D481" s="176"/>
      <c r="E481" s="196"/>
      <c r="F481" s="196"/>
      <c r="G481" s="196"/>
      <c r="H481" s="171">
        <f>ROUND((E481+F481+G481)*11.7%,2)</f>
        <v>0</v>
      </c>
      <c r="I481" s="172"/>
      <c r="J481" s="171">
        <f t="shared" si="292"/>
        <v>0</v>
      </c>
      <c r="K481" s="172"/>
      <c r="L481" s="172">
        <f t="shared" si="284"/>
        <v>0</v>
      </c>
      <c r="M481" s="191"/>
      <c r="N481" s="191">
        <f t="shared" si="285"/>
        <v>0</v>
      </c>
      <c r="O481" s="187"/>
      <c r="P481" s="191"/>
      <c r="Q481" s="252"/>
      <c r="R481" s="189"/>
      <c r="S481" s="184"/>
    </row>
    <row r="482" spans="1:19" ht="15.75" customHeight="1" x14ac:dyDescent="0.25">
      <c r="A482" s="232"/>
      <c r="B482" s="237"/>
      <c r="C482" s="29" t="s">
        <v>261</v>
      </c>
      <c r="D482" s="176"/>
      <c r="E482" s="196"/>
      <c r="F482" s="196"/>
      <c r="G482" s="196"/>
      <c r="H482" s="171">
        <f>ROUND((E482+F482+G482)*11.7%,2)</f>
        <v>0</v>
      </c>
      <c r="I482" s="172"/>
      <c r="J482" s="171">
        <f t="shared" si="292"/>
        <v>0</v>
      </c>
      <c r="K482" s="172"/>
      <c r="L482" s="172">
        <f t="shared" si="284"/>
        <v>0</v>
      </c>
      <c r="M482" s="191"/>
      <c r="N482" s="191">
        <f t="shared" si="285"/>
        <v>0</v>
      </c>
      <c r="O482" s="187"/>
      <c r="P482" s="191"/>
      <c r="Q482" s="252"/>
      <c r="R482" s="189"/>
      <c r="S482" s="184"/>
    </row>
    <row r="483" spans="1:19" ht="15.75" customHeight="1" x14ac:dyDescent="0.25">
      <c r="A483" s="232"/>
      <c r="B483" s="237"/>
      <c r="C483" s="30" t="s">
        <v>261</v>
      </c>
      <c r="D483" s="177"/>
      <c r="E483" s="197"/>
      <c r="F483" s="197"/>
      <c r="G483" s="197"/>
      <c r="H483" s="168">
        <f>ROUND((E483+F483+G483)*11.7%,2)</f>
        <v>0</v>
      </c>
      <c r="I483" s="170"/>
      <c r="J483" s="168">
        <f t="shared" si="292"/>
        <v>0</v>
      </c>
      <c r="K483" s="170"/>
      <c r="L483" s="170">
        <f t="shared" si="284"/>
        <v>0</v>
      </c>
      <c r="M483" s="174"/>
      <c r="N483" s="174">
        <f t="shared" si="285"/>
        <v>0</v>
      </c>
      <c r="O483" s="179"/>
      <c r="P483" s="174"/>
      <c r="Q483" s="247"/>
      <c r="R483" s="183"/>
      <c r="S483" s="184"/>
    </row>
    <row r="484" spans="1:19" ht="15.75" x14ac:dyDescent="0.25">
      <c r="A484" s="87">
        <v>358</v>
      </c>
      <c r="B484" s="45" t="s">
        <v>370</v>
      </c>
      <c r="C484" s="26" t="s">
        <v>288</v>
      </c>
      <c r="D484" s="103">
        <v>2210.63</v>
      </c>
      <c r="E484" s="103">
        <v>18.079999999999998</v>
      </c>
      <c r="F484" s="103">
        <v>532.22</v>
      </c>
      <c r="G484" s="103">
        <v>117.09</v>
      </c>
      <c r="H484" s="11">
        <v>175.99</v>
      </c>
      <c r="I484" s="5">
        <f>E484+F484+G484+H484+D484</f>
        <v>3054.01</v>
      </c>
      <c r="J484" s="103">
        <v>11.41</v>
      </c>
      <c r="K484" s="5">
        <f>I484+J484</f>
        <v>3065.42</v>
      </c>
      <c r="L484" s="5">
        <f>ROUND(K484*3%,2)</f>
        <v>91.96</v>
      </c>
      <c r="M484" s="15">
        <f>K484+L484</f>
        <v>3157.38</v>
      </c>
      <c r="N484" s="15">
        <f>ROUND(M484*20%,2)</f>
        <v>631.48</v>
      </c>
      <c r="O484" s="100">
        <f>M484+N484</f>
        <v>3788.86</v>
      </c>
      <c r="P484" s="75">
        <f t="shared" ref="P484:P494" si="293">ROUND(O484/5/12,2)</f>
        <v>63.15</v>
      </c>
      <c r="Q484" s="101">
        <f>74+1</f>
        <v>75</v>
      </c>
      <c r="R484" s="79">
        <f t="shared" ref="R484" si="294">ROUND(P484*3/Q484,2)</f>
        <v>2.5299999999999998</v>
      </c>
      <c r="S484" s="97">
        <f>ROUND(441.63/Q484,2)</f>
        <v>5.89</v>
      </c>
    </row>
    <row r="485" spans="1:19" ht="15.75" x14ac:dyDescent="0.25">
      <c r="A485" s="87">
        <v>359</v>
      </c>
      <c r="B485" s="45" t="s">
        <v>371</v>
      </c>
      <c r="C485" s="26" t="s">
        <v>261</v>
      </c>
      <c r="D485" s="103">
        <v>1962.25</v>
      </c>
      <c r="E485" s="103">
        <v>18.079999999999998</v>
      </c>
      <c r="F485" s="103">
        <v>532.22</v>
      </c>
      <c r="G485" s="103">
        <v>117.09</v>
      </c>
      <c r="H485" s="11">
        <v>175.99</v>
      </c>
      <c r="I485" s="5">
        <f>E485+F485+G485+H485+D485</f>
        <v>2805.63</v>
      </c>
      <c r="J485" s="103">
        <v>11.41</v>
      </c>
      <c r="K485" s="5">
        <f t="shared" ref="K485:K509" si="295">I485+J485</f>
        <v>2817.04</v>
      </c>
      <c r="L485" s="5">
        <f t="shared" si="284"/>
        <v>84.51</v>
      </c>
      <c r="M485" s="15">
        <f t="shared" ref="M485:M509" si="296">K485+L485</f>
        <v>2901.55</v>
      </c>
      <c r="N485" s="15">
        <f t="shared" si="285"/>
        <v>580.30999999999995</v>
      </c>
      <c r="O485" s="100">
        <f t="shared" ref="O485:O495" si="297">M485+N485</f>
        <v>3481.86</v>
      </c>
      <c r="P485" s="75">
        <f t="shared" si="293"/>
        <v>58.03</v>
      </c>
      <c r="Q485" s="101">
        <v>41</v>
      </c>
      <c r="R485" s="79">
        <f>ROUND(P485*3/Q485,2)</f>
        <v>4.25</v>
      </c>
      <c r="S485" s="97">
        <f t="shared" ref="S485:S486" si="298">ROUND(441.63/Q485,2)</f>
        <v>10.77</v>
      </c>
    </row>
    <row r="486" spans="1:19" ht="15.75" x14ac:dyDescent="0.25">
      <c r="A486" s="87">
        <v>360</v>
      </c>
      <c r="B486" s="45" t="s">
        <v>372</v>
      </c>
      <c r="C486" s="26" t="s">
        <v>288</v>
      </c>
      <c r="D486" s="103">
        <v>2210.63</v>
      </c>
      <c r="E486" s="103">
        <v>18.079999999999998</v>
      </c>
      <c r="F486" s="103">
        <v>532.22</v>
      </c>
      <c r="G486" s="103">
        <v>117.09</v>
      </c>
      <c r="H486" s="11">
        <v>175.99</v>
      </c>
      <c r="I486" s="5">
        <f>E486+F486+G486+H486+D486</f>
        <v>3054.01</v>
      </c>
      <c r="J486" s="103">
        <v>11.41</v>
      </c>
      <c r="K486" s="5">
        <f>I486+J486</f>
        <v>3065.42</v>
      </c>
      <c r="L486" s="5">
        <f>ROUND(K486*3%,2)</f>
        <v>91.96</v>
      </c>
      <c r="M486" s="15">
        <f>K486+L486</f>
        <v>3157.38</v>
      </c>
      <c r="N486" s="15">
        <f>ROUND(M486*20%,2)</f>
        <v>631.48</v>
      </c>
      <c r="O486" s="100">
        <f>M486+N486</f>
        <v>3788.86</v>
      </c>
      <c r="P486" s="75">
        <f t="shared" si="293"/>
        <v>63.15</v>
      </c>
      <c r="Q486" s="101">
        <f>60+1</f>
        <v>61</v>
      </c>
      <c r="R486" s="79">
        <f t="shared" ref="R486:R490" si="299">ROUND(P486*3/Q486,2)</f>
        <v>3.11</v>
      </c>
      <c r="S486" s="97">
        <f t="shared" si="298"/>
        <v>7.24</v>
      </c>
    </row>
    <row r="487" spans="1:19" ht="15.75" x14ac:dyDescent="0.25">
      <c r="A487" s="87">
        <v>361</v>
      </c>
      <c r="B487" s="45" t="s">
        <v>373</v>
      </c>
      <c r="C487" s="26" t="s">
        <v>374</v>
      </c>
      <c r="D487" s="103">
        <v>2427.87</v>
      </c>
      <c r="E487" s="3">
        <v>21</v>
      </c>
      <c r="F487" s="3">
        <v>580.29999999999995</v>
      </c>
      <c r="G487" s="3">
        <v>127.67</v>
      </c>
      <c r="H487" s="11">
        <v>195.01</v>
      </c>
      <c r="I487" s="5">
        <f t="shared" ref="I487" si="300">E487+F487+G487+H487+D487</f>
        <v>3351.85</v>
      </c>
      <c r="J487" s="103">
        <v>12.67</v>
      </c>
      <c r="K487" s="5">
        <f t="shared" si="295"/>
        <v>3364.52</v>
      </c>
      <c r="L487" s="5">
        <f t="shared" si="284"/>
        <v>100.94</v>
      </c>
      <c r="M487" s="15">
        <f t="shared" si="296"/>
        <v>3465.46</v>
      </c>
      <c r="N487" s="15">
        <f t="shared" si="285"/>
        <v>693.09</v>
      </c>
      <c r="O487" s="100">
        <f t="shared" si="297"/>
        <v>4158.55</v>
      </c>
      <c r="P487" s="75">
        <f t="shared" si="293"/>
        <v>69.31</v>
      </c>
      <c r="Q487" s="101">
        <f>127+2</f>
        <v>129</v>
      </c>
      <c r="R487" s="79">
        <f t="shared" si="299"/>
        <v>1.61</v>
      </c>
      <c r="S487" s="97">
        <f>ROUND(451.2/Q487,2)</f>
        <v>3.5</v>
      </c>
    </row>
    <row r="488" spans="1:19" ht="15.75" x14ac:dyDescent="0.25">
      <c r="A488" s="87">
        <v>362</v>
      </c>
      <c r="B488" s="45" t="s">
        <v>375</v>
      </c>
      <c r="C488" s="26" t="s">
        <v>376</v>
      </c>
      <c r="D488" s="103">
        <v>2210.63</v>
      </c>
      <c r="E488" s="103">
        <v>18.079999999999998</v>
      </c>
      <c r="F488" s="103">
        <v>532.22</v>
      </c>
      <c r="G488" s="103">
        <v>117.09</v>
      </c>
      <c r="H488" s="11">
        <v>175.99</v>
      </c>
      <c r="I488" s="5">
        <f>E488+F488+G488+H488+D488</f>
        <v>3054.01</v>
      </c>
      <c r="J488" s="103">
        <v>11.41</v>
      </c>
      <c r="K488" s="5">
        <f>I488+J488</f>
        <v>3065.42</v>
      </c>
      <c r="L488" s="5">
        <f>ROUND(K488*3%,2)</f>
        <v>91.96</v>
      </c>
      <c r="M488" s="15">
        <f>K488+L488</f>
        <v>3157.38</v>
      </c>
      <c r="N488" s="15">
        <f>ROUND(M488*20%,2)</f>
        <v>631.48</v>
      </c>
      <c r="O488" s="100">
        <f>M488+N488</f>
        <v>3788.86</v>
      </c>
      <c r="P488" s="75">
        <f t="shared" si="293"/>
        <v>63.15</v>
      </c>
      <c r="Q488" s="101">
        <f>74+1</f>
        <v>75</v>
      </c>
      <c r="R488" s="79">
        <f t="shared" si="299"/>
        <v>2.5299999999999998</v>
      </c>
      <c r="S488" s="97">
        <f>ROUND(441.63/Q488,2)</f>
        <v>5.89</v>
      </c>
    </row>
    <row r="489" spans="1:19" ht="15.75" x14ac:dyDescent="0.25">
      <c r="A489" s="87">
        <v>363</v>
      </c>
      <c r="B489" s="45" t="s">
        <v>377</v>
      </c>
      <c r="C489" s="26" t="s">
        <v>288</v>
      </c>
      <c r="D489" s="103">
        <v>2210.63</v>
      </c>
      <c r="E489" s="103">
        <v>18.079999999999998</v>
      </c>
      <c r="F489" s="103">
        <v>532.22</v>
      </c>
      <c r="G489" s="103">
        <v>117.09</v>
      </c>
      <c r="H489" s="11">
        <v>175.99</v>
      </c>
      <c r="I489" s="5">
        <f>E489+F489+G489+H489+D489</f>
        <v>3054.01</v>
      </c>
      <c r="J489" s="103">
        <v>11.41</v>
      </c>
      <c r="K489" s="5">
        <f>I489+J489</f>
        <v>3065.42</v>
      </c>
      <c r="L489" s="5">
        <f>ROUND(K489*3%,2)</f>
        <v>91.96</v>
      </c>
      <c r="M489" s="15">
        <f>K489+L489</f>
        <v>3157.38</v>
      </c>
      <c r="N489" s="15">
        <f>ROUND(M489*20%,2)</f>
        <v>631.48</v>
      </c>
      <c r="O489" s="100">
        <f>M489+N489</f>
        <v>3788.86</v>
      </c>
      <c r="P489" s="75">
        <f t="shared" si="293"/>
        <v>63.15</v>
      </c>
      <c r="Q489" s="101">
        <f>74+1</f>
        <v>75</v>
      </c>
      <c r="R489" s="79">
        <f t="shared" si="299"/>
        <v>2.5299999999999998</v>
      </c>
      <c r="S489" s="97">
        <f>ROUND(441.63/Q489,2)</f>
        <v>5.89</v>
      </c>
    </row>
    <row r="490" spans="1:19" ht="15.75" x14ac:dyDescent="0.25">
      <c r="A490" s="87">
        <v>364</v>
      </c>
      <c r="B490" s="45" t="s">
        <v>378</v>
      </c>
      <c r="C490" s="26" t="s">
        <v>265</v>
      </c>
      <c r="D490" s="103">
        <v>2210.63</v>
      </c>
      <c r="E490" s="103">
        <v>18.079999999999998</v>
      </c>
      <c r="F490" s="103">
        <v>532.22</v>
      </c>
      <c r="G490" s="103">
        <v>117.09</v>
      </c>
      <c r="H490" s="11">
        <v>175.99</v>
      </c>
      <c r="I490" s="5">
        <f>E490+F490+G490+H490+D490</f>
        <v>3054.01</v>
      </c>
      <c r="J490" s="103">
        <v>11.41</v>
      </c>
      <c r="K490" s="5">
        <f>I490+J490</f>
        <v>3065.42</v>
      </c>
      <c r="L490" s="5">
        <f>ROUND(K490*3%,2)</f>
        <v>91.96</v>
      </c>
      <c r="M490" s="15">
        <f>K490+L490</f>
        <v>3157.38</v>
      </c>
      <c r="N490" s="15">
        <f>ROUND(M490*20%,2)</f>
        <v>631.48</v>
      </c>
      <c r="O490" s="100">
        <f>M490+N490</f>
        <v>3788.86</v>
      </c>
      <c r="P490" s="75">
        <f t="shared" si="293"/>
        <v>63.15</v>
      </c>
      <c r="Q490" s="101">
        <v>101</v>
      </c>
      <c r="R490" s="79">
        <f t="shared" si="299"/>
        <v>1.88</v>
      </c>
      <c r="S490" s="97">
        <f>ROUND(469.47/Q490,2)</f>
        <v>4.6500000000000004</v>
      </c>
    </row>
    <row r="491" spans="1:19" ht="15.75" x14ac:dyDescent="0.25">
      <c r="A491" s="87">
        <v>365</v>
      </c>
      <c r="B491" s="45" t="s">
        <v>379</v>
      </c>
      <c r="C491" s="26" t="s">
        <v>380</v>
      </c>
      <c r="D491" s="103">
        <v>1962.25</v>
      </c>
      <c r="E491" s="103">
        <v>18.079999999999998</v>
      </c>
      <c r="F491" s="103">
        <v>532.22</v>
      </c>
      <c r="G491" s="103">
        <v>117.09</v>
      </c>
      <c r="H491" s="11">
        <v>175.99</v>
      </c>
      <c r="I491" s="5">
        <f>E491+F491+G491+H491+D491</f>
        <v>2805.63</v>
      </c>
      <c r="J491" s="103">
        <v>11.41</v>
      </c>
      <c r="K491" s="5">
        <f t="shared" si="295"/>
        <v>2817.04</v>
      </c>
      <c r="L491" s="5">
        <f t="shared" si="284"/>
        <v>84.51</v>
      </c>
      <c r="M491" s="15">
        <f t="shared" si="296"/>
        <v>2901.55</v>
      </c>
      <c r="N491" s="15">
        <f t="shared" si="285"/>
        <v>580.30999999999995</v>
      </c>
      <c r="O491" s="100">
        <f t="shared" si="297"/>
        <v>3481.86</v>
      </c>
      <c r="P491" s="75">
        <f t="shared" si="293"/>
        <v>58.03</v>
      </c>
      <c r="Q491" s="101">
        <f>59+1</f>
        <v>60</v>
      </c>
      <c r="R491" s="79">
        <f>ROUND(P491*3/Q491,2)</f>
        <v>2.9</v>
      </c>
      <c r="S491" s="97">
        <f>ROUND(441.63/Q491,2)</f>
        <v>7.36</v>
      </c>
    </row>
    <row r="492" spans="1:19" ht="15.75" x14ac:dyDescent="0.25">
      <c r="A492" s="87">
        <v>366</v>
      </c>
      <c r="B492" s="45" t="s">
        <v>381</v>
      </c>
      <c r="C492" s="26" t="s">
        <v>288</v>
      </c>
      <c r="D492" s="103">
        <v>2210.63</v>
      </c>
      <c r="E492" s="103">
        <v>18.079999999999998</v>
      </c>
      <c r="F492" s="103">
        <v>532.22</v>
      </c>
      <c r="G492" s="103">
        <v>117.09</v>
      </c>
      <c r="H492" s="11">
        <v>175.99</v>
      </c>
      <c r="I492" s="5">
        <f>E492+F492+G492+H492+D492</f>
        <v>3054.01</v>
      </c>
      <c r="J492" s="103">
        <v>11.41</v>
      </c>
      <c r="K492" s="5">
        <f>I492+J492</f>
        <v>3065.42</v>
      </c>
      <c r="L492" s="5">
        <f>ROUND(K492*3%,2)</f>
        <v>91.96</v>
      </c>
      <c r="M492" s="15">
        <f>K492+L492</f>
        <v>3157.38</v>
      </c>
      <c r="N492" s="15">
        <f>ROUND(M492*20%,2)</f>
        <v>631.48</v>
      </c>
      <c r="O492" s="100">
        <f>M492+N492</f>
        <v>3788.86</v>
      </c>
      <c r="P492" s="75">
        <f t="shared" si="293"/>
        <v>63.15</v>
      </c>
      <c r="Q492" s="101">
        <f>57+3</f>
        <v>60</v>
      </c>
      <c r="R492" s="79">
        <f t="shared" ref="R492" si="301">ROUND(P492*3/Q492,2)</f>
        <v>3.16</v>
      </c>
      <c r="S492" s="97">
        <f>ROUND(441.63/Q492,2)</f>
        <v>7.36</v>
      </c>
    </row>
    <row r="493" spans="1:19" ht="15.75" x14ac:dyDescent="0.25">
      <c r="A493" s="87">
        <v>367</v>
      </c>
      <c r="B493" s="45" t="s">
        <v>382</v>
      </c>
      <c r="C493" s="26" t="s">
        <v>383</v>
      </c>
      <c r="D493" s="103">
        <v>2427.87</v>
      </c>
      <c r="E493" s="3">
        <v>21</v>
      </c>
      <c r="F493" s="3">
        <v>580.29999999999995</v>
      </c>
      <c r="G493" s="3">
        <v>127.67</v>
      </c>
      <c r="H493" s="11">
        <v>195.01</v>
      </c>
      <c r="I493" s="5">
        <f t="shared" ref="I493" si="302">E493+F493+G493+H493+D493</f>
        <v>3351.85</v>
      </c>
      <c r="J493" s="103">
        <v>12.67</v>
      </c>
      <c r="K493" s="5">
        <f t="shared" ref="K493" si="303">I493+J493</f>
        <v>3364.52</v>
      </c>
      <c r="L493" s="5">
        <f t="shared" ref="L493" si="304">ROUND(K493*3%,2)</f>
        <v>100.94</v>
      </c>
      <c r="M493" s="15">
        <f t="shared" ref="M493" si="305">K493+L493</f>
        <v>3465.46</v>
      </c>
      <c r="N493" s="15">
        <f t="shared" ref="N493" si="306">ROUND(M493*20%,2)</f>
        <v>693.09</v>
      </c>
      <c r="O493" s="100">
        <f t="shared" ref="O493" si="307">M493+N493</f>
        <v>4158.55</v>
      </c>
      <c r="P493" s="75">
        <f t="shared" si="293"/>
        <v>69.31</v>
      </c>
      <c r="Q493" s="101">
        <f>92+13</f>
        <v>105</v>
      </c>
      <c r="R493" s="79">
        <f>ROUND(P493*3/Q493,2)</f>
        <v>1.98</v>
      </c>
      <c r="S493" s="97">
        <f>ROUND(451.2/Q493,2)</f>
        <v>4.3</v>
      </c>
    </row>
    <row r="494" spans="1:19" ht="15.75" x14ac:dyDescent="0.25">
      <c r="A494" s="87">
        <v>368</v>
      </c>
      <c r="B494" s="45" t="s">
        <v>384</v>
      </c>
      <c r="C494" s="26" t="s">
        <v>288</v>
      </c>
      <c r="D494" s="103">
        <v>2210.63</v>
      </c>
      <c r="E494" s="103">
        <v>18.079999999999998</v>
      </c>
      <c r="F494" s="103">
        <v>532.22</v>
      </c>
      <c r="G494" s="103">
        <v>117.09</v>
      </c>
      <c r="H494" s="11">
        <v>175.99</v>
      </c>
      <c r="I494" s="5">
        <f>E494+F494+G494+H494+D494</f>
        <v>3054.01</v>
      </c>
      <c r="J494" s="103">
        <v>11.41</v>
      </c>
      <c r="K494" s="5">
        <f>I494+J494</f>
        <v>3065.42</v>
      </c>
      <c r="L494" s="5">
        <f>ROUND(K494*3%,2)</f>
        <v>91.96</v>
      </c>
      <c r="M494" s="15">
        <f>K494+L494</f>
        <v>3157.38</v>
      </c>
      <c r="N494" s="15">
        <f>ROUND(M494*20%,2)</f>
        <v>631.48</v>
      </c>
      <c r="O494" s="100">
        <f>M494+N494</f>
        <v>3788.86</v>
      </c>
      <c r="P494" s="75">
        <f t="shared" si="293"/>
        <v>63.15</v>
      </c>
      <c r="Q494" s="101">
        <f>81+2</f>
        <v>83</v>
      </c>
      <c r="R494" s="79">
        <f t="shared" ref="R494:R495" si="308">ROUND(P494*3/Q494,2)</f>
        <v>2.2799999999999998</v>
      </c>
      <c r="S494" s="97">
        <f>ROUND(441.63/Q494,2)</f>
        <v>5.32</v>
      </c>
    </row>
    <row r="495" spans="1:19" ht="15.75" customHeight="1" x14ac:dyDescent="0.25">
      <c r="A495" s="220">
        <v>369</v>
      </c>
      <c r="B495" s="237" t="s">
        <v>385</v>
      </c>
      <c r="C495" s="42" t="s">
        <v>386</v>
      </c>
      <c r="D495" s="190">
        <f>1962.25+2210.63</f>
        <v>4172.88</v>
      </c>
      <c r="E495" s="190">
        <f>18.08+18.08</f>
        <v>36.159999999999997</v>
      </c>
      <c r="F495" s="190">
        <f>532.22+532.22</f>
        <v>1064.44</v>
      </c>
      <c r="G495" s="222">
        <f>117.09+117.09</f>
        <v>234.18</v>
      </c>
      <c r="H495" s="167">
        <f>175.99+175.99</f>
        <v>351.98</v>
      </c>
      <c r="I495" s="248">
        <f>E495+F495+G495+H495+D495</f>
        <v>5859.64</v>
      </c>
      <c r="J495" s="250">
        <f>11.41+11.41</f>
        <v>22.82</v>
      </c>
      <c r="K495" s="173">
        <f t="shared" si="295"/>
        <v>5882.46</v>
      </c>
      <c r="L495" s="173">
        <f t="shared" si="284"/>
        <v>176.47</v>
      </c>
      <c r="M495" s="173">
        <f t="shared" si="296"/>
        <v>6058.93</v>
      </c>
      <c r="N495" s="173">
        <f t="shared" si="285"/>
        <v>1211.79</v>
      </c>
      <c r="O495" s="178">
        <f t="shared" si="297"/>
        <v>7270.72</v>
      </c>
      <c r="P495" s="173">
        <f>ROUND(O495/5/12,2)</f>
        <v>121.18</v>
      </c>
      <c r="Q495" s="246">
        <f>117+32+10</f>
        <v>159</v>
      </c>
      <c r="R495" s="182">
        <f t="shared" si="308"/>
        <v>2.29</v>
      </c>
      <c r="S495" s="184">
        <f>ROUND(469.47*2/Q495,2)</f>
        <v>5.91</v>
      </c>
    </row>
    <row r="496" spans="1:19" ht="15.75" customHeight="1" x14ac:dyDescent="0.25">
      <c r="A496" s="223"/>
      <c r="B496" s="237"/>
      <c r="C496" s="30" t="s">
        <v>295</v>
      </c>
      <c r="D496" s="177"/>
      <c r="E496" s="199"/>
      <c r="F496" s="199"/>
      <c r="G496" s="197"/>
      <c r="H496" s="168">
        <f>ROUND((E496+F496+G496)*11.7%,2)</f>
        <v>0</v>
      </c>
      <c r="I496" s="249">
        <f t="shared" ref="I496" si="309">E496+F496+G496+H496</f>
        <v>0</v>
      </c>
      <c r="J496" s="251">
        <f t="shared" si="292"/>
        <v>0</v>
      </c>
      <c r="K496" s="174">
        <f t="shared" si="295"/>
        <v>0</v>
      </c>
      <c r="L496" s="174">
        <f t="shared" si="284"/>
        <v>0</v>
      </c>
      <c r="M496" s="174">
        <f t="shared" si="296"/>
        <v>0</v>
      </c>
      <c r="N496" s="174">
        <f t="shared" si="285"/>
        <v>0</v>
      </c>
      <c r="O496" s="179"/>
      <c r="P496" s="174"/>
      <c r="Q496" s="247"/>
      <c r="R496" s="183"/>
      <c r="S496" s="184"/>
    </row>
    <row r="497" spans="1:19" ht="21" customHeight="1" x14ac:dyDescent="0.25">
      <c r="A497" s="87">
        <v>370</v>
      </c>
      <c r="B497" s="45" t="s">
        <v>387</v>
      </c>
      <c r="C497" s="26" t="s">
        <v>261</v>
      </c>
      <c r="D497" s="103">
        <v>1962.25</v>
      </c>
      <c r="E497" s="103">
        <v>18.079999999999998</v>
      </c>
      <c r="F497" s="103">
        <v>532.22</v>
      </c>
      <c r="G497" s="103">
        <v>117.09</v>
      </c>
      <c r="H497" s="11">
        <v>175.99</v>
      </c>
      <c r="I497" s="5">
        <f>E497+F497+G497+H497+D497</f>
        <v>2805.63</v>
      </c>
      <c r="J497" s="103">
        <v>11.41</v>
      </c>
      <c r="K497" s="5">
        <f t="shared" si="295"/>
        <v>2817.04</v>
      </c>
      <c r="L497" s="5">
        <f t="shared" si="284"/>
        <v>84.51</v>
      </c>
      <c r="M497" s="15">
        <f t="shared" si="296"/>
        <v>2901.55</v>
      </c>
      <c r="N497" s="15">
        <f t="shared" si="285"/>
        <v>580.30999999999995</v>
      </c>
      <c r="O497" s="100">
        <f t="shared" ref="O497:O509" si="310">M497+N497</f>
        <v>3481.86</v>
      </c>
      <c r="P497" s="75">
        <f t="shared" ref="P497:P508" si="311">ROUND(O497/5/12,2)</f>
        <v>58.03</v>
      </c>
      <c r="Q497" s="101">
        <f>31+1</f>
        <v>32</v>
      </c>
      <c r="R497" s="79">
        <f>ROUND(P497*3/Q497,2)</f>
        <v>5.44</v>
      </c>
      <c r="S497" s="97">
        <f>ROUND(441.63/Q497,2)</f>
        <v>13.8</v>
      </c>
    </row>
    <row r="498" spans="1:19" ht="21" customHeight="1" x14ac:dyDescent="0.25">
      <c r="A498" s="87">
        <v>371</v>
      </c>
      <c r="B498" s="45" t="s">
        <v>388</v>
      </c>
      <c r="C498" s="26" t="s">
        <v>383</v>
      </c>
      <c r="D498" s="103">
        <v>2427.87</v>
      </c>
      <c r="E498" s="3">
        <v>21</v>
      </c>
      <c r="F498" s="3">
        <v>580.29999999999995</v>
      </c>
      <c r="G498" s="3">
        <v>127.67</v>
      </c>
      <c r="H498" s="11">
        <v>195.01</v>
      </c>
      <c r="I498" s="5">
        <f t="shared" ref="I498:I502" si="312">E498+F498+G498+H498+D498</f>
        <v>3351.85</v>
      </c>
      <c r="J498" s="103">
        <v>12.67</v>
      </c>
      <c r="K498" s="5">
        <f t="shared" si="295"/>
        <v>3364.52</v>
      </c>
      <c r="L498" s="5">
        <f t="shared" si="284"/>
        <v>100.94</v>
      </c>
      <c r="M498" s="15">
        <f t="shared" si="296"/>
        <v>3465.46</v>
      </c>
      <c r="N498" s="15">
        <f t="shared" si="285"/>
        <v>693.09</v>
      </c>
      <c r="O498" s="100">
        <f t="shared" si="310"/>
        <v>4158.55</v>
      </c>
      <c r="P498" s="75">
        <f t="shared" si="311"/>
        <v>69.31</v>
      </c>
      <c r="Q498" s="101">
        <v>78</v>
      </c>
      <c r="R498" s="79">
        <f>ROUND(P498*3/Q498,2)</f>
        <v>2.67</v>
      </c>
      <c r="S498" s="97">
        <f>ROUND(451.2/Q498,2)</f>
        <v>5.78</v>
      </c>
    </row>
    <row r="499" spans="1:19" ht="21" customHeight="1" x14ac:dyDescent="0.25">
      <c r="A499" s="87">
        <v>372</v>
      </c>
      <c r="B499" s="45" t="s">
        <v>389</v>
      </c>
      <c r="C499" s="26" t="s">
        <v>390</v>
      </c>
      <c r="D499" s="103">
        <v>1475.88</v>
      </c>
      <c r="E499" s="103">
        <v>18.079999999999998</v>
      </c>
      <c r="F499" s="103">
        <v>532.22</v>
      </c>
      <c r="G499" s="103">
        <v>117.09</v>
      </c>
      <c r="H499" s="11">
        <v>175.99</v>
      </c>
      <c r="I499" s="5">
        <f t="shared" si="312"/>
        <v>2319.2600000000002</v>
      </c>
      <c r="J499" s="103">
        <v>11.41</v>
      </c>
      <c r="K499" s="5">
        <f t="shared" si="295"/>
        <v>2330.67</v>
      </c>
      <c r="L499" s="5">
        <f t="shared" si="284"/>
        <v>69.92</v>
      </c>
      <c r="M499" s="15">
        <f t="shared" si="296"/>
        <v>2400.59</v>
      </c>
      <c r="N499" s="15">
        <f t="shared" si="285"/>
        <v>480.12</v>
      </c>
      <c r="O499" s="100">
        <f t="shared" si="310"/>
        <v>2880.71</v>
      </c>
      <c r="P499" s="75">
        <f t="shared" si="311"/>
        <v>48.01</v>
      </c>
      <c r="Q499" s="101">
        <f>8+4</f>
        <v>12</v>
      </c>
      <c r="R499" s="79">
        <f>ROUND(P499*3/Q499,2)</f>
        <v>12</v>
      </c>
      <c r="S499" s="97">
        <f>ROUND(441.63/Q499,2)</f>
        <v>36.799999999999997</v>
      </c>
    </row>
    <row r="500" spans="1:19" ht="24.75" customHeight="1" x14ac:dyDescent="0.25">
      <c r="A500" s="87">
        <v>373</v>
      </c>
      <c r="B500" s="45" t="s">
        <v>391</v>
      </c>
      <c r="C500" s="26" t="s">
        <v>261</v>
      </c>
      <c r="D500" s="103">
        <v>1962.25</v>
      </c>
      <c r="E500" s="103">
        <v>18.079999999999998</v>
      </c>
      <c r="F500" s="103">
        <v>532.22</v>
      </c>
      <c r="G500" s="103">
        <v>117.09</v>
      </c>
      <c r="H500" s="11">
        <v>175.99</v>
      </c>
      <c r="I500" s="5">
        <f>E500+F500+G500+H500+D500</f>
        <v>2805.63</v>
      </c>
      <c r="J500" s="103">
        <v>11.41</v>
      </c>
      <c r="K500" s="5">
        <f t="shared" si="295"/>
        <v>2817.04</v>
      </c>
      <c r="L500" s="5">
        <f t="shared" si="284"/>
        <v>84.51</v>
      </c>
      <c r="M500" s="15">
        <f t="shared" si="296"/>
        <v>2901.55</v>
      </c>
      <c r="N500" s="15">
        <f t="shared" si="285"/>
        <v>580.30999999999995</v>
      </c>
      <c r="O500" s="100">
        <f t="shared" si="310"/>
        <v>3481.86</v>
      </c>
      <c r="P500" s="75">
        <f t="shared" si="311"/>
        <v>58.03</v>
      </c>
      <c r="Q500" s="101">
        <f>25+7</f>
        <v>32</v>
      </c>
      <c r="R500" s="79">
        <f>ROUND(P500*3/Q500,2)</f>
        <v>5.44</v>
      </c>
      <c r="S500" s="97">
        <f t="shared" ref="S500:S501" si="313">ROUND(441.63/Q500,2)</f>
        <v>13.8</v>
      </c>
    </row>
    <row r="501" spans="1:19" ht="24.75" customHeight="1" x14ac:dyDescent="0.25">
      <c r="A501" s="87">
        <v>374</v>
      </c>
      <c r="B501" s="45" t="s">
        <v>392</v>
      </c>
      <c r="C501" s="26" t="s">
        <v>288</v>
      </c>
      <c r="D501" s="103">
        <v>2210.63</v>
      </c>
      <c r="E501" s="103">
        <v>18.079999999999998</v>
      </c>
      <c r="F501" s="103">
        <v>532.22</v>
      </c>
      <c r="G501" s="103">
        <v>117.09</v>
      </c>
      <c r="H501" s="11">
        <v>175.99</v>
      </c>
      <c r="I501" s="5">
        <f>E501+F501+G501+H501+D501</f>
        <v>3054.01</v>
      </c>
      <c r="J501" s="103">
        <v>11.41</v>
      </c>
      <c r="K501" s="5">
        <f>I501+J501</f>
        <v>3065.42</v>
      </c>
      <c r="L501" s="5">
        <f>ROUND(K501*3%,2)</f>
        <v>91.96</v>
      </c>
      <c r="M501" s="15">
        <f>K501+L501</f>
        <v>3157.38</v>
      </c>
      <c r="N501" s="15">
        <f>ROUND(M501*20%,2)</f>
        <v>631.48</v>
      </c>
      <c r="O501" s="100">
        <f>M501+N501</f>
        <v>3788.86</v>
      </c>
      <c r="P501" s="75">
        <f t="shared" si="311"/>
        <v>63.15</v>
      </c>
      <c r="Q501" s="101">
        <f>24+9</f>
        <v>33</v>
      </c>
      <c r="R501" s="79">
        <f t="shared" ref="R501:R502" si="314">ROUND(P501*3/Q501,2)</f>
        <v>5.74</v>
      </c>
      <c r="S501" s="97">
        <f t="shared" si="313"/>
        <v>13.38</v>
      </c>
    </row>
    <row r="502" spans="1:19" ht="24.75" customHeight="1" x14ac:dyDescent="0.25">
      <c r="A502" s="87">
        <v>375</v>
      </c>
      <c r="B502" s="45" t="s">
        <v>393</v>
      </c>
      <c r="C502" s="26" t="s">
        <v>340</v>
      </c>
      <c r="D502" s="103">
        <v>2639</v>
      </c>
      <c r="E502" s="3">
        <v>21</v>
      </c>
      <c r="F502" s="3">
        <v>580.29999999999995</v>
      </c>
      <c r="G502" s="3">
        <v>127.67</v>
      </c>
      <c r="H502" s="11">
        <v>195.01</v>
      </c>
      <c r="I502" s="5">
        <f t="shared" si="312"/>
        <v>3562.98</v>
      </c>
      <c r="J502" s="103">
        <v>12.67</v>
      </c>
      <c r="K502" s="5">
        <f t="shared" si="295"/>
        <v>3575.65</v>
      </c>
      <c r="L502" s="5">
        <f t="shared" si="284"/>
        <v>107.27</v>
      </c>
      <c r="M502" s="15">
        <f t="shared" si="296"/>
        <v>3682.92</v>
      </c>
      <c r="N502" s="15">
        <f t="shared" si="285"/>
        <v>736.58</v>
      </c>
      <c r="O502" s="100">
        <f t="shared" si="310"/>
        <v>4419.5</v>
      </c>
      <c r="P502" s="75">
        <f t="shared" si="311"/>
        <v>73.66</v>
      </c>
      <c r="Q502" s="101">
        <f>29+5</f>
        <v>34</v>
      </c>
      <c r="R502" s="79">
        <f t="shared" si="314"/>
        <v>6.5</v>
      </c>
      <c r="S502" s="48">
        <f>ROUND(452.88/Q502,2)</f>
        <v>13.32</v>
      </c>
    </row>
    <row r="503" spans="1:19" ht="24.75" customHeight="1" x14ac:dyDescent="0.25">
      <c r="A503" s="87">
        <v>376</v>
      </c>
      <c r="B503" s="45" t="s">
        <v>394</v>
      </c>
      <c r="C503" s="26" t="s">
        <v>288</v>
      </c>
      <c r="D503" s="103">
        <v>2210.63</v>
      </c>
      <c r="E503" s="103">
        <v>18.079999999999998</v>
      </c>
      <c r="F503" s="103">
        <v>532.22</v>
      </c>
      <c r="G503" s="103">
        <v>117.09</v>
      </c>
      <c r="H503" s="11">
        <v>175.99</v>
      </c>
      <c r="I503" s="5">
        <f>E503+F503+G503+H503+D503</f>
        <v>3054.01</v>
      </c>
      <c r="J503" s="103">
        <v>11.41</v>
      </c>
      <c r="K503" s="5">
        <f>I503+J503</f>
        <v>3065.42</v>
      </c>
      <c r="L503" s="5">
        <f>ROUND(K503*3%,2)</f>
        <v>91.96</v>
      </c>
      <c r="M503" s="15">
        <f>K503+L503</f>
        <v>3157.38</v>
      </c>
      <c r="N503" s="15">
        <f>ROUND(M503*20%,2)</f>
        <v>631.48</v>
      </c>
      <c r="O503" s="100">
        <f>M503+N503</f>
        <v>3788.86</v>
      </c>
      <c r="P503" s="75">
        <f t="shared" si="311"/>
        <v>63.15</v>
      </c>
      <c r="Q503" s="101">
        <v>30</v>
      </c>
      <c r="R503" s="79">
        <f>ROUND(P503*3/Q503,2)-0.01</f>
        <v>6.3100000000000005</v>
      </c>
      <c r="S503" s="97">
        <f t="shared" ref="S503:S505" si="315">ROUND(441.63/Q503,2)</f>
        <v>14.72</v>
      </c>
    </row>
    <row r="504" spans="1:19" ht="24.75" customHeight="1" x14ac:dyDescent="0.25">
      <c r="A504" s="87">
        <v>377</v>
      </c>
      <c r="B504" s="45" t="s">
        <v>395</v>
      </c>
      <c r="C504" s="26" t="s">
        <v>288</v>
      </c>
      <c r="D504" s="103">
        <v>2210.63</v>
      </c>
      <c r="E504" s="103">
        <v>18.079999999999998</v>
      </c>
      <c r="F504" s="103">
        <v>532.22</v>
      </c>
      <c r="G504" s="103">
        <v>117.09</v>
      </c>
      <c r="H504" s="11">
        <v>175.99</v>
      </c>
      <c r="I504" s="5">
        <f>E504+F504+G504+H504+D504</f>
        <v>3054.01</v>
      </c>
      <c r="J504" s="103">
        <v>11.41</v>
      </c>
      <c r="K504" s="5">
        <f>I504+J504</f>
        <v>3065.42</v>
      </c>
      <c r="L504" s="5">
        <f>ROUND(K504*3%,2)</f>
        <v>91.96</v>
      </c>
      <c r="M504" s="15">
        <f>K504+L504</f>
        <v>3157.38</v>
      </c>
      <c r="N504" s="15">
        <f>ROUND(M504*20%,2)</f>
        <v>631.48</v>
      </c>
      <c r="O504" s="100">
        <f>M504+N504</f>
        <v>3788.86</v>
      </c>
      <c r="P504" s="75">
        <f t="shared" si="311"/>
        <v>63.15</v>
      </c>
      <c r="Q504" s="101">
        <v>108</v>
      </c>
      <c r="R504" s="79">
        <f t="shared" ref="R504" si="316">ROUND(P504*3/Q504,2)</f>
        <v>1.75</v>
      </c>
      <c r="S504" s="97">
        <f t="shared" si="315"/>
        <v>4.09</v>
      </c>
    </row>
    <row r="505" spans="1:19" ht="24.75" customHeight="1" x14ac:dyDescent="0.25">
      <c r="A505" s="87">
        <v>378</v>
      </c>
      <c r="B505" s="45" t="s">
        <v>396</v>
      </c>
      <c r="C505" s="26" t="s">
        <v>261</v>
      </c>
      <c r="D505" s="103">
        <v>1962.25</v>
      </c>
      <c r="E505" s="103">
        <v>18.079999999999998</v>
      </c>
      <c r="F505" s="103">
        <v>532.22</v>
      </c>
      <c r="G505" s="103">
        <v>117.09</v>
      </c>
      <c r="H505" s="11">
        <v>175.99</v>
      </c>
      <c r="I505" s="5">
        <f>E505+F505+G505+H505+D505</f>
        <v>2805.63</v>
      </c>
      <c r="J505" s="103">
        <v>11.41</v>
      </c>
      <c r="K505" s="5">
        <f t="shared" si="295"/>
        <v>2817.04</v>
      </c>
      <c r="L505" s="5">
        <f t="shared" si="284"/>
        <v>84.51</v>
      </c>
      <c r="M505" s="15">
        <f t="shared" si="296"/>
        <v>2901.55</v>
      </c>
      <c r="N505" s="15">
        <f t="shared" si="285"/>
        <v>580.30999999999995</v>
      </c>
      <c r="O505" s="100">
        <f t="shared" si="310"/>
        <v>3481.86</v>
      </c>
      <c r="P505" s="75">
        <f t="shared" si="311"/>
        <v>58.03</v>
      </c>
      <c r="Q505" s="101">
        <f>30+3</f>
        <v>33</v>
      </c>
      <c r="R505" s="79">
        <f>ROUND(P505*3/Q505,2)</f>
        <v>5.28</v>
      </c>
      <c r="S505" s="97">
        <f t="shared" si="315"/>
        <v>13.38</v>
      </c>
    </row>
    <row r="506" spans="1:19" ht="24.75" customHeight="1" x14ac:dyDescent="0.25">
      <c r="A506" s="87">
        <v>379</v>
      </c>
      <c r="B506" s="45" t="s">
        <v>397</v>
      </c>
      <c r="C506" s="26" t="s">
        <v>374</v>
      </c>
      <c r="D506" s="103">
        <v>2427.87</v>
      </c>
      <c r="E506" s="3">
        <v>21</v>
      </c>
      <c r="F506" s="3">
        <v>580.29999999999995</v>
      </c>
      <c r="G506" s="3">
        <v>127.67</v>
      </c>
      <c r="H506" s="11">
        <v>195.01</v>
      </c>
      <c r="I506" s="5">
        <f t="shared" ref="I506" si="317">E506+F506+G506+H506+D506</f>
        <v>3351.85</v>
      </c>
      <c r="J506" s="103">
        <v>12.67</v>
      </c>
      <c r="K506" s="5">
        <f t="shared" si="295"/>
        <v>3364.52</v>
      </c>
      <c r="L506" s="5">
        <f t="shared" si="284"/>
        <v>100.94</v>
      </c>
      <c r="M506" s="15">
        <f t="shared" si="296"/>
        <v>3465.46</v>
      </c>
      <c r="N506" s="15">
        <f t="shared" si="285"/>
        <v>693.09</v>
      </c>
      <c r="O506" s="100">
        <f t="shared" si="310"/>
        <v>4158.55</v>
      </c>
      <c r="P506" s="75">
        <f t="shared" si="311"/>
        <v>69.31</v>
      </c>
      <c r="Q506" s="101">
        <v>72</v>
      </c>
      <c r="R506" s="79">
        <f>ROUND(P506*3/Q506,2)</f>
        <v>2.89</v>
      </c>
      <c r="S506" s="97">
        <f>ROUND(451.2/Q506,2)</f>
        <v>6.27</v>
      </c>
    </row>
    <row r="507" spans="1:19" ht="24.75" customHeight="1" x14ac:dyDescent="0.25">
      <c r="A507" s="87">
        <v>380</v>
      </c>
      <c r="B507" s="45" t="s">
        <v>398</v>
      </c>
      <c r="C507" s="26" t="s">
        <v>288</v>
      </c>
      <c r="D507" s="103">
        <v>2210.63</v>
      </c>
      <c r="E507" s="103">
        <v>18.079999999999998</v>
      </c>
      <c r="F507" s="103">
        <v>532.22</v>
      </c>
      <c r="G507" s="103">
        <v>117.09</v>
      </c>
      <c r="H507" s="11">
        <v>175.99</v>
      </c>
      <c r="I507" s="5">
        <f>E507+F507+G507+H507+D507</f>
        <v>3054.01</v>
      </c>
      <c r="J507" s="103">
        <v>11.41</v>
      </c>
      <c r="K507" s="5">
        <f>I507+J507</f>
        <v>3065.42</v>
      </c>
      <c r="L507" s="5">
        <f>ROUND(K507*3%,2)</f>
        <v>91.96</v>
      </c>
      <c r="M507" s="15">
        <f>K507+L507</f>
        <v>3157.38</v>
      </c>
      <c r="N507" s="15">
        <f>ROUND(M507*20%,2)</f>
        <v>631.48</v>
      </c>
      <c r="O507" s="100">
        <f>M507+N507</f>
        <v>3788.86</v>
      </c>
      <c r="P507" s="75">
        <f t="shared" si="311"/>
        <v>63.15</v>
      </c>
      <c r="Q507" s="101">
        <v>75</v>
      </c>
      <c r="R507" s="79">
        <f t="shared" ref="R507:R509" si="318">ROUND(P507*3/Q507,2)</f>
        <v>2.5299999999999998</v>
      </c>
      <c r="S507" s="97">
        <f t="shared" ref="S507:S508" si="319">ROUND(441.63/Q507,2)</f>
        <v>5.89</v>
      </c>
    </row>
    <row r="508" spans="1:19" ht="24.75" customHeight="1" x14ac:dyDescent="0.25">
      <c r="A508" s="87">
        <v>381</v>
      </c>
      <c r="B508" s="45" t="s">
        <v>399</v>
      </c>
      <c r="C508" s="26" t="s">
        <v>288</v>
      </c>
      <c r="D508" s="103">
        <v>2210.63</v>
      </c>
      <c r="E508" s="103">
        <v>18.079999999999998</v>
      </c>
      <c r="F508" s="103">
        <v>532.22</v>
      </c>
      <c r="G508" s="103">
        <v>117.09</v>
      </c>
      <c r="H508" s="11">
        <v>175.99</v>
      </c>
      <c r="I508" s="5">
        <f>E508+F508+G508+H508+D508</f>
        <v>3054.01</v>
      </c>
      <c r="J508" s="103">
        <v>11.41</v>
      </c>
      <c r="K508" s="5">
        <f>I508+J508</f>
        <v>3065.42</v>
      </c>
      <c r="L508" s="5">
        <f>ROUND(K508*3%,2)</f>
        <v>91.96</v>
      </c>
      <c r="M508" s="15">
        <f>K508+L508</f>
        <v>3157.38</v>
      </c>
      <c r="N508" s="15">
        <f>ROUND(M508*20%,2)</f>
        <v>631.48</v>
      </c>
      <c r="O508" s="100">
        <f>M508+N508</f>
        <v>3788.86</v>
      </c>
      <c r="P508" s="75">
        <f t="shared" si="311"/>
        <v>63.15</v>
      </c>
      <c r="Q508" s="101">
        <f>70+1</f>
        <v>71</v>
      </c>
      <c r="R508" s="79">
        <f t="shared" si="318"/>
        <v>2.67</v>
      </c>
      <c r="S508" s="97">
        <f t="shared" si="319"/>
        <v>6.22</v>
      </c>
    </row>
    <row r="509" spans="1:19" ht="15.75" customHeight="1" x14ac:dyDescent="0.25">
      <c r="A509" s="232">
        <v>382</v>
      </c>
      <c r="B509" s="215" t="s">
        <v>818</v>
      </c>
      <c r="C509" s="27" t="s">
        <v>400</v>
      </c>
      <c r="D509" s="175">
        <f>1962.25*2+2639</f>
        <v>6563.5</v>
      </c>
      <c r="E509" s="190">
        <f>18.08*2+21</f>
        <v>57.16</v>
      </c>
      <c r="F509" s="190">
        <f>532.22*2+580.3</f>
        <v>1644.74</v>
      </c>
      <c r="G509" s="190">
        <f>117.09*2+127.67</f>
        <v>361.85</v>
      </c>
      <c r="H509" s="167">
        <f>175.99*2+195.01</f>
        <v>546.99</v>
      </c>
      <c r="I509" s="169">
        <f>E509+F509+G509+H509+D509</f>
        <v>9174.24</v>
      </c>
      <c r="J509" s="167">
        <f>11.41*2+12.67</f>
        <v>35.49</v>
      </c>
      <c r="K509" s="169">
        <f t="shared" si="295"/>
        <v>9209.73</v>
      </c>
      <c r="L509" s="169">
        <f t="shared" si="284"/>
        <v>276.29000000000002</v>
      </c>
      <c r="M509" s="173">
        <f t="shared" si="296"/>
        <v>9486.02</v>
      </c>
      <c r="N509" s="173">
        <f t="shared" si="285"/>
        <v>1897.2</v>
      </c>
      <c r="O509" s="178">
        <f t="shared" si="310"/>
        <v>11383.220000000001</v>
      </c>
      <c r="P509" s="173">
        <f>ROUND(O509/5/12,2)</f>
        <v>189.72</v>
      </c>
      <c r="Q509" s="180">
        <f>180+35+36+2</f>
        <v>253</v>
      </c>
      <c r="R509" s="182">
        <f t="shared" si="318"/>
        <v>2.25</v>
      </c>
      <c r="S509" s="184">
        <f>ROUND((441.63*2+452.88)/Q509,2)</f>
        <v>5.28</v>
      </c>
    </row>
    <row r="510" spans="1:19" ht="15.75" customHeight="1" x14ac:dyDescent="0.25">
      <c r="A510" s="232"/>
      <c r="B510" s="218"/>
      <c r="C510" s="29" t="s">
        <v>401</v>
      </c>
      <c r="D510" s="176"/>
      <c r="E510" s="200"/>
      <c r="F510" s="200"/>
      <c r="G510" s="200"/>
      <c r="H510" s="171">
        <f>ROUND((E510+F510+G510)*11.7%,2)</f>
        <v>0</v>
      </c>
      <c r="I510" s="172"/>
      <c r="J510" s="171">
        <f t="shared" si="292"/>
        <v>0</v>
      </c>
      <c r="K510" s="172"/>
      <c r="L510" s="172">
        <f t="shared" si="284"/>
        <v>0</v>
      </c>
      <c r="M510" s="191"/>
      <c r="N510" s="191">
        <f t="shared" si="285"/>
        <v>0</v>
      </c>
      <c r="O510" s="187"/>
      <c r="P510" s="191"/>
      <c r="Q510" s="188"/>
      <c r="R510" s="189"/>
      <c r="S510" s="184"/>
    </row>
    <row r="511" spans="1:19" ht="15.75" customHeight="1" x14ac:dyDescent="0.25">
      <c r="A511" s="232"/>
      <c r="B511" s="216"/>
      <c r="C511" s="30" t="s">
        <v>401</v>
      </c>
      <c r="D511" s="177"/>
      <c r="E511" s="199"/>
      <c r="F511" s="199"/>
      <c r="G511" s="199"/>
      <c r="H511" s="168">
        <f>ROUND((E511+F511+G511)*11.7%,2)</f>
        <v>0</v>
      </c>
      <c r="I511" s="170"/>
      <c r="J511" s="168">
        <f t="shared" si="292"/>
        <v>0</v>
      </c>
      <c r="K511" s="170"/>
      <c r="L511" s="170">
        <f t="shared" si="284"/>
        <v>0</v>
      </c>
      <c r="M511" s="174"/>
      <c r="N511" s="174">
        <f t="shared" si="285"/>
        <v>0</v>
      </c>
      <c r="O511" s="179"/>
      <c r="P511" s="174"/>
      <c r="Q511" s="181"/>
      <c r="R511" s="183"/>
      <c r="S511" s="184"/>
    </row>
    <row r="512" spans="1:19" ht="19.5" customHeight="1" x14ac:dyDescent="0.25">
      <c r="A512" s="87">
        <v>383</v>
      </c>
      <c r="B512" s="98" t="s">
        <v>692</v>
      </c>
      <c r="C512" s="26" t="s">
        <v>340</v>
      </c>
      <c r="D512" s="103">
        <v>2639</v>
      </c>
      <c r="E512" s="3">
        <v>21</v>
      </c>
      <c r="F512" s="3">
        <v>580.29999999999995</v>
      </c>
      <c r="G512" s="3">
        <v>127.67</v>
      </c>
      <c r="H512" s="11">
        <v>195.01</v>
      </c>
      <c r="I512" s="5">
        <f t="shared" ref="I512" si="320">E512+F512+G512+H512+D512</f>
        <v>3562.98</v>
      </c>
      <c r="J512" s="103">
        <v>12.67</v>
      </c>
      <c r="K512" s="5">
        <f t="shared" ref="K512" si="321">I512+J512</f>
        <v>3575.65</v>
      </c>
      <c r="L512" s="5">
        <f t="shared" si="284"/>
        <v>107.27</v>
      </c>
      <c r="M512" s="15">
        <f t="shared" ref="M512" si="322">K512+L512</f>
        <v>3682.92</v>
      </c>
      <c r="N512" s="15">
        <f t="shared" si="285"/>
        <v>736.58</v>
      </c>
      <c r="O512" s="100">
        <f t="shared" ref="O512" si="323">M512+N512</f>
        <v>4419.5</v>
      </c>
      <c r="P512" s="75">
        <f>ROUND(O512/5/12,2)</f>
        <v>73.66</v>
      </c>
      <c r="Q512" s="96">
        <f>146+2</f>
        <v>148</v>
      </c>
      <c r="R512" s="79">
        <f>ROUND(P512*3/Q512,2)</f>
        <v>1.49</v>
      </c>
      <c r="S512" s="48">
        <f>ROUND(452.88/Q512,2)</f>
        <v>3.06</v>
      </c>
    </row>
    <row r="513" spans="1:19" ht="19.5" customHeight="1" x14ac:dyDescent="0.25">
      <c r="A513" s="87">
        <v>384</v>
      </c>
      <c r="B513" s="98" t="s">
        <v>693</v>
      </c>
      <c r="C513" s="26" t="s">
        <v>288</v>
      </c>
      <c r="D513" s="103">
        <v>2210.63</v>
      </c>
      <c r="E513" s="103">
        <v>18.079999999999998</v>
      </c>
      <c r="F513" s="103">
        <v>532.22</v>
      </c>
      <c r="G513" s="103">
        <v>117.09</v>
      </c>
      <c r="H513" s="11">
        <v>175.99</v>
      </c>
      <c r="I513" s="5">
        <f>E513+F513+G513+H513+D513</f>
        <v>3054.01</v>
      </c>
      <c r="J513" s="103">
        <v>11.41</v>
      </c>
      <c r="K513" s="5">
        <f>I513+J513</f>
        <v>3065.42</v>
      </c>
      <c r="L513" s="5">
        <f>ROUND(K513*3%,2)</f>
        <v>91.96</v>
      </c>
      <c r="M513" s="15">
        <f>K513+L513</f>
        <v>3157.38</v>
      </c>
      <c r="N513" s="15">
        <f>ROUND(M513*20%,2)</f>
        <v>631.48</v>
      </c>
      <c r="O513" s="100">
        <f>M513+N513</f>
        <v>3788.86</v>
      </c>
      <c r="P513" s="75">
        <f>ROUND(O513/5/12,2)</f>
        <v>63.15</v>
      </c>
      <c r="Q513" s="96">
        <f>106+1</f>
        <v>107</v>
      </c>
      <c r="R513" s="79">
        <f t="shared" ref="R513" si="324">ROUND(P513*3/Q513,2)</f>
        <v>1.77</v>
      </c>
      <c r="S513" s="97">
        <f>ROUND(441.63/Q513,2)</f>
        <v>4.13</v>
      </c>
    </row>
    <row r="514" spans="1:19" ht="19.5" customHeight="1" thickBot="1" x14ac:dyDescent="0.3">
      <c r="A514" s="23">
        <v>385</v>
      </c>
      <c r="B514" s="143" t="s">
        <v>694</v>
      </c>
      <c r="C514" s="112" t="s">
        <v>374</v>
      </c>
      <c r="D514" s="57">
        <v>2427.87</v>
      </c>
      <c r="E514" s="137">
        <v>21</v>
      </c>
      <c r="F514" s="137">
        <v>580.29999999999995</v>
      </c>
      <c r="G514" s="137">
        <v>127.67</v>
      </c>
      <c r="H514" s="58">
        <v>195.01</v>
      </c>
      <c r="I514" s="59">
        <f t="shared" ref="I514" si="325">E514+F514+G514+H514+D514</f>
        <v>3351.85</v>
      </c>
      <c r="J514" s="57">
        <v>12.67</v>
      </c>
      <c r="K514" s="59">
        <f t="shared" ref="K514:K572" si="326">I514+J514</f>
        <v>3364.52</v>
      </c>
      <c r="L514" s="59">
        <f t="shared" ref="L514" si="327">ROUND(K514*3%,2)</f>
        <v>100.94</v>
      </c>
      <c r="M514" s="60">
        <f t="shared" ref="M514:M572" si="328">K514+L514</f>
        <v>3465.46</v>
      </c>
      <c r="N514" s="60">
        <f t="shared" ref="N514" si="329">ROUND(M514*20%,2)</f>
        <v>693.09</v>
      </c>
      <c r="O514" s="61">
        <f t="shared" ref="O514:O572" si="330">M514+N514</f>
        <v>4158.55</v>
      </c>
      <c r="P514" s="109">
        <f>ROUND(O514/5/12,2)</f>
        <v>69.31</v>
      </c>
      <c r="Q514" s="136">
        <f>157+5</f>
        <v>162</v>
      </c>
      <c r="R514" s="110">
        <f>ROUND(P514*3/Q514,2)</f>
        <v>1.28</v>
      </c>
      <c r="S514" s="141">
        <f>ROUND(451.2/Q514,2)</f>
        <v>2.79</v>
      </c>
    </row>
    <row r="515" spans="1:19" ht="15.75" customHeight="1" x14ac:dyDescent="0.25">
      <c r="A515" s="253">
        <v>386</v>
      </c>
      <c r="B515" s="254" t="s">
        <v>819</v>
      </c>
      <c r="C515" s="138" t="s">
        <v>402</v>
      </c>
      <c r="D515" s="201">
        <f>1962.25*4</f>
        <v>7849</v>
      </c>
      <c r="E515" s="201">
        <f>18.08*4</f>
        <v>72.319999999999993</v>
      </c>
      <c r="F515" s="201">
        <f>532.22*4</f>
        <v>2128.88</v>
      </c>
      <c r="G515" s="201">
        <f>117.09*4</f>
        <v>468.36</v>
      </c>
      <c r="H515" s="255">
        <f>175.99*4</f>
        <v>703.96</v>
      </c>
      <c r="I515" s="207">
        <f>E515+F515+G515+H515+D515</f>
        <v>11222.52</v>
      </c>
      <c r="J515" s="201">
        <f>11.41*4</f>
        <v>45.64</v>
      </c>
      <c r="K515" s="207">
        <f t="shared" si="326"/>
        <v>11268.16</v>
      </c>
      <c r="L515" s="207">
        <f t="shared" si="284"/>
        <v>338.04</v>
      </c>
      <c r="M515" s="207">
        <f t="shared" si="328"/>
        <v>11606.2</v>
      </c>
      <c r="N515" s="207">
        <f t="shared" si="285"/>
        <v>2321.2399999999998</v>
      </c>
      <c r="O515" s="203">
        <f t="shared" si="330"/>
        <v>13927.44</v>
      </c>
      <c r="P515" s="207">
        <f>ROUND(O515/5/12,2)</f>
        <v>232.12</v>
      </c>
      <c r="Q515" s="204">
        <f>36+50+47+34+3</f>
        <v>170</v>
      </c>
      <c r="R515" s="205">
        <f t="shared" ref="R515" si="331">ROUND(P515*3/Q515,2)</f>
        <v>4.0999999999999996</v>
      </c>
      <c r="S515" s="206">
        <f>ROUND(441.63*4/Q515,2)</f>
        <v>10.39</v>
      </c>
    </row>
    <row r="516" spans="1:19" ht="15.75" customHeight="1" x14ac:dyDescent="0.25">
      <c r="A516" s="232"/>
      <c r="B516" s="218"/>
      <c r="C516" s="29" t="s">
        <v>402</v>
      </c>
      <c r="D516" s="200"/>
      <c r="E516" s="200"/>
      <c r="F516" s="200"/>
      <c r="G516" s="200"/>
      <c r="H516" s="171">
        <f>ROUND((E516+F516+G516)*11.7%,2)</f>
        <v>0</v>
      </c>
      <c r="I516" s="172"/>
      <c r="J516" s="200">
        <f t="shared" si="292"/>
        <v>0</v>
      </c>
      <c r="K516" s="172"/>
      <c r="L516" s="172">
        <f t="shared" si="284"/>
        <v>0</v>
      </c>
      <c r="M516" s="172"/>
      <c r="N516" s="172">
        <f t="shared" si="285"/>
        <v>0</v>
      </c>
      <c r="O516" s="198"/>
      <c r="P516" s="172"/>
      <c r="Q516" s="188"/>
      <c r="R516" s="189"/>
      <c r="S516" s="184"/>
    </row>
    <row r="517" spans="1:19" ht="15.75" customHeight="1" x14ac:dyDescent="0.25">
      <c r="A517" s="232"/>
      <c r="B517" s="218"/>
      <c r="C517" s="29" t="s">
        <v>402</v>
      </c>
      <c r="D517" s="200"/>
      <c r="E517" s="200"/>
      <c r="F517" s="200"/>
      <c r="G517" s="200"/>
      <c r="H517" s="171">
        <f>ROUND((E517+F517+G517)*11.7%,2)</f>
        <v>0</v>
      </c>
      <c r="I517" s="172"/>
      <c r="J517" s="200">
        <f t="shared" si="292"/>
        <v>0</v>
      </c>
      <c r="K517" s="172"/>
      <c r="L517" s="172">
        <f t="shared" si="284"/>
        <v>0</v>
      </c>
      <c r="M517" s="172"/>
      <c r="N517" s="172">
        <f t="shared" si="285"/>
        <v>0</v>
      </c>
      <c r="O517" s="198"/>
      <c r="P517" s="172"/>
      <c r="Q517" s="188"/>
      <c r="R517" s="189"/>
      <c r="S517" s="184"/>
    </row>
    <row r="518" spans="1:19" ht="15.75" customHeight="1" x14ac:dyDescent="0.25">
      <c r="A518" s="232"/>
      <c r="B518" s="216"/>
      <c r="C518" s="30" t="s">
        <v>695</v>
      </c>
      <c r="D518" s="199"/>
      <c r="E518" s="199"/>
      <c r="F518" s="199"/>
      <c r="G518" s="199"/>
      <c r="H518" s="168">
        <f>ROUND((E518+F518+G518)*11.7%,2)</f>
        <v>0</v>
      </c>
      <c r="I518" s="170"/>
      <c r="J518" s="199">
        <f t="shared" si="292"/>
        <v>0</v>
      </c>
      <c r="K518" s="170"/>
      <c r="L518" s="170">
        <f t="shared" si="284"/>
        <v>0</v>
      </c>
      <c r="M518" s="170"/>
      <c r="N518" s="170">
        <f t="shared" si="285"/>
        <v>0</v>
      </c>
      <c r="O518" s="186"/>
      <c r="P518" s="170"/>
      <c r="Q518" s="181"/>
      <c r="R518" s="183"/>
      <c r="S518" s="184"/>
    </row>
    <row r="519" spans="1:19" ht="15.75" customHeight="1" x14ac:dyDescent="0.25">
      <c r="A519" s="232">
        <v>387</v>
      </c>
      <c r="B519" s="215" t="s">
        <v>820</v>
      </c>
      <c r="C519" s="27" t="s">
        <v>402</v>
      </c>
      <c r="D519" s="175">
        <f>1962.25*6</f>
        <v>11773.5</v>
      </c>
      <c r="E519" s="195">
        <f>18.08*6</f>
        <v>108.47999999999999</v>
      </c>
      <c r="F519" s="195">
        <f>532.22*6</f>
        <v>3193.32</v>
      </c>
      <c r="G519" s="195">
        <f>117.09*6</f>
        <v>702.54</v>
      </c>
      <c r="H519" s="167">
        <f>175.99*6</f>
        <v>1055.94</v>
      </c>
      <c r="I519" s="169">
        <f>E519+F519+G519+H519+D519</f>
        <v>16833.78</v>
      </c>
      <c r="J519" s="190">
        <f>11.41*6</f>
        <v>68.460000000000008</v>
      </c>
      <c r="K519" s="169">
        <f t="shared" si="326"/>
        <v>16902.239999999998</v>
      </c>
      <c r="L519" s="169">
        <f>ROUND(K519*3%,2)</f>
        <v>507.07</v>
      </c>
      <c r="M519" s="169">
        <f t="shared" si="328"/>
        <v>17409.309999999998</v>
      </c>
      <c r="N519" s="169">
        <f>ROUND(M519*20%,2)</f>
        <v>3481.86</v>
      </c>
      <c r="O519" s="185">
        <f t="shared" si="330"/>
        <v>20891.169999999998</v>
      </c>
      <c r="P519" s="169">
        <f>ROUND(O519/5/12,2)</f>
        <v>348.19</v>
      </c>
      <c r="Q519" s="180">
        <f>15+15+19+10+10+7+3</f>
        <v>79</v>
      </c>
      <c r="R519" s="182">
        <f t="shared" ref="R519" si="332">ROUND(P519*3/Q519,2)</f>
        <v>13.22</v>
      </c>
      <c r="S519" s="184">
        <f>ROUND(441.63*6/Q519,2)</f>
        <v>33.54</v>
      </c>
    </row>
    <row r="520" spans="1:19" ht="15.75" customHeight="1" x14ac:dyDescent="0.25">
      <c r="A520" s="232"/>
      <c r="B520" s="218"/>
      <c r="C520" s="29" t="s">
        <v>402</v>
      </c>
      <c r="D520" s="176"/>
      <c r="E520" s="196"/>
      <c r="F520" s="196"/>
      <c r="G520" s="196"/>
      <c r="H520" s="171">
        <f>ROUND((E520+F520+G520)*11.7%,2)</f>
        <v>0</v>
      </c>
      <c r="I520" s="172"/>
      <c r="J520" s="200"/>
      <c r="K520" s="172"/>
      <c r="L520" s="172"/>
      <c r="M520" s="172"/>
      <c r="N520" s="172"/>
      <c r="O520" s="198"/>
      <c r="P520" s="172"/>
      <c r="Q520" s="188"/>
      <c r="R520" s="189"/>
      <c r="S520" s="184"/>
    </row>
    <row r="521" spans="1:19" ht="15.75" customHeight="1" x14ac:dyDescent="0.25">
      <c r="A521" s="232"/>
      <c r="B521" s="218"/>
      <c r="C521" s="29" t="s">
        <v>402</v>
      </c>
      <c r="D521" s="176"/>
      <c r="E521" s="196"/>
      <c r="F521" s="196"/>
      <c r="G521" s="196"/>
      <c r="H521" s="171">
        <f>ROUND((E521+F521+G521)*11.7%,2)</f>
        <v>0</v>
      </c>
      <c r="I521" s="172"/>
      <c r="J521" s="200"/>
      <c r="K521" s="172"/>
      <c r="L521" s="172"/>
      <c r="M521" s="172"/>
      <c r="N521" s="172"/>
      <c r="O521" s="198"/>
      <c r="P521" s="172"/>
      <c r="Q521" s="188"/>
      <c r="R521" s="189"/>
      <c r="S521" s="184"/>
    </row>
    <row r="522" spans="1:19" ht="15.75" customHeight="1" x14ac:dyDescent="0.25">
      <c r="A522" s="232"/>
      <c r="B522" s="218"/>
      <c r="C522" s="29" t="s">
        <v>402</v>
      </c>
      <c r="D522" s="176"/>
      <c r="E522" s="196"/>
      <c r="F522" s="196"/>
      <c r="G522" s="196"/>
      <c r="H522" s="171">
        <f>ROUND((E522+F522+G522)*11.7%,2)</f>
        <v>0</v>
      </c>
      <c r="I522" s="172"/>
      <c r="J522" s="200"/>
      <c r="K522" s="172"/>
      <c r="L522" s="172"/>
      <c r="M522" s="172"/>
      <c r="N522" s="172"/>
      <c r="O522" s="198"/>
      <c r="P522" s="172"/>
      <c r="Q522" s="188"/>
      <c r="R522" s="189"/>
      <c r="S522" s="184"/>
    </row>
    <row r="523" spans="1:19" ht="15.75" customHeight="1" x14ac:dyDescent="0.25">
      <c r="A523" s="232"/>
      <c r="B523" s="218"/>
      <c r="C523" s="29" t="s">
        <v>402</v>
      </c>
      <c r="D523" s="176"/>
      <c r="E523" s="196"/>
      <c r="F523" s="196"/>
      <c r="G523" s="196"/>
      <c r="H523" s="171">
        <f>ROUND((E523+F523+G523)*11.7%,2)</f>
        <v>0</v>
      </c>
      <c r="I523" s="172"/>
      <c r="J523" s="200"/>
      <c r="K523" s="172"/>
      <c r="L523" s="172"/>
      <c r="M523" s="172"/>
      <c r="N523" s="172"/>
      <c r="O523" s="198"/>
      <c r="P523" s="172"/>
      <c r="Q523" s="188"/>
      <c r="R523" s="189"/>
      <c r="S523" s="184"/>
    </row>
    <row r="524" spans="1:19" ht="15.75" customHeight="1" x14ac:dyDescent="0.25">
      <c r="A524" s="232"/>
      <c r="B524" s="216"/>
      <c r="C524" s="30" t="s">
        <v>402</v>
      </c>
      <c r="D524" s="177"/>
      <c r="E524" s="197"/>
      <c r="F524" s="197"/>
      <c r="G524" s="197"/>
      <c r="H524" s="168">
        <f>ROUND((E524+F524+G524)*11.7%,2)</f>
        <v>0</v>
      </c>
      <c r="I524" s="170"/>
      <c r="J524" s="199"/>
      <c r="K524" s="170"/>
      <c r="L524" s="170"/>
      <c r="M524" s="170"/>
      <c r="N524" s="170"/>
      <c r="O524" s="186"/>
      <c r="P524" s="170"/>
      <c r="Q524" s="181"/>
      <c r="R524" s="183"/>
      <c r="S524" s="184"/>
    </row>
    <row r="525" spans="1:19" ht="15.75" x14ac:dyDescent="0.25">
      <c r="A525" s="87">
        <v>388</v>
      </c>
      <c r="B525" s="98" t="s">
        <v>697</v>
      </c>
      <c r="C525" s="26" t="s">
        <v>383</v>
      </c>
      <c r="D525" s="103">
        <v>2427.87</v>
      </c>
      <c r="E525" s="3">
        <v>21</v>
      </c>
      <c r="F525" s="3">
        <v>580.29999999999995</v>
      </c>
      <c r="G525" s="3">
        <v>127.67</v>
      </c>
      <c r="H525" s="11">
        <v>195.01</v>
      </c>
      <c r="I525" s="5">
        <f t="shared" ref="I525" si="333">E525+F525+G525+H525+D525</f>
        <v>3351.85</v>
      </c>
      <c r="J525" s="103">
        <v>12.67</v>
      </c>
      <c r="K525" s="5">
        <f t="shared" ref="K525" si="334">I525+J525</f>
        <v>3364.52</v>
      </c>
      <c r="L525" s="5">
        <f t="shared" ref="L525" si="335">ROUND(K525*3%,2)</f>
        <v>100.94</v>
      </c>
      <c r="M525" s="15">
        <f t="shared" ref="M525" si="336">K525+L525</f>
        <v>3465.46</v>
      </c>
      <c r="N525" s="15">
        <f t="shared" ref="N525" si="337">ROUND(M525*20%,2)</f>
        <v>693.09</v>
      </c>
      <c r="O525" s="100">
        <f t="shared" ref="O525" si="338">M525+N525</f>
        <v>4158.55</v>
      </c>
      <c r="P525" s="75">
        <f>ROUND(O525/5/12,2)</f>
        <v>69.31</v>
      </c>
      <c r="Q525" s="96">
        <f>79+2</f>
        <v>81</v>
      </c>
      <c r="R525" s="79">
        <f>ROUND(P525*3/Q525,2)</f>
        <v>2.57</v>
      </c>
      <c r="S525" s="97">
        <f>ROUND(451.2/Q525,2)</f>
        <v>5.57</v>
      </c>
    </row>
    <row r="526" spans="1:19" ht="15.75" x14ac:dyDescent="0.25">
      <c r="A526" s="87">
        <v>389</v>
      </c>
      <c r="B526" s="98" t="s">
        <v>698</v>
      </c>
      <c r="C526" s="26" t="s">
        <v>376</v>
      </c>
      <c r="D526" s="103">
        <v>2210.63</v>
      </c>
      <c r="E526" s="103">
        <v>18.079999999999998</v>
      </c>
      <c r="F526" s="103">
        <v>532.22</v>
      </c>
      <c r="G526" s="103">
        <v>117.09</v>
      </c>
      <c r="H526" s="11">
        <v>175.99</v>
      </c>
      <c r="I526" s="5">
        <f>E526+F526+G526+H526+D526</f>
        <v>3054.01</v>
      </c>
      <c r="J526" s="103">
        <v>11.41</v>
      </c>
      <c r="K526" s="5">
        <f>I526+J526</f>
        <v>3065.42</v>
      </c>
      <c r="L526" s="5">
        <f>ROUND(K526*3%,2)</f>
        <v>91.96</v>
      </c>
      <c r="M526" s="15">
        <f>K526+L526</f>
        <v>3157.38</v>
      </c>
      <c r="N526" s="15">
        <f>ROUND(M526*20%,2)</f>
        <v>631.48</v>
      </c>
      <c r="O526" s="100">
        <f>M526+N526</f>
        <v>3788.86</v>
      </c>
      <c r="P526" s="75">
        <f>ROUND(O526/5/12,2)</f>
        <v>63.15</v>
      </c>
      <c r="Q526" s="96">
        <v>47</v>
      </c>
      <c r="R526" s="79">
        <f t="shared" ref="R526" si="339">ROUND(P526*3/Q526,2)</f>
        <v>4.03</v>
      </c>
      <c r="S526" s="97">
        <f>ROUND(441.63/Q526,2)</f>
        <v>9.4</v>
      </c>
    </row>
    <row r="527" spans="1:19" ht="15.75" x14ac:dyDescent="0.25">
      <c r="A527" s="87">
        <v>390</v>
      </c>
      <c r="B527" s="98" t="s">
        <v>696</v>
      </c>
      <c r="C527" s="26" t="s">
        <v>390</v>
      </c>
      <c r="D527" s="103">
        <v>1475.88</v>
      </c>
      <c r="E527" s="103">
        <v>18.079999999999998</v>
      </c>
      <c r="F527" s="103">
        <v>532.22</v>
      </c>
      <c r="G527" s="103">
        <v>117.09</v>
      </c>
      <c r="H527" s="11">
        <v>175.99</v>
      </c>
      <c r="I527" s="5">
        <f t="shared" ref="I527" si="340">E527+F527+G527+H527+D527</f>
        <v>2319.2600000000002</v>
      </c>
      <c r="J527" s="103">
        <v>11.41</v>
      </c>
      <c r="K527" s="5">
        <f t="shared" ref="K527" si="341">I527+J527</f>
        <v>2330.67</v>
      </c>
      <c r="L527" s="5">
        <f t="shared" ref="L527:L547" si="342">ROUND(K527*3%,2)</f>
        <v>69.92</v>
      </c>
      <c r="M527" s="15">
        <f t="shared" ref="M527" si="343">K527+L527</f>
        <v>2400.59</v>
      </c>
      <c r="N527" s="15">
        <f t="shared" ref="N527:N547" si="344">ROUND(M527*20%,2)</f>
        <v>480.12</v>
      </c>
      <c r="O527" s="100">
        <f t="shared" ref="O527" si="345">M527+N527</f>
        <v>2880.71</v>
      </c>
      <c r="P527" s="75">
        <f>ROUND(O527/5/12,2)</f>
        <v>48.01</v>
      </c>
      <c r="Q527" s="96">
        <f>18+7</f>
        <v>25</v>
      </c>
      <c r="R527" s="79">
        <f>ROUND(P527*3/Q527,2)</f>
        <v>5.76</v>
      </c>
      <c r="S527" s="97">
        <f>ROUND(441.63/Q527,2)</f>
        <v>17.670000000000002</v>
      </c>
    </row>
    <row r="528" spans="1:19" ht="15" customHeight="1" x14ac:dyDescent="0.25">
      <c r="A528" s="232">
        <v>391</v>
      </c>
      <c r="B528" s="215" t="s">
        <v>821</v>
      </c>
      <c r="C528" s="27" t="s">
        <v>402</v>
      </c>
      <c r="D528" s="175">
        <f>1962.25*2</f>
        <v>3924.5</v>
      </c>
      <c r="E528" s="195">
        <f>18.08*2</f>
        <v>36.159999999999997</v>
      </c>
      <c r="F528" s="195">
        <f>532.22*2</f>
        <v>1064.44</v>
      </c>
      <c r="G528" s="222">
        <f>117.09*2</f>
        <v>234.18</v>
      </c>
      <c r="H528" s="167">
        <f>175.99*2</f>
        <v>351.98</v>
      </c>
      <c r="I528" s="169">
        <f>E528+F528+G528+H528+D528</f>
        <v>5611.26</v>
      </c>
      <c r="J528" s="190">
        <f>11.41*2</f>
        <v>22.82</v>
      </c>
      <c r="K528" s="169">
        <f t="shared" si="326"/>
        <v>5634.08</v>
      </c>
      <c r="L528" s="169">
        <f t="shared" si="342"/>
        <v>169.02</v>
      </c>
      <c r="M528" s="169">
        <f t="shared" si="328"/>
        <v>5803.1</v>
      </c>
      <c r="N528" s="169">
        <f t="shared" si="344"/>
        <v>1160.6199999999999</v>
      </c>
      <c r="O528" s="185">
        <f t="shared" si="330"/>
        <v>6963.72</v>
      </c>
      <c r="P528" s="169">
        <f>ROUND(O528/5/12,2)</f>
        <v>116.06</v>
      </c>
      <c r="Q528" s="180">
        <f>31+35+6</f>
        <v>72</v>
      </c>
      <c r="R528" s="182">
        <f t="shared" ref="R528" si="346">ROUND(P528*3/Q528,2)</f>
        <v>4.84</v>
      </c>
      <c r="S528" s="184">
        <f>ROUND(441.63*2/Q528,2)</f>
        <v>12.27</v>
      </c>
    </row>
    <row r="529" spans="1:19" ht="15" customHeight="1" x14ac:dyDescent="0.25">
      <c r="A529" s="232"/>
      <c r="B529" s="216"/>
      <c r="C529" s="30" t="s">
        <v>402</v>
      </c>
      <c r="D529" s="177"/>
      <c r="E529" s="197"/>
      <c r="F529" s="197"/>
      <c r="G529" s="230"/>
      <c r="H529" s="168"/>
      <c r="I529" s="170"/>
      <c r="J529" s="199"/>
      <c r="K529" s="170"/>
      <c r="L529" s="170">
        <f t="shared" si="342"/>
        <v>0</v>
      </c>
      <c r="M529" s="170"/>
      <c r="N529" s="170">
        <f t="shared" si="344"/>
        <v>0</v>
      </c>
      <c r="O529" s="186"/>
      <c r="P529" s="170"/>
      <c r="Q529" s="181"/>
      <c r="R529" s="183"/>
      <c r="S529" s="184"/>
    </row>
    <row r="530" spans="1:19" ht="15.75" x14ac:dyDescent="0.25">
      <c r="A530" s="87">
        <v>392</v>
      </c>
      <c r="B530" s="98" t="s">
        <v>699</v>
      </c>
      <c r="C530" s="26" t="s">
        <v>273</v>
      </c>
      <c r="D530" s="103">
        <v>1475.88</v>
      </c>
      <c r="E530" s="103">
        <v>18.079999999999998</v>
      </c>
      <c r="F530" s="103">
        <v>532.22</v>
      </c>
      <c r="G530" s="103">
        <v>117.09</v>
      </c>
      <c r="H530" s="11">
        <v>175.99</v>
      </c>
      <c r="I530" s="5">
        <f t="shared" ref="I530" si="347">E530+F530+G530+H530+D530</f>
        <v>2319.2600000000002</v>
      </c>
      <c r="J530" s="103">
        <v>11.41</v>
      </c>
      <c r="K530" s="5">
        <f t="shared" ref="K530" si="348">I530+J530</f>
        <v>2330.67</v>
      </c>
      <c r="L530" s="5">
        <f t="shared" si="342"/>
        <v>69.92</v>
      </c>
      <c r="M530" s="15">
        <f t="shared" ref="M530" si="349">K530+L530</f>
        <v>2400.59</v>
      </c>
      <c r="N530" s="15">
        <f t="shared" si="344"/>
        <v>480.12</v>
      </c>
      <c r="O530" s="100">
        <f t="shared" ref="O530" si="350">M530+N530</f>
        <v>2880.71</v>
      </c>
      <c r="P530" s="75">
        <f t="shared" ref="P530:P555" si="351">ROUND(O530/5/12,2)</f>
        <v>48.01</v>
      </c>
      <c r="Q530" s="96">
        <f>10+2</f>
        <v>12</v>
      </c>
      <c r="R530" s="79">
        <f>ROUND(P530*3/Q530,2)</f>
        <v>12</v>
      </c>
      <c r="S530" s="97">
        <f>ROUND(441.63/Q530,2)</f>
        <v>36.799999999999997</v>
      </c>
    </row>
    <row r="531" spans="1:19" ht="15.75" x14ac:dyDescent="0.25">
      <c r="A531" s="87">
        <v>393</v>
      </c>
      <c r="B531" s="98" t="s">
        <v>700</v>
      </c>
      <c r="C531" s="26" t="s">
        <v>376</v>
      </c>
      <c r="D531" s="103">
        <v>2210.63</v>
      </c>
      <c r="E531" s="103">
        <v>18.079999999999998</v>
      </c>
      <c r="F531" s="103">
        <v>532.22</v>
      </c>
      <c r="G531" s="103">
        <v>117.09</v>
      </c>
      <c r="H531" s="11">
        <v>175.99</v>
      </c>
      <c r="I531" s="5">
        <f>E531+F531+G531+H531+D531</f>
        <v>3054.01</v>
      </c>
      <c r="J531" s="103">
        <v>11.41</v>
      </c>
      <c r="K531" s="5">
        <f>I531+J531</f>
        <v>3065.42</v>
      </c>
      <c r="L531" s="5">
        <f>ROUND(K531*3%,2)</f>
        <v>91.96</v>
      </c>
      <c r="M531" s="15">
        <f>K531+L531</f>
        <v>3157.38</v>
      </c>
      <c r="N531" s="15">
        <f>ROUND(M531*20%,2)</f>
        <v>631.48</v>
      </c>
      <c r="O531" s="100">
        <f>M531+N531</f>
        <v>3788.86</v>
      </c>
      <c r="P531" s="75">
        <f t="shared" si="351"/>
        <v>63.15</v>
      </c>
      <c r="Q531" s="96">
        <f>40+1</f>
        <v>41</v>
      </c>
      <c r="R531" s="79">
        <f t="shared" ref="R531" si="352">ROUND(P531*3/Q531,2)</f>
        <v>4.62</v>
      </c>
      <c r="S531" s="97">
        <f>ROUND(441.63/Q531,2)</f>
        <v>10.77</v>
      </c>
    </row>
    <row r="532" spans="1:19" ht="15.75" x14ac:dyDescent="0.25">
      <c r="A532" s="87">
        <v>394</v>
      </c>
      <c r="B532" s="98" t="s">
        <v>701</v>
      </c>
      <c r="C532" s="26" t="s">
        <v>402</v>
      </c>
      <c r="D532" s="103">
        <v>1962.25</v>
      </c>
      <c r="E532" s="103">
        <v>18.079999999999998</v>
      </c>
      <c r="F532" s="103">
        <v>532.22</v>
      </c>
      <c r="G532" s="103">
        <v>117.09</v>
      </c>
      <c r="H532" s="11">
        <v>175.99</v>
      </c>
      <c r="I532" s="5">
        <f>E532+F532+G532+H532+D532</f>
        <v>2805.63</v>
      </c>
      <c r="J532" s="103">
        <v>11.41</v>
      </c>
      <c r="K532" s="5">
        <f t="shared" si="326"/>
        <v>2817.04</v>
      </c>
      <c r="L532" s="5">
        <f t="shared" si="342"/>
        <v>84.51</v>
      </c>
      <c r="M532" s="15">
        <f t="shared" si="328"/>
        <v>2901.55</v>
      </c>
      <c r="N532" s="15">
        <f t="shared" si="344"/>
        <v>580.30999999999995</v>
      </c>
      <c r="O532" s="100">
        <f t="shared" si="330"/>
        <v>3481.86</v>
      </c>
      <c r="P532" s="75">
        <f t="shared" si="351"/>
        <v>58.03</v>
      </c>
      <c r="Q532" s="96">
        <f>58+3</f>
        <v>61</v>
      </c>
      <c r="R532" s="79">
        <f>ROUND(P532*3/Q532,2)</f>
        <v>2.85</v>
      </c>
      <c r="S532" s="97">
        <f>ROUND(441.63/Q532,2)</f>
        <v>7.24</v>
      </c>
    </row>
    <row r="533" spans="1:19" ht="15.75" x14ac:dyDescent="0.25">
      <c r="A533" s="87">
        <v>395</v>
      </c>
      <c r="B533" s="98" t="s">
        <v>702</v>
      </c>
      <c r="C533" s="26" t="s">
        <v>380</v>
      </c>
      <c r="D533" s="103">
        <v>1962.25</v>
      </c>
      <c r="E533" s="103">
        <v>18.079999999999998</v>
      </c>
      <c r="F533" s="103">
        <v>532.22</v>
      </c>
      <c r="G533" s="103">
        <v>117.09</v>
      </c>
      <c r="H533" s="11">
        <v>175.99</v>
      </c>
      <c r="I533" s="5">
        <f>E533+F533+G533+H533+D533</f>
        <v>2805.63</v>
      </c>
      <c r="J533" s="103">
        <v>11.41</v>
      </c>
      <c r="K533" s="5">
        <f t="shared" si="326"/>
        <v>2817.04</v>
      </c>
      <c r="L533" s="5">
        <f t="shared" si="342"/>
        <v>84.51</v>
      </c>
      <c r="M533" s="15">
        <f t="shared" si="328"/>
        <v>2901.55</v>
      </c>
      <c r="N533" s="15">
        <f t="shared" si="344"/>
        <v>580.30999999999995</v>
      </c>
      <c r="O533" s="100">
        <f t="shared" si="330"/>
        <v>3481.86</v>
      </c>
      <c r="P533" s="75">
        <f t="shared" si="351"/>
        <v>58.03</v>
      </c>
      <c r="Q533" s="96">
        <v>90</v>
      </c>
      <c r="R533" s="79">
        <f>ROUND(P533*3/Q533,2)</f>
        <v>1.93</v>
      </c>
      <c r="S533" s="97">
        <f>ROUND(441.63/Q533,2)</f>
        <v>4.91</v>
      </c>
    </row>
    <row r="534" spans="1:19" ht="15.75" x14ac:dyDescent="0.25">
      <c r="A534" s="87">
        <v>396</v>
      </c>
      <c r="B534" s="98" t="s">
        <v>703</v>
      </c>
      <c r="C534" s="26" t="s">
        <v>301</v>
      </c>
      <c r="D534" s="103">
        <v>2210.63</v>
      </c>
      <c r="E534" s="103">
        <v>18.079999999999998</v>
      </c>
      <c r="F534" s="103">
        <v>532.22</v>
      </c>
      <c r="G534" s="103">
        <v>117.09</v>
      </c>
      <c r="H534" s="11">
        <v>175.99</v>
      </c>
      <c r="I534" s="5">
        <f>E534+F534+G534+H534+D534</f>
        <v>3054.01</v>
      </c>
      <c r="J534" s="103">
        <v>11.41</v>
      </c>
      <c r="K534" s="5">
        <f>I534+J534</f>
        <v>3065.42</v>
      </c>
      <c r="L534" s="5">
        <f>ROUND(K534*3%,2)</f>
        <v>91.96</v>
      </c>
      <c r="M534" s="15">
        <f>K534+L534</f>
        <v>3157.38</v>
      </c>
      <c r="N534" s="15">
        <f>ROUND(M534*20%,2)</f>
        <v>631.48</v>
      </c>
      <c r="O534" s="100">
        <f>M534+N534</f>
        <v>3788.86</v>
      </c>
      <c r="P534" s="75">
        <f t="shared" si="351"/>
        <v>63.15</v>
      </c>
      <c r="Q534" s="96">
        <f>34+16</f>
        <v>50</v>
      </c>
      <c r="R534" s="79">
        <f t="shared" ref="R534:R542" si="353">ROUND(P534*3/Q534,2)</f>
        <v>3.79</v>
      </c>
      <c r="S534" s="97">
        <f>ROUND(469.47/Q534,2)</f>
        <v>9.39</v>
      </c>
    </row>
    <row r="535" spans="1:19" ht="15.75" x14ac:dyDescent="0.25">
      <c r="A535" s="87">
        <v>397</v>
      </c>
      <c r="B535" s="98" t="s">
        <v>704</v>
      </c>
      <c r="C535" s="26" t="s">
        <v>273</v>
      </c>
      <c r="D535" s="103">
        <v>1475.88</v>
      </c>
      <c r="E535" s="103">
        <v>18.079999999999998</v>
      </c>
      <c r="F535" s="103">
        <v>532.22</v>
      </c>
      <c r="G535" s="103">
        <v>117.09</v>
      </c>
      <c r="H535" s="11">
        <v>175.99</v>
      </c>
      <c r="I535" s="5">
        <f t="shared" ref="I535:I556" si="354">E535+F535+G535+H535+D535</f>
        <v>2319.2600000000002</v>
      </c>
      <c r="J535" s="103">
        <v>11.41</v>
      </c>
      <c r="K535" s="5">
        <f t="shared" ref="K535:K536" si="355">I535+J535</f>
        <v>2330.67</v>
      </c>
      <c r="L535" s="5">
        <f t="shared" ref="L535:L536" si="356">ROUND(K535*3%,2)</f>
        <v>69.92</v>
      </c>
      <c r="M535" s="15">
        <f t="shared" ref="M535:M536" si="357">K535+L535</f>
        <v>2400.59</v>
      </c>
      <c r="N535" s="15">
        <f t="shared" ref="N535:N536" si="358">ROUND(M535*20%,2)</f>
        <v>480.12</v>
      </c>
      <c r="O535" s="100">
        <f t="shared" ref="O535:O536" si="359">M535+N535</f>
        <v>2880.71</v>
      </c>
      <c r="P535" s="75">
        <f t="shared" si="351"/>
        <v>48.01</v>
      </c>
      <c r="Q535" s="96">
        <v>23</v>
      </c>
      <c r="R535" s="79">
        <f t="shared" si="353"/>
        <v>6.26</v>
      </c>
      <c r="S535" s="97">
        <f>ROUND(441.63/Q535,2)</f>
        <v>19.2</v>
      </c>
    </row>
    <row r="536" spans="1:19" ht="15.75" x14ac:dyDescent="0.25">
      <c r="A536" s="87">
        <v>398</v>
      </c>
      <c r="B536" s="98" t="s">
        <v>705</v>
      </c>
      <c r="C536" s="26" t="s">
        <v>403</v>
      </c>
      <c r="D536" s="103">
        <v>2639</v>
      </c>
      <c r="E536" s="3">
        <v>21</v>
      </c>
      <c r="F536" s="3">
        <v>580.29999999999995</v>
      </c>
      <c r="G536" s="3">
        <v>127.67</v>
      </c>
      <c r="H536" s="11">
        <v>195.01</v>
      </c>
      <c r="I536" s="5">
        <f t="shared" si="354"/>
        <v>3562.98</v>
      </c>
      <c r="J536" s="103">
        <v>12.67</v>
      </c>
      <c r="K536" s="5">
        <f t="shared" si="355"/>
        <v>3575.65</v>
      </c>
      <c r="L536" s="5">
        <f t="shared" si="356"/>
        <v>107.27</v>
      </c>
      <c r="M536" s="15">
        <f t="shared" si="357"/>
        <v>3682.92</v>
      </c>
      <c r="N536" s="15">
        <f t="shared" si="358"/>
        <v>736.58</v>
      </c>
      <c r="O536" s="100">
        <f t="shared" si="359"/>
        <v>4419.5</v>
      </c>
      <c r="P536" s="75">
        <f t="shared" si="351"/>
        <v>73.66</v>
      </c>
      <c r="Q536" s="96">
        <f>117+2</f>
        <v>119</v>
      </c>
      <c r="R536" s="79">
        <f t="shared" si="353"/>
        <v>1.86</v>
      </c>
      <c r="S536" s="97">
        <f>ROUND(482.49/Q536,2)</f>
        <v>4.05</v>
      </c>
    </row>
    <row r="537" spans="1:19" ht="15.75" x14ac:dyDescent="0.25">
      <c r="A537" s="87">
        <v>399</v>
      </c>
      <c r="B537" s="98" t="s">
        <v>706</v>
      </c>
      <c r="C537" s="26" t="s">
        <v>404</v>
      </c>
      <c r="D537" s="103">
        <v>2427.87</v>
      </c>
      <c r="E537" s="3">
        <v>21</v>
      </c>
      <c r="F537" s="3">
        <v>580.29999999999995</v>
      </c>
      <c r="G537" s="3">
        <v>127.67</v>
      </c>
      <c r="H537" s="11">
        <v>195.01</v>
      </c>
      <c r="I537" s="5">
        <f t="shared" si="354"/>
        <v>3351.85</v>
      </c>
      <c r="J537" s="103">
        <v>12.67</v>
      </c>
      <c r="K537" s="5">
        <f t="shared" si="326"/>
        <v>3364.52</v>
      </c>
      <c r="L537" s="5">
        <f t="shared" si="342"/>
        <v>100.94</v>
      </c>
      <c r="M537" s="15">
        <f t="shared" si="328"/>
        <v>3465.46</v>
      </c>
      <c r="N537" s="15">
        <f t="shared" si="344"/>
        <v>693.09</v>
      </c>
      <c r="O537" s="100">
        <f t="shared" si="330"/>
        <v>4158.55</v>
      </c>
      <c r="P537" s="75">
        <f t="shared" si="351"/>
        <v>69.31</v>
      </c>
      <c r="Q537" s="96">
        <v>94</v>
      </c>
      <c r="R537" s="79">
        <f t="shared" si="353"/>
        <v>2.21</v>
      </c>
      <c r="S537" s="48">
        <f>ROUND(482.49/Q537,2)</f>
        <v>5.13</v>
      </c>
    </row>
    <row r="538" spans="1:19" ht="15.75" x14ac:dyDescent="0.25">
      <c r="A538" s="87">
        <v>400</v>
      </c>
      <c r="B538" s="98" t="s">
        <v>707</v>
      </c>
      <c r="C538" s="26" t="s">
        <v>405</v>
      </c>
      <c r="D538" s="103">
        <v>2639</v>
      </c>
      <c r="E538" s="3">
        <v>21</v>
      </c>
      <c r="F538" s="3">
        <v>580.29999999999995</v>
      </c>
      <c r="G538" s="3">
        <v>127.67</v>
      </c>
      <c r="H538" s="11">
        <v>195.01</v>
      </c>
      <c r="I538" s="5">
        <f t="shared" si="354"/>
        <v>3562.98</v>
      </c>
      <c r="J538" s="103">
        <v>12.67</v>
      </c>
      <c r="K538" s="5">
        <f t="shared" si="326"/>
        <v>3575.65</v>
      </c>
      <c r="L538" s="5">
        <f t="shared" si="342"/>
        <v>107.27</v>
      </c>
      <c r="M538" s="15">
        <f t="shared" si="328"/>
        <v>3682.92</v>
      </c>
      <c r="N538" s="15">
        <f t="shared" si="344"/>
        <v>736.58</v>
      </c>
      <c r="O538" s="100">
        <f t="shared" si="330"/>
        <v>4419.5</v>
      </c>
      <c r="P538" s="75">
        <f t="shared" si="351"/>
        <v>73.66</v>
      </c>
      <c r="Q538" s="96">
        <v>83</v>
      </c>
      <c r="R538" s="79">
        <f t="shared" si="353"/>
        <v>2.66</v>
      </c>
      <c r="S538" s="97">
        <f>ROUND(452.88/Q538,2)</f>
        <v>5.46</v>
      </c>
    </row>
    <row r="539" spans="1:19" ht="15.75" x14ac:dyDescent="0.25">
      <c r="A539" s="87">
        <v>401</v>
      </c>
      <c r="B539" s="98" t="s">
        <v>708</v>
      </c>
      <c r="C539" s="26" t="s">
        <v>390</v>
      </c>
      <c r="D539" s="103">
        <v>1475.88</v>
      </c>
      <c r="E539" s="103">
        <v>18.079999999999998</v>
      </c>
      <c r="F539" s="103">
        <v>532.22</v>
      </c>
      <c r="G539" s="103">
        <v>117.09</v>
      </c>
      <c r="H539" s="11">
        <v>175.99</v>
      </c>
      <c r="I539" s="5">
        <f t="shared" si="354"/>
        <v>2319.2600000000002</v>
      </c>
      <c r="J539" s="103">
        <v>11.41</v>
      </c>
      <c r="K539" s="5">
        <f t="shared" si="326"/>
        <v>2330.67</v>
      </c>
      <c r="L539" s="5">
        <f t="shared" si="342"/>
        <v>69.92</v>
      </c>
      <c r="M539" s="15">
        <f t="shared" si="328"/>
        <v>2400.59</v>
      </c>
      <c r="N539" s="15">
        <f t="shared" si="344"/>
        <v>480.12</v>
      </c>
      <c r="O539" s="100">
        <f t="shared" si="330"/>
        <v>2880.71</v>
      </c>
      <c r="P539" s="75">
        <f t="shared" si="351"/>
        <v>48.01</v>
      </c>
      <c r="Q539" s="96">
        <f>13+3</f>
        <v>16</v>
      </c>
      <c r="R539" s="79">
        <f t="shared" si="353"/>
        <v>9</v>
      </c>
      <c r="S539" s="97">
        <f>ROUND(441.63/Q539,2)</f>
        <v>27.6</v>
      </c>
    </row>
    <row r="540" spans="1:19" ht="15.75" x14ac:dyDescent="0.25">
      <c r="A540" s="87">
        <v>402</v>
      </c>
      <c r="B540" s="98" t="s">
        <v>709</v>
      </c>
      <c r="C540" s="26" t="s">
        <v>383</v>
      </c>
      <c r="D540" s="103">
        <v>2427.87</v>
      </c>
      <c r="E540" s="3">
        <v>21</v>
      </c>
      <c r="F540" s="3">
        <v>580.29999999999995</v>
      </c>
      <c r="G540" s="3">
        <v>127.67</v>
      </c>
      <c r="H540" s="11">
        <v>195.01</v>
      </c>
      <c r="I540" s="5">
        <f t="shared" si="354"/>
        <v>3351.85</v>
      </c>
      <c r="J540" s="103">
        <v>12.67</v>
      </c>
      <c r="K540" s="5">
        <f t="shared" si="326"/>
        <v>3364.52</v>
      </c>
      <c r="L540" s="5">
        <f t="shared" si="342"/>
        <v>100.94</v>
      </c>
      <c r="M540" s="15">
        <f t="shared" si="328"/>
        <v>3465.46</v>
      </c>
      <c r="N540" s="15">
        <f t="shared" si="344"/>
        <v>693.09</v>
      </c>
      <c r="O540" s="100">
        <f t="shared" si="330"/>
        <v>4158.55</v>
      </c>
      <c r="P540" s="75">
        <f t="shared" si="351"/>
        <v>69.31</v>
      </c>
      <c r="Q540" s="96">
        <f>76+1</f>
        <v>77</v>
      </c>
      <c r="R540" s="79">
        <f t="shared" si="353"/>
        <v>2.7</v>
      </c>
      <c r="S540" s="97">
        <f>ROUND(451.2/Q540,2)</f>
        <v>5.86</v>
      </c>
    </row>
    <row r="541" spans="1:19" ht="15.75" x14ac:dyDescent="0.25">
      <c r="A541" s="87">
        <v>403</v>
      </c>
      <c r="B541" s="98" t="s">
        <v>868</v>
      </c>
      <c r="C541" s="26" t="s">
        <v>340</v>
      </c>
      <c r="D541" s="103">
        <v>2639</v>
      </c>
      <c r="E541" s="3">
        <v>21</v>
      </c>
      <c r="F541" s="3">
        <v>580.29999999999995</v>
      </c>
      <c r="G541" s="3">
        <v>127.67</v>
      </c>
      <c r="H541" s="11">
        <v>195.01</v>
      </c>
      <c r="I541" s="5">
        <f t="shared" si="354"/>
        <v>3562.98</v>
      </c>
      <c r="J541" s="103">
        <v>12.67</v>
      </c>
      <c r="K541" s="5">
        <f t="shared" si="326"/>
        <v>3575.65</v>
      </c>
      <c r="L541" s="5">
        <f t="shared" si="342"/>
        <v>107.27</v>
      </c>
      <c r="M541" s="15">
        <f t="shared" si="328"/>
        <v>3682.92</v>
      </c>
      <c r="N541" s="15">
        <f t="shared" si="344"/>
        <v>736.58</v>
      </c>
      <c r="O541" s="100">
        <f t="shared" si="330"/>
        <v>4419.5</v>
      </c>
      <c r="P541" s="75">
        <f t="shared" si="351"/>
        <v>73.66</v>
      </c>
      <c r="Q541" s="96">
        <f>208+6</f>
        <v>214</v>
      </c>
      <c r="R541" s="79">
        <f t="shared" si="353"/>
        <v>1.03</v>
      </c>
      <c r="S541" s="48">
        <f>ROUND(452.88/Q541,2)</f>
        <v>2.12</v>
      </c>
    </row>
    <row r="542" spans="1:19" ht="15.75" x14ac:dyDescent="0.25">
      <c r="A542" s="87">
        <v>404</v>
      </c>
      <c r="B542" s="98" t="s">
        <v>710</v>
      </c>
      <c r="C542" s="26" t="s">
        <v>288</v>
      </c>
      <c r="D542" s="103">
        <v>2210.63</v>
      </c>
      <c r="E542" s="103">
        <v>18.079999999999998</v>
      </c>
      <c r="F542" s="103">
        <v>532.22</v>
      </c>
      <c r="G542" s="103">
        <v>117.09</v>
      </c>
      <c r="H542" s="11">
        <v>175.99</v>
      </c>
      <c r="I542" s="5">
        <f>E542+F542+G542+H542+D542</f>
        <v>3054.01</v>
      </c>
      <c r="J542" s="103">
        <v>11.41</v>
      </c>
      <c r="K542" s="5">
        <f>I542+J542</f>
        <v>3065.42</v>
      </c>
      <c r="L542" s="5">
        <f>ROUND(K542*3%,2)</f>
        <v>91.96</v>
      </c>
      <c r="M542" s="15">
        <f>K542+L542</f>
        <v>3157.38</v>
      </c>
      <c r="N542" s="15">
        <f>ROUND(M542*20%,2)</f>
        <v>631.48</v>
      </c>
      <c r="O542" s="100">
        <f>M542+N542</f>
        <v>3788.86</v>
      </c>
      <c r="P542" s="75">
        <f t="shared" si="351"/>
        <v>63.15</v>
      </c>
      <c r="Q542" s="96">
        <f>76+3</f>
        <v>79</v>
      </c>
      <c r="R542" s="79">
        <f t="shared" si="353"/>
        <v>2.4</v>
      </c>
      <c r="S542" s="97">
        <f>ROUND(441.63/Q542,2)</f>
        <v>5.59</v>
      </c>
    </row>
    <row r="543" spans="1:19" ht="15.75" x14ac:dyDescent="0.25">
      <c r="A543" s="87">
        <v>405</v>
      </c>
      <c r="B543" s="98" t="s">
        <v>711</v>
      </c>
      <c r="C543" s="26" t="s">
        <v>390</v>
      </c>
      <c r="D543" s="103">
        <v>1475.88</v>
      </c>
      <c r="E543" s="103">
        <v>18.079999999999998</v>
      </c>
      <c r="F543" s="103">
        <v>532.22</v>
      </c>
      <c r="G543" s="103">
        <v>117.09</v>
      </c>
      <c r="H543" s="11">
        <v>175.99</v>
      </c>
      <c r="I543" s="5">
        <f t="shared" ref="I543" si="360">E543+F543+G543+H543+D543</f>
        <v>2319.2600000000002</v>
      </c>
      <c r="J543" s="103">
        <v>11.41</v>
      </c>
      <c r="K543" s="5">
        <f t="shared" ref="K543" si="361">I543+J543</f>
        <v>2330.67</v>
      </c>
      <c r="L543" s="5">
        <f t="shared" ref="L543" si="362">ROUND(K543*3%,2)</f>
        <v>69.92</v>
      </c>
      <c r="M543" s="15">
        <f t="shared" ref="M543" si="363">K543+L543</f>
        <v>2400.59</v>
      </c>
      <c r="N543" s="15">
        <f t="shared" ref="N543" si="364">ROUND(M543*20%,2)</f>
        <v>480.12</v>
      </c>
      <c r="O543" s="100">
        <f t="shared" ref="O543" si="365">M543+N543</f>
        <v>2880.71</v>
      </c>
      <c r="P543" s="75">
        <f t="shared" si="351"/>
        <v>48.01</v>
      </c>
      <c r="Q543" s="96">
        <f>25+9</f>
        <v>34</v>
      </c>
      <c r="R543" s="79">
        <f>ROUND(P543*3/Q543,2)</f>
        <v>4.24</v>
      </c>
      <c r="S543" s="97">
        <f>ROUND(441.63/Q543,2)</f>
        <v>12.99</v>
      </c>
    </row>
    <row r="544" spans="1:19" ht="15.75" x14ac:dyDescent="0.25">
      <c r="A544" s="87">
        <v>406</v>
      </c>
      <c r="B544" s="98" t="s">
        <v>712</v>
      </c>
      <c r="C544" s="26" t="s">
        <v>406</v>
      </c>
      <c r="D544" s="103">
        <v>2210.63</v>
      </c>
      <c r="E544" s="103">
        <v>18.079999999999998</v>
      </c>
      <c r="F544" s="103">
        <v>532.22</v>
      </c>
      <c r="G544" s="103">
        <v>117.09</v>
      </c>
      <c r="H544" s="11">
        <v>175.99</v>
      </c>
      <c r="I544" s="5">
        <f>E544+F544+G544+H544+D544</f>
        <v>3054.01</v>
      </c>
      <c r="J544" s="103">
        <v>11.41</v>
      </c>
      <c r="K544" s="5">
        <f>I544+J544</f>
        <v>3065.42</v>
      </c>
      <c r="L544" s="5">
        <f>ROUND(K544*3%,2)</f>
        <v>91.96</v>
      </c>
      <c r="M544" s="15">
        <f>K544+L544</f>
        <v>3157.38</v>
      </c>
      <c r="N544" s="15">
        <f>ROUND(M544*20%,2)</f>
        <v>631.48</v>
      </c>
      <c r="O544" s="100">
        <f>M544+N544</f>
        <v>3788.86</v>
      </c>
      <c r="P544" s="75">
        <f t="shared" si="351"/>
        <v>63.15</v>
      </c>
      <c r="Q544" s="96">
        <v>78</v>
      </c>
      <c r="R544" s="79">
        <f t="shared" ref="R544" si="366">ROUND(P544*3/Q544,2)</f>
        <v>2.4300000000000002</v>
      </c>
      <c r="S544" s="97">
        <f>ROUND(469.47/Q544,2)</f>
        <v>6.02</v>
      </c>
    </row>
    <row r="545" spans="1:19" ht="15.75" x14ac:dyDescent="0.25">
      <c r="A545" s="87">
        <v>407</v>
      </c>
      <c r="B545" s="98" t="s">
        <v>713</v>
      </c>
      <c r="C545" s="26" t="s">
        <v>404</v>
      </c>
      <c r="D545" s="103">
        <v>2427.87</v>
      </c>
      <c r="E545" s="3">
        <v>21</v>
      </c>
      <c r="F545" s="3">
        <v>580.29999999999995</v>
      </c>
      <c r="G545" s="3">
        <v>127.67</v>
      </c>
      <c r="H545" s="11">
        <v>195.01</v>
      </c>
      <c r="I545" s="5">
        <f t="shared" ref="I545" si="367">E545+F545+G545+H545+D545</f>
        <v>3351.85</v>
      </c>
      <c r="J545" s="103">
        <v>12.67</v>
      </c>
      <c r="K545" s="5">
        <f t="shared" ref="K545" si="368">I545+J545</f>
        <v>3364.52</v>
      </c>
      <c r="L545" s="5">
        <f t="shared" ref="L545" si="369">ROUND(K545*3%,2)</f>
        <v>100.94</v>
      </c>
      <c r="M545" s="15">
        <f t="shared" ref="M545" si="370">K545+L545</f>
        <v>3465.46</v>
      </c>
      <c r="N545" s="15">
        <f t="shared" ref="N545" si="371">ROUND(M545*20%,2)</f>
        <v>693.09</v>
      </c>
      <c r="O545" s="100">
        <f t="shared" ref="O545" si="372">M545+N545</f>
        <v>4158.55</v>
      </c>
      <c r="P545" s="75">
        <f t="shared" si="351"/>
        <v>69.31</v>
      </c>
      <c r="Q545" s="96">
        <v>90</v>
      </c>
      <c r="R545" s="79">
        <f>ROUND(P545*3/Q545,2)</f>
        <v>2.31</v>
      </c>
      <c r="S545" s="48">
        <f>ROUND(482.49/Q545,2)</f>
        <v>5.36</v>
      </c>
    </row>
    <row r="546" spans="1:19" ht="15.75" x14ac:dyDescent="0.25">
      <c r="A546" s="87">
        <v>408</v>
      </c>
      <c r="B546" s="98" t="s">
        <v>714</v>
      </c>
      <c r="C546" s="26" t="s">
        <v>380</v>
      </c>
      <c r="D546" s="103">
        <v>1962.25</v>
      </c>
      <c r="E546" s="103">
        <v>18.079999999999998</v>
      </c>
      <c r="F546" s="103">
        <v>532.22</v>
      </c>
      <c r="G546" s="103">
        <v>117.09</v>
      </c>
      <c r="H546" s="11">
        <v>175.99</v>
      </c>
      <c r="I546" s="5">
        <f>E546+F546+G546+H546+D546</f>
        <v>2805.63</v>
      </c>
      <c r="J546" s="103">
        <v>11.41</v>
      </c>
      <c r="K546" s="5">
        <f t="shared" si="326"/>
        <v>2817.04</v>
      </c>
      <c r="L546" s="5">
        <f t="shared" si="342"/>
        <v>84.51</v>
      </c>
      <c r="M546" s="15">
        <f t="shared" si="328"/>
        <v>2901.55</v>
      </c>
      <c r="N546" s="15">
        <f t="shared" si="344"/>
        <v>580.30999999999995</v>
      </c>
      <c r="O546" s="100">
        <f t="shared" si="330"/>
        <v>3481.86</v>
      </c>
      <c r="P546" s="75">
        <f t="shared" si="351"/>
        <v>58.03</v>
      </c>
      <c r="Q546" s="96">
        <f>30+4</f>
        <v>34</v>
      </c>
      <c r="R546" s="79">
        <f>ROUND(P546*3/Q546,2)</f>
        <v>5.12</v>
      </c>
      <c r="S546" s="97">
        <f t="shared" ref="S546:S548" si="373">ROUND(441.63/Q546,2)</f>
        <v>12.99</v>
      </c>
    </row>
    <row r="547" spans="1:19" ht="15.75" x14ac:dyDescent="0.25">
      <c r="A547" s="87">
        <v>409</v>
      </c>
      <c r="B547" s="98" t="s">
        <v>715</v>
      </c>
      <c r="C547" s="26" t="s">
        <v>401</v>
      </c>
      <c r="D547" s="103">
        <v>1962.25</v>
      </c>
      <c r="E547" s="103">
        <v>18.079999999999998</v>
      </c>
      <c r="F547" s="103">
        <v>532.22</v>
      </c>
      <c r="G547" s="103">
        <v>117.09</v>
      </c>
      <c r="H547" s="11">
        <v>175.99</v>
      </c>
      <c r="I547" s="5">
        <f>E547+F547+G547+H547+D547</f>
        <v>2805.63</v>
      </c>
      <c r="J547" s="103">
        <v>11.41</v>
      </c>
      <c r="K547" s="5">
        <f t="shared" si="326"/>
        <v>2817.04</v>
      </c>
      <c r="L547" s="5">
        <f t="shared" si="342"/>
        <v>84.51</v>
      </c>
      <c r="M547" s="15">
        <f t="shared" si="328"/>
        <v>2901.55</v>
      </c>
      <c r="N547" s="15">
        <f t="shared" si="344"/>
        <v>580.30999999999995</v>
      </c>
      <c r="O547" s="100">
        <f t="shared" si="330"/>
        <v>3481.86</v>
      </c>
      <c r="P547" s="75">
        <f t="shared" si="351"/>
        <v>58.03</v>
      </c>
      <c r="Q547" s="96">
        <v>66</v>
      </c>
      <c r="R547" s="79">
        <f>ROUND(P547*3/Q547,2)</f>
        <v>2.64</v>
      </c>
      <c r="S547" s="97">
        <f t="shared" si="373"/>
        <v>6.69</v>
      </c>
    </row>
    <row r="548" spans="1:19" ht="15.75" x14ac:dyDescent="0.25">
      <c r="A548" s="87">
        <v>410</v>
      </c>
      <c r="B548" s="98" t="s">
        <v>716</v>
      </c>
      <c r="C548" s="26" t="s">
        <v>376</v>
      </c>
      <c r="D548" s="103">
        <v>2210.63</v>
      </c>
      <c r="E548" s="103">
        <v>18.079999999999998</v>
      </c>
      <c r="F548" s="103">
        <v>532.22</v>
      </c>
      <c r="G548" s="103">
        <v>117.09</v>
      </c>
      <c r="H548" s="11">
        <v>175.99</v>
      </c>
      <c r="I548" s="5">
        <f>E548+F548+G548+H548+D548</f>
        <v>3054.01</v>
      </c>
      <c r="J548" s="103">
        <v>11.41</v>
      </c>
      <c r="K548" s="5">
        <f>I548+J548</f>
        <v>3065.42</v>
      </c>
      <c r="L548" s="5">
        <f>ROUND(K548*3%,2)</f>
        <v>91.96</v>
      </c>
      <c r="M548" s="15">
        <f>K548+L548</f>
        <v>3157.38</v>
      </c>
      <c r="N548" s="15">
        <f>ROUND(M548*20%,2)</f>
        <v>631.48</v>
      </c>
      <c r="O548" s="100">
        <f>M548+N548</f>
        <v>3788.86</v>
      </c>
      <c r="P548" s="75">
        <f t="shared" si="351"/>
        <v>63.15</v>
      </c>
      <c r="Q548" s="96">
        <f>71+1</f>
        <v>72</v>
      </c>
      <c r="R548" s="79">
        <f t="shared" ref="R548:R554" si="374">ROUND(P548*3/Q548,2)</f>
        <v>2.63</v>
      </c>
      <c r="S548" s="97">
        <f t="shared" si="373"/>
        <v>6.13</v>
      </c>
    </row>
    <row r="549" spans="1:19" ht="15.75" x14ac:dyDescent="0.25">
      <c r="A549" s="87">
        <v>411</v>
      </c>
      <c r="B549" s="98" t="s">
        <v>717</v>
      </c>
      <c r="C549" s="26" t="s">
        <v>272</v>
      </c>
      <c r="D549" s="103">
        <v>2427.87</v>
      </c>
      <c r="E549" s="3">
        <v>21</v>
      </c>
      <c r="F549" s="3">
        <v>580.29999999999995</v>
      </c>
      <c r="G549" s="3">
        <v>127.67</v>
      </c>
      <c r="H549" s="11">
        <v>195.01</v>
      </c>
      <c r="I549" s="5">
        <f t="shared" ref="I549" si="375">E549+F549+G549+H549+D549</f>
        <v>3351.85</v>
      </c>
      <c r="J549" s="103">
        <v>12.67</v>
      </c>
      <c r="K549" s="5">
        <f t="shared" ref="K549" si="376">I549+J549</f>
        <v>3364.52</v>
      </c>
      <c r="L549" s="5">
        <f t="shared" ref="L549" si="377">ROUND(K549*3%,2)</f>
        <v>100.94</v>
      </c>
      <c r="M549" s="15">
        <f t="shared" ref="M549" si="378">K549+L549</f>
        <v>3465.46</v>
      </c>
      <c r="N549" s="15">
        <f t="shared" ref="N549" si="379">ROUND(M549*20%,2)</f>
        <v>693.09</v>
      </c>
      <c r="O549" s="100">
        <f t="shared" ref="O549" si="380">M549+N549</f>
        <v>4158.55</v>
      </c>
      <c r="P549" s="75">
        <f t="shared" si="351"/>
        <v>69.31</v>
      </c>
      <c r="Q549" s="96">
        <v>72</v>
      </c>
      <c r="R549" s="79">
        <f>ROUND(P549*3/Q549,2)</f>
        <v>2.89</v>
      </c>
      <c r="S549" s="97">
        <f>ROUND(451.2/Q549,2)</f>
        <v>6.27</v>
      </c>
    </row>
    <row r="550" spans="1:19" ht="15.75" x14ac:dyDescent="0.25">
      <c r="A550" s="87">
        <v>412</v>
      </c>
      <c r="B550" s="98" t="s">
        <v>718</v>
      </c>
      <c r="C550" s="26" t="s">
        <v>407</v>
      </c>
      <c r="D550" s="103">
        <v>2210.63</v>
      </c>
      <c r="E550" s="103">
        <v>18.079999999999998</v>
      </c>
      <c r="F550" s="103">
        <v>532.22</v>
      </c>
      <c r="G550" s="103">
        <v>117.09</v>
      </c>
      <c r="H550" s="11">
        <v>175.99</v>
      </c>
      <c r="I550" s="5">
        <f>E550+F550+G550+H550+D550</f>
        <v>3054.01</v>
      </c>
      <c r="J550" s="103">
        <v>11.41</v>
      </c>
      <c r="K550" s="5">
        <f>I550+J550</f>
        <v>3065.42</v>
      </c>
      <c r="L550" s="5">
        <f>ROUND(K550*3%,2)</f>
        <v>91.96</v>
      </c>
      <c r="M550" s="15">
        <f>K550+L550</f>
        <v>3157.38</v>
      </c>
      <c r="N550" s="15">
        <f>ROUND(M550*20%,2)</f>
        <v>631.48</v>
      </c>
      <c r="O550" s="100">
        <f>M550+N550</f>
        <v>3788.86</v>
      </c>
      <c r="P550" s="75">
        <f t="shared" si="351"/>
        <v>63.15</v>
      </c>
      <c r="Q550" s="96">
        <f>72+1</f>
        <v>73</v>
      </c>
      <c r="R550" s="79">
        <f t="shared" si="374"/>
        <v>2.6</v>
      </c>
      <c r="S550" s="97">
        <f>ROUND(441.63/Q550,2)</f>
        <v>6.05</v>
      </c>
    </row>
    <row r="551" spans="1:19" ht="15.75" x14ac:dyDescent="0.25">
      <c r="A551" s="87">
        <v>413</v>
      </c>
      <c r="B551" s="98" t="s">
        <v>719</v>
      </c>
      <c r="C551" s="26" t="s">
        <v>260</v>
      </c>
      <c r="D551" s="103">
        <v>2210.63</v>
      </c>
      <c r="E551" s="103">
        <v>18.079999999999998</v>
      </c>
      <c r="F551" s="103">
        <v>532.22</v>
      </c>
      <c r="G551" s="103">
        <v>117.09</v>
      </c>
      <c r="H551" s="11">
        <v>175.99</v>
      </c>
      <c r="I551" s="5">
        <f>E551+F551+G551+H551+D551</f>
        <v>3054.01</v>
      </c>
      <c r="J551" s="103">
        <v>11.41</v>
      </c>
      <c r="K551" s="5">
        <f>I551+J551</f>
        <v>3065.42</v>
      </c>
      <c r="L551" s="5">
        <f>ROUND(K551*3%,2)</f>
        <v>91.96</v>
      </c>
      <c r="M551" s="15">
        <f>K551+L551</f>
        <v>3157.38</v>
      </c>
      <c r="N551" s="15">
        <f>ROUND(M551*20%,2)</f>
        <v>631.48</v>
      </c>
      <c r="O551" s="100">
        <f>M551+N551</f>
        <v>3788.86</v>
      </c>
      <c r="P551" s="75">
        <f t="shared" si="351"/>
        <v>63.15</v>
      </c>
      <c r="Q551" s="96">
        <v>74</v>
      </c>
      <c r="R551" s="79">
        <f t="shared" si="374"/>
        <v>2.56</v>
      </c>
      <c r="S551" s="97">
        <f t="shared" ref="S551:S552" si="381">ROUND(441.63/Q551,2)</f>
        <v>5.97</v>
      </c>
    </row>
    <row r="552" spans="1:19" ht="15.75" x14ac:dyDescent="0.25">
      <c r="A552" s="87">
        <v>414</v>
      </c>
      <c r="B552" s="98" t="s">
        <v>720</v>
      </c>
      <c r="C552" s="26" t="s">
        <v>260</v>
      </c>
      <c r="D552" s="103">
        <v>2210.63</v>
      </c>
      <c r="E552" s="103">
        <v>18.079999999999998</v>
      </c>
      <c r="F552" s="103">
        <v>532.22</v>
      </c>
      <c r="G552" s="103">
        <v>117.09</v>
      </c>
      <c r="H552" s="11">
        <v>175.99</v>
      </c>
      <c r="I552" s="5">
        <f>E552+F552+G552+H552+D552</f>
        <v>3054.01</v>
      </c>
      <c r="J552" s="103">
        <v>11.41</v>
      </c>
      <c r="K552" s="5">
        <f>I552+J552</f>
        <v>3065.42</v>
      </c>
      <c r="L552" s="5">
        <f>ROUND(K552*3%,2)</f>
        <v>91.96</v>
      </c>
      <c r="M552" s="15">
        <f>K552+L552</f>
        <v>3157.38</v>
      </c>
      <c r="N552" s="15">
        <f>ROUND(M552*20%,2)</f>
        <v>631.48</v>
      </c>
      <c r="O552" s="100">
        <f>M552+N552</f>
        <v>3788.86</v>
      </c>
      <c r="P552" s="75">
        <f t="shared" si="351"/>
        <v>63.15</v>
      </c>
      <c r="Q552" s="96">
        <f>32+1</f>
        <v>33</v>
      </c>
      <c r="R552" s="79">
        <f t="shared" si="374"/>
        <v>5.74</v>
      </c>
      <c r="S552" s="97">
        <f t="shared" si="381"/>
        <v>13.38</v>
      </c>
    </row>
    <row r="553" spans="1:19" ht="15.75" x14ac:dyDescent="0.25">
      <c r="A553" s="87">
        <v>415</v>
      </c>
      <c r="B553" s="98" t="s">
        <v>721</v>
      </c>
      <c r="C553" s="26" t="s">
        <v>407</v>
      </c>
      <c r="D553" s="103">
        <v>2210.63</v>
      </c>
      <c r="E553" s="103">
        <v>18.079999999999998</v>
      </c>
      <c r="F553" s="103">
        <v>532.22</v>
      </c>
      <c r="G553" s="103">
        <v>117.09</v>
      </c>
      <c r="H553" s="11">
        <v>175.99</v>
      </c>
      <c r="I553" s="5">
        <f>E553+F553+G553+H553+D553</f>
        <v>3054.01</v>
      </c>
      <c r="J553" s="103">
        <v>11.41</v>
      </c>
      <c r="K553" s="5">
        <f>I553+J553</f>
        <v>3065.42</v>
      </c>
      <c r="L553" s="5">
        <f>ROUND(K553*3%,2)</f>
        <v>91.96</v>
      </c>
      <c r="M553" s="15">
        <f>K553+L553</f>
        <v>3157.38</v>
      </c>
      <c r="N553" s="15">
        <f>ROUND(M553*20%,2)</f>
        <v>631.48</v>
      </c>
      <c r="O553" s="100">
        <f>M553+N553</f>
        <v>3788.86</v>
      </c>
      <c r="P553" s="75">
        <f t="shared" si="351"/>
        <v>63.15</v>
      </c>
      <c r="Q553" s="96">
        <f>69+1</f>
        <v>70</v>
      </c>
      <c r="R553" s="79">
        <f t="shared" si="374"/>
        <v>2.71</v>
      </c>
      <c r="S553" s="97">
        <f>ROUND(441.63/Q553,2)</f>
        <v>6.31</v>
      </c>
    </row>
    <row r="554" spans="1:19" ht="15.75" x14ac:dyDescent="0.25">
      <c r="A554" s="87">
        <v>416</v>
      </c>
      <c r="B554" s="98" t="s">
        <v>722</v>
      </c>
      <c r="C554" s="26" t="s">
        <v>406</v>
      </c>
      <c r="D554" s="103">
        <v>2210.63</v>
      </c>
      <c r="E554" s="103">
        <v>18.079999999999998</v>
      </c>
      <c r="F554" s="103">
        <v>532.22</v>
      </c>
      <c r="G554" s="103">
        <v>117.09</v>
      </c>
      <c r="H554" s="11">
        <v>175.99</v>
      </c>
      <c r="I554" s="5">
        <f>E554+F554+G554+H554+D554</f>
        <v>3054.01</v>
      </c>
      <c r="J554" s="103">
        <v>11.41</v>
      </c>
      <c r="K554" s="5">
        <f>I554+J554</f>
        <v>3065.42</v>
      </c>
      <c r="L554" s="5">
        <f>ROUND(K554*3%,2)</f>
        <v>91.96</v>
      </c>
      <c r="M554" s="15">
        <f>K554+L554</f>
        <v>3157.38</v>
      </c>
      <c r="N554" s="15">
        <f>ROUND(M554*20%,2)</f>
        <v>631.48</v>
      </c>
      <c r="O554" s="100">
        <f>M554+N554</f>
        <v>3788.86</v>
      </c>
      <c r="P554" s="75">
        <f t="shared" si="351"/>
        <v>63.15</v>
      </c>
      <c r="Q554" s="96">
        <v>45</v>
      </c>
      <c r="R554" s="79">
        <f t="shared" si="374"/>
        <v>4.21</v>
      </c>
      <c r="S554" s="97">
        <f>ROUND(469.47/Q554,2)</f>
        <v>10.43</v>
      </c>
    </row>
    <row r="555" spans="1:19" ht="15.75" x14ac:dyDescent="0.25">
      <c r="A555" s="87">
        <v>417</v>
      </c>
      <c r="B555" s="98" t="s">
        <v>723</v>
      </c>
      <c r="C555" s="26" t="s">
        <v>272</v>
      </c>
      <c r="D555" s="103">
        <v>2427.87</v>
      </c>
      <c r="E555" s="3">
        <v>21</v>
      </c>
      <c r="F555" s="3">
        <v>580.29999999999995</v>
      </c>
      <c r="G555" s="3">
        <v>127.67</v>
      </c>
      <c r="H555" s="11">
        <v>195.01</v>
      </c>
      <c r="I555" s="5">
        <f t="shared" ref="I555" si="382">E555+F555+G555+H555+D555</f>
        <v>3351.85</v>
      </c>
      <c r="J555" s="103">
        <v>12.67</v>
      </c>
      <c r="K555" s="5">
        <f t="shared" ref="K555" si="383">I555+J555</f>
        <v>3364.52</v>
      </c>
      <c r="L555" s="5">
        <f t="shared" ref="L555" si="384">ROUND(K555*3%,2)</f>
        <v>100.94</v>
      </c>
      <c r="M555" s="15">
        <f t="shared" ref="M555" si="385">K555+L555</f>
        <v>3465.46</v>
      </c>
      <c r="N555" s="15">
        <f t="shared" ref="N555" si="386">ROUND(M555*20%,2)</f>
        <v>693.09</v>
      </c>
      <c r="O555" s="100">
        <f t="shared" ref="O555" si="387">M555+N555</f>
        <v>4158.55</v>
      </c>
      <c r="P555" s="75">
        <f t="shared" si="351"/>
        <v>69.31</v>
      </c>
      <c r="Q555" s="96">
        <f>179+3</f>
        <v>182</v>
      </c>
      <c r="R555" s="79">
        <f>ROUND(P555*3/Q555,2)</f>
        <v>1.1399999999999999</v>
      </c>
      <c r="S555" s="97">
        <f>ROUND(451.2/Q555,2)</f>
        <v>2.48</v>
      </c>
    </row>
    <row r="556" spans="1:19" ht="15.75" customHeight="1" x14ac:dyDescent="0.25">
      <c r="A556" s="220">
        <v>418</v>
      </c>
      <c r="B556" s="215" t="s">
        <v>824</v>
      </c>
      <c r="C556" s="27" t="s">
        <v>728</v>
      </c>
      <c r="D556" s="190">
        <f>1475.88+2427.87</f>
        <v>3903.75</v>
      </c>
      <c r="E556" s="190">
        <f>18.08+21</f>
        <v>39.08</v>
      </c>
      <c r="F556" s="190">
        <f>532.22+580.3</f>
        <v>1112.52</v>
      </c>
      <c r="G556" s="190">
        <f>117.09+127.67</f>
        <v>244.76</v>
      </c>
      <c r="H556" s="167">
        <f>175.99+195.01</f>
        <v>371</v>
      </c>
      <c r="I556" s="169">
        <f t="shared" si="354"/>
        <v>5671.11</v>
      </c>
      <c r="J556" s="190">
        <f>11.41+12.67</f>
        <v>24.08</v>
      </c>
      <c r="K556" s="169">
        <f>I556+J556</f>
        <v>5695.19</v>
      </c>
      <c r="L556" s="169">
        <f>ROUND(K556*3%,2)</f>
        <v>170.86</v>
      </c>
      <c r="M556" s="173">
        <f>K556+L556</f>
        <v>5866.0499999999993</v>
      </c>
      <c r="N556" s="173">
        <f>ROUND(M556*20%,2)</f>
        <v>1173.21</v>
      </c>
      <c r="O556" s="178">
        <f>M556+N556</f>
        <v>7039.2599999999993</v>
      </c>
      <c r="P556" s="173">
        <f>ROUND(O556/5/12,2)</f>
        <v>117.32</v>
      </c>
      <c r="Q556" s="180">
        <f>34+107+4</f>
        <v>145</v>
      </c>
      <c r="R556" s="182">
        <f t="shared" ref="R556" si="388">ROUND(P556*3/Q556,2)</f>
        <v>2.4300000000000002</v>
      </c>
      <c r="S556" s="256">
        <f>ROUND((441.63+451.2)/Q556,2)</f>
        <v>6.16</v>
      </c>
    </row>
    <row r="557" spans="1:19" ht="15.75" customHeight="1" x14ac:dyDescent="0.25">
      <c r="A557" s="221"/>
      <c r="B557" s="216"/>
      <c r="C557" s="30" t="s">
        <v>272</v>
      </c>
      <c r="D557" s="177"/>
      <c r="E557" s="199"/>
      <c r="F557" s="199"/>
      <c r="G557" s="199"/>
      <c r="H557" s="168"/>
      <c r="I557" s="170"/>
      <c r="J557" s="199"/>
      <c r="K557" s="170"/>
      <c r="L557" s="170"/>
      <c r="M557" s="174"/>
      <c r="N557" s="174"/>
      <c r="O557" s="179"/>
      <c r="P557" s="174"/>
      <c r="Q557" s="181"/>
      <c r="R557" s="183"/>
      <c r="S557" s="256"/>
    </row>
    <row r="558" spans="1:19" x14ac:dyDescent="0.25">
      <c r="A558" s="232">
        <v>419</v>
      </c>
      <c r="B558" s="215" t="s">
        <v>825</v>
      </c>
      <c r="C558" s="27" t="s">
        <v>401</v>
      </c>
      <c r="D558" s="190">
        <f>1475.88+1962.25</f>
        <v>3438.13</v>
      </c>
      <c r="E558" s="190">
        <f>18.08+18.08</f>
        <v>36.159999999999997</v>
      </c>
      <c r="F558" s="190">
        <f>532.22+532.22</f>
        <v>1064.44</v>
      </c>
      <c r="G558" s="190">
        <f>117.09+117.09</f>
        <v>234.18</v>
      </c>
      <c r="H558" s="167">
        <f>175.99+175.99</f>
        <v>351.98</v>
      </c>
      <c r="I558" s="169">
        <f>E558+F558+G558+H558+D558</f>
        <v>5124.8900000000003</v>
      </c>
      <c r="J558" s="190">
        <f>11.41+11.41</f>
        <v>22.82</v>
      </c>
      <c r="K558" s="169">
        <f t="shared" si="326"/>
        <v>5147.71</v>
      </c>
      <c r="L558" s="169">
        <f>ROUND(K558*3%,2)</f>
        <v>154.43</v>
      </c>
      <c r="M558" s="173">
        <f t="shared" si="328"/>
        <v>5302.14</v>
      </c>
      <c r="N558" s="173">
        <f>ROUND(M558*20%,2)</f>
        <v>1060.43</v>
      </c>
      <c r="O558" s="178">
        <f t="shared" si="330"/>
        <v>6362.5700000000006</v>
      </c>
      <c r="P558" s="173">
        <f>ROUND(O558/5/12,2)</f>
        <v>106.04</v>
      </c>
      <c r="Q558" s="180">
        <f>40+25</f>
        <v>65</v>
      </c>
      <c r="R558" s="182">
        <f t="shared" ref="R558" si="389">ROUND(P558*3/Q558,2)</f>
        <v>4.8899999999999997</v>
      </c>
      <c r="S558" s="184">
        <f>ROUND((441.63+467.97)/Q558,2)</f>
        <v>13.99</v>
      </c>
    </row>
    <row r="559" spans="1:19" x14ac:dyDescent="0.25">
      <c r="A559" s="232"/>
      <c r="B559" s="216"/>
      <c r="C559" s="30" t="s">
        <v>727</v>
      </c>
      <c r="D559" s="177"/>
      <c r="E559" s="199"/>
      <c r="F559" s="199"/>
      <c r="G559" s="199"/>
      <c r="H559" s="168"/>
      <c r="I559" s="170"/>
      <c r="J559" s="199"/>
      <c r="K559" s="170"/>
      <c r="L559" s="170"/>
      <c r="M559" s="174"/>
      <c r="N559" s="174"/>
      <c r="O559" s="179"/>
      <c r="P559" s="174"/>
      <c r="Q559" s="181"/>
      <c r="R559" s="183"/>
      <c r="S559" s="184"/>
    </row>
    <row r="560" spans="1:19" ht="20.25" customHeight="1" x14ac:dyDescent="0.25">
      <c r="A560" s="87">
        <v>420</v>
      </c>
      <c r="B560" s="98" t="s">
        <v>724</v>
      </c>
      <c r="C560" s="26" t="s">
        <v>401</v>
      </c>
      <c r="D560" s="103">
        <v>1962.25</v>
      </c>
      <c r="E560" s="103">
        <v>18.079999999999998</v>
      </c>
      <c r="F560" s="103">
        <v>532.22</v>
      </c>
      <c r="G560" s="103">
        <v>117.09</v>
      </c>
      <c r="H560" s="11">
        <v>175.99</v>
      </c>
      <c r="I560" s="5">
        <f>E560+F560+G560+H560+D560</f>
        <v>2805.63</v>
      </c>
      <c r="J560" s="103">
        <v>11.41</v>
      </c>
      <c r="K560" s="5">
        <f t="shared" ref="K560:K561" si="390">I560+J560</f>
        <v>2817.04</v>
      </c>
      <c r="L560" s="5">
        <f t="shared" ref="L560:L623" si="391">ROUND(K560*3%,2)</f>
        <v>84.51</v>
      </c>
      <c r="M560" s="15">
        <f t="shared" ref="M560:M561" si="392">K560+L560</f>
        <v>2901.55</v>
      </c>
      <c r="N560" s="15">
        <f t="shared" ref="N560:N623" si="393">ROUND(M560*20%,2)</f>
        <v>580.30999999999995</v>
      </c>
      <c r="O560" s="100">
        <f t="shared" ref="O560:O561" si="394">M560+N560</f>
        <v>3481.86</v>
      </c>
      <c r="P560" s="75">
        <f>ROUND(O560/5/12,2)</f>
        <v>58.03</v>
      </c>
      <c r="Q560" s="96">
        <v>56</v>
      </c>
      <c r="R560" s="79">
        <f>ROUND(P560*3/Q560,2)</f>
        <v>3.11</v>
      </c>
      <c r="S560" s="97">
        <f>ROUND(441.63/Q560,2)</f>
        <v>7.89</v>
      </c>
    </row>
    <row r="561" spans="1:19" ht="20.25" customHeight="1" x14ac:dyDescent="0.25">
      <c r="A561" s="87">
        <v>421</v>
      </c>
      <c r="B561" s="98" t="s">
        <v>826</v>
      </c>
      <c r="C561" s="26" t="s">
        <v>408</v>
      </c>
      <c r="D561" s="103">
        <v>2639</v>
      </c>
      <c r="E561" s="3">
        <v>21</v>
      </c>
      <c r="F561" s="3">
        <v>580.29999999999995</v>
      </c>
      <c r="G561" s="3">
        <v>127.67</v>
      </c>
      <c r="H561" s="11">
        <v>195.01</v>
      </c>
      <c r="I561" s="5">
        <f t="shared" ref="I561:I562" si="395">E561+F561+G561+H561+D561</f>
        <v>3562.98</v>
      </c>
      <c r="J561" s="103">
        <v>12.67</v>
      </c>
      <c r="K561" s="5">
        <f t="shared" si="390"/>
        <v>3575.65</v>
      </c>
      <c r="L561" s="5">
        <f t="shared" si="391"/>
        <v>107.27</v>
      </c>
      <c r="M561" s="15">
        <f t="shared" si="392"/>
        <v>3682.92</v>
      </c>
      <c r="N561" s="15">
        <f t="shared" si="393"/>
        <v>736.58</v>
      </c>
      <c r="O561" s="100">
        <f t="shared" si="394"/>
        <v>4419.5</v>
      </c>
      <c r="P561" s="75">
        <f>ROUND(O561/5/12,2)</f>
        <v>73.66</v>
      </c>
      <c r="Q561" s="96">
        <f>163+4</f>
        <v>167</v>
      </c>
      <c r="R561" s="79">
        <f>ROUND(P561*3/Q561,2)</f>
        <v>1.32</v>
      </c>
      <c r="S561" s="97">
        <f>ROUND(482.49/Q561,2)</f>
        <v>2.89</v>
      </c>
    </row>
    <row r="562" spans="1:19" ht="20.25" customHeight="1" x14ac:dyDescent="0.25">
      <c r="A562" s="91">
        <v>422</v>
      </c>
      <c r="B562" s="98" t="s">
        <v>725</v>
      </c>
      <c r="C562" s="26" t="s">
        <v>272</v>
      </c>
      <c r="D562" s="103">
        <v>2427.87</v>
      </c>
      <c r="E562" s="3">
        <v>21</v>
      </c>
      <c r="F562" s="3">
        <v>580.29999999999995</v>
      </c>
      <c r="G562" s="3">
        <v>127.67</v>
      </c>
      <c r="H562" s="11">
        <v>195.01</v>
      </c>
      <c r="I562" s="5">
        <f t="shared" si="395"/>
        <v>3351.85</v>
      </c>
      <c r="J562" s="103">
        <v>12.67</v>
      </c>
      <c r="K562" s="5">
        <f t="shared" si="326"/>
        <v>3364.52</v>
      </c>
      <c r="L562" s="5">
        <f t="shared" si="391"/>
        <v>100.94</v>
      </c>
      <c r="M562" s="15">
        <f t="shared" si="328"/>
        <v>3465.46</v>
      </c>
      <c r="N562" s="15">
        <f t="shared" si="393"/>
        <v>693.09</v>
      </c>
      <c r="O562" s="100">
        <f t="shared" si="330"/>
        <v>4158.55</v>
      </c>
      <c r="P562" s="75">
        <f>ROUND(O562/5/12,2)</f>
        <v>69.31</v>
      </c>
      <c r="Q562" s="96">
        <f>102+9</f>
        <v>111</v>
      </c>
      <c r="R562" s="79">
        <f>ROUND(P562*3/Q562,2)</f>
        <v>1.87</v>
      </c>
      <c r="S562" s="97">
        <f>ROUND(451.2/Q562,2)</f>
        <v>4.0599999999999996</v>
      </c>
    </row>
    <row r="563" spans="1:19" ht="20.25" customHeight="1" thickBot="1" x14ac:dyDescent="0.3">
      <c r="A563" s="23">
        <v>423</v>
      </c>
      <c r="B563" s="143" t="s">
        <v>726</v>
      </c>
      <c r="C563" s="112" t="s">
        <v>402</v>
      </c>
      <c r="D563" s="57">
        <v>1962.25</v>
      </c>
      <c r="E563" s="57">
        <v>18.079999999999998</v>
      </c>
      <c r="F563" s="57">
        <v>532.22</v>
      </c>
      <c r="G563" s="57">
        <v>117.09</v>
      </c>
      <c r="H563" s="58">
        <v>175.99</v>
      </c>
      <c r="I563" s="59">
        <f>E563+F563+G563+H563+D563</f>
        <v>2805.63</v>
      </c>
      <c r="J563" s="57">
        <v>11.41</v>
      </c>
      <c r="K563" s="59">
        <f t="shared" si="326"/>
        <v>2817.04</v>
      </c>
      <c r="L563" s="59">
        <f t="shared" si="391"/>
        <v>84.51</v>
      </c>
      <c r="M563" s="60">
        <f t="shared" si="328"/>
        <v>2901.55</v>
      </c>
      <c r="N563" s="60">
        <f t="shared" si="393"/>
        <v>580.30999999999995</v>
      </c>
      <c r="O563" s="61">
        <f t="shared" si="330"/>
        <v>3481.86</v>
      </c>
      <c r="P563" s="109">
        <f>ROUND(O563/5/12,2)</f>
        <v>58.03</v>
      </c>
      <c r="Q563" s="136">
        <f>39+1</f>
        <v>40</v>
      </c>
      <c r="R563" s="110">
        <f>ROUND(P563*3/Q563,2)</f>
        <v>4.3499999999999996</v>
      </c>
      <c r="S563" s="141">
        <f>ROUND(441.63/Q563,2)</f>
        <v>11.04</v>
      </c>
    </row>
    <row r="564" spans="1:19" ht="15.75" customHeight="1" x14ac:dyDescent="0.25">
      <c r="A564" s="253">
        <v>424</v>
      </c>
      <c r="B564" s="254" t="s">
        <v>827</v>
      </c>
      <c r="C564" s="138" t="s">
        <v>273</v>
      </c>
      <c r="D564" s="202">
        <f>1475.88*4+1962.25</f>
        <v>7865.77</v>
      </c>
      <c r="E564" s="201">
        <f>18.08*4+18.08</f>
        <v>90.399999999999991</v>
      </c>
      <c r="F564" s="201">
        <f>532.22*4+532.22</f>
        <v>2661.1000000000004</v>
      </c>
      <c r="G564" s="201">
        <f>117.09*4+117.09</f>
        <v>585.45000000000005</v>
      </c>
      <c r="H564" s="255">
        <f>175.99*4+175.99</f>
        <v>879.95</v>
      </c>
      <c r="I564" s="207">
        <f>E564+F564+G564+H564+D564</f>
        <v>12082.670000000002</v>
      </c>
      <c r="J564" s="201">
        <f>11.41*4+11.41</f>
        <v>57.05</v>
      </c>
      <c r="K564" s="207">
        <f>I564+J564</f>
        <v>12139.720000000001</v>
      </c>
      <c r="L564" s="207">
        <f t="shared" si="391"/>
        <v>364.19</v>
      </c>
      <c r="M564" s="257">
        <f>K564+L564</f>
        <v>12503.910000000002</v>
      </c>
      <c r="N564" s="257">
        <f t="shared" si="393"/>
        <v>2500.7800000000002</v>
      </c>
      <c r="O564" s="258">
        <f>M564+N564</f>
        <v>15004.690000000002</v>
      </c>
      <c r="P564" s="257">
        <f>ROUND(O564/5/12,2)</f>
        <v>250.08</v>
      </c>
      <c r="Q564" s="204">
        <f>35+35+36+35+37+3</f>
        <v>181</v>
      </c>
      <c r="R564" s="205">
        <f t="shared" ref="R564" si="396">ROUND(P564*3/Q564,2)</f>
        <v>4.1399999999999997</v>
      </c>
      <c r="S564" s="206">
        <f>ROUND(441.63*5/Q564,2)</f>
        <v>12.2</v>
      </c>
    </row>
    <row r="565" spans="1:19" ht="15.75" customHeight="1" x14ac:dyDescent="0.25">
      <c r="A565" s="232"/>
      <c r="B565" s="218"/>
      <c r="C565" s="29" t="s">
        <v>273</v>
      </c>
      <c r="D565" s="176"/>
      <c r="E565" s="200"/>
      <c r="F565" s="200"/>
      <c r="G565" s="200"/>
      <c r="H565" s="171">
        <f>ROUND((E565+F565+G565)*11.7%,2)</f>
        <v>0</v>
      </c>
      <c r="I565" s="172"/>
      <c r="J565" s="200">
        <f t="shared" ref="J565:J580" si="397">ROUND(I565*11.6%,2)</f>
        <v>0</v>
      </c>
      <c r="K565" s="172"/>
      <c r="L565" s="172">
        <f t="shared" si="391"/>
        <v>0</v>
      </c>
      <c r="M565" s="191"/>
      <c r="N565" s="191">
        <f t="shared" si="393"/>
        <v>0</v>
      </c>
      <c r="O565" s="187"/>
      <c r="P565" s="191"/>
      <c r="Q565" s="188"/>
      <c r="R565" s="189"/>
      <c r="S565" s="184"/>
    </row>
    <row r="566" spans="1:19" ht="15.75" customHeight="1" x14ac:dyDescent="0.25">
      <c r="A566" s="232"/>
      <c r="B566" s="218"/>
      <c r="C566" s="29" t="s">
        <v>390</v>
      </c>
      <c r="D566" s="176"/>
      <c r="E566" s="200"/>
      <c r="F566" s="200"/>
      <c r="G566" s="200"/>
      <c r="H566" s="171">
        <f>ROUND((E566+F566+G566)*11.7%,2)</f>
        <v>0</v>
      </c>
      <c r="I566" s="172"/>
      <c r="J566" s="200">
        <f t="shared" si="397"/>
        <v>0</v>
      </c>
      <c r="K566" s="172"/>
      <c r="L566" s="172">
        <f t="shared" si="391"/>
        <v>0</v>
      </c>
      <c r="M566" s="191"/>
      <c r="N566" s="191">
        <f t="shared" si="393"/>
        <v>0</v>
      </c>
      <c r="O566" s="187"/>
      <c r="P566" s="191"/>
      <c r="Q566" s="188"/>
      <c r="R566" s="189"/>
      <c r="S566" s="184"/>
    </row>
    <row r="567" spans="1:19" ht="15.75" customHeight="1" x14ac:dyDescent="0.25">
      <c r="A567" s="232"/>
      <c r="B567" s="218"/>
      <c r="C567" s="29" t="s">
        <v>390</v>
      </c>
      <c r="D567" s="176"/>
      <c r="E567" s="200"/>
      <c r="F567" s="200"/>
      <c r="G567" s="200"/>
      <c r="H567" s="171">
        <f>ROUND((E567+F567+G567)*11.7%,2)</f>
        <v>0</v>
      </c>
      <c r="I567" s="172"/>
      <c r="J567" s="200">
        <f t="shared" si="397"/>
        <v>0</v>
      </c>
      <c r="K567" s="172"/>
      <c r="L567" s="172">
        <f t="shared" si="391"/>
        <v>0</v>
      </c>
      <c r="M567" s="191"/>
      <c r="N567" s="191">
        <f t="shared" si="393"/>
        <v>0</v>
      </c>
      <c r="O567" s="187"/>
      <c r="P567" s="191"/>
      <c r="Q567" s="188"/>
      <c r="R567" s="189"/>
      <c r="S567" s="184"/>
    </row>
    <row r="568" spans="1:19" ht="15.75" customHeight="1" x14ac:dyDescent="0.25">
      <c r="A568" s="232"/>
      <c r="B568" s="216"/>
      <c r="C568" s="30" t="s">
        <v>401</v>
      </c>
      <c r="D568" s="177"/>
      <c r="E568" s="199"/>
      <c r="F568" s="199"/>
      <c r="G568" s="199"/>
      <c r="H568" s="168">
        <f>ROUND((E568+F568+G568)*11.7%,2)</f>
        <v>0</v>
      </c>
      <c r="I568" s="170"/>
      <c r="J568" s="199">
        <f t="shared" si="397"/>
        <v>0</v>
      </c>
      <c r="K568" s="170"/>
      <c r="L568" s="170">
        <f t="shared" si="391"/>
        <v>0</v>
      </c>
      <c r="M568" s="174"/>
      <c r="N568" s="174">
        <f t="shared" si="393"/>
        <v>0</v>
      </c>
      <c r="O568" s="179"/>
      <c r="P568" s="174"/>
      <c r="Q568" s="181"/>
      <c r="R568" s="183"/>
      <c r="S568" s="184"/>
    </row>
    <row r="569" spans="1:19" ht="15.75" x14ac:dyDescent="0.25">
      <c r="A569" s="87">
        <v>425</v>
      </c>
      <c r="B569" s="98" t="s">
        <v>733</v>
      </c>
      <c r="C569" s="26" t="s">
        <v>263</v>
      </c>
      <c r="D569" s="103">
        <v>2639</v>
      </c>
      <c r="E569" s="3">
        <v>21</v>
      </c>
      <c r="F569" s="3">
        <v>580.29999999999995</v>
      </c>
      <c r="G569" s="3">
        <v>127.67</v>
      </c>
      <c r="H569" s="11">
        <v>195.01</v>
      </c>
      <c r="I569" s="5">
        <f t="shared" ref="I569:I571" si="398">E569+F569+G569+H569+D569</f>
        <v>3562.98</v>
      </c>
      <c r="J569" s="103">
        <v>12.67</v>
      </c>
      <c r="K569" s="5">
        <f t="shared" ref="K569" si="399">I569+J569</f>
        <v>3575.65</v>
      </c>
      <c r="L569" s="5">
        <f t="shared" si="391"/>
        <v>107.27</v>
      </c>
      <c r="M569" s="15">
        <f t="shared" ref="M569" si="400">K569+L569</f>
        <v>3682.92</v>
      </c>
      <c r="N569" s="15">
        <f t="shared" si="393"/>
        <v>736.58</v>
      </c>
      <c r="O569" s="100">
        <f t="shared" ref="O569" si="401">M569+N569</f>
        <v>4419.5</v>
      </c>
      <c r="P569" s="75">
        <f>ROUND(O569/5/12,2)</f>
        <v>73.66</v>
      </c>
      <c r="Q569" s="96">
        <f>177+3</f>
        <v>180</v>
      </c>
      <c r="R569" s="79">
        <f>ROUND(P569*3/Q569,2)</f>
        <v>1.23</v>
      </c>
      <c r="S569" s="48">
        <f>ROUND(452.88/Q569,2)</f>
        <v>2.52</v>
      </c>
    </row>
    <row r="570" spans="1:19" ht="15.75" x14ac:dyDescent="0.25">
      <c r="A570" s="87">
        <v>426</v>
      </c>
      <c r="B570" s="98" t="s">
        <v>732</v>
      </c>
      <c r="C570" s="26" t="s">
        <v>272</v>
      </c>
      <c r="D570" s="103">
        <v>2427.87</v>
      </c>
      <c r="E570" s="3">
        <v>21</v>
      </c>
      <c r="F570" s="3">
        <v>580.29999999999995</v>
      </c>
      <c r="G570" s="3">
        <v>127.67</v>
      </c>
      <c r="H570" s="11">
        <v>195.01</v>
      </c>
      <c r="I570" s="5">
        <f t="shared" si="398"/>
        <v>3351.85</v>
      </c>
      <c r="J570" s="103">
        <v>12.67</v>
      </c>
      <c r="K570" s="5">
        <f t="shared" si="326"/>
        <v>3364.52</v>
      </c>
      <c r="L570" s="5">
        <f t="shared" si="391"/>
        <v>100.94</v>
      </c>
      <c r="M570" s="15">
        <f t="shared" si="328"/>
        <v>3465.46</v>
      </c>
      <c r="N570" s="15">
        <f t="shared" si="393"/>
        <v>693.09</v>
      </c>
      <c r="O570" s="100">
        <f t="shared" si="330"/>
        <v>4158.55</v>
      </c>
      <c r="P570" s="75">
        <f>ROUND(O570/5/12,2)</f>
        <v>69.31</v>
      </c>
      <c r="Q570" s="96">
        <f>119+2</f>
        <v>121</v>
      </c>
      <c r="R570" s="79">
        <f>ROUND(P570*3/Q570,2)</f>
        <v>1.72</v>
      </c>
      <c r="S570" s="97">
        <f>ROUND(451.2/Q570,2)</f>
        <v>3.73</v>
      </c>
    </row>
    <row r="571" spans="1:19" ht="15.75" x14ac:dyDescent="0.25">
      <c r="A571" s="87">
        <v>427</v>
      </c>
      <c r="B571" s="98" t="s">
        <v>731</v>
      </c>
      <c r="C571" s="26" t="s">
        <v>383</v>
      </c>
      <c r="D571" s="103">
        <v>2427.87</v>
      </c>
      <c r="E571" s="3">
        <v>21</v>
      </c>
      <c r="F571" s="3">
        <v>580.29999999999995</v>
      </c>
      <c r="G571" s="3">
        <v>127.67</v>
      </c>
      <c r="H571" s="11">
        <v>195.01</v>
      </c>
      <c r="I571" s="5">
        <f t="shared" si="398"/>
        <v>3351.85</v>
      </c>
      <c r="J571" s="103">
        <v>12.67</v>
      </c>
      <c r="K571" s="5">
        <f t="shared" si="326"/>
        <v>3364.52</v>
      </c>
      <c r="L571" s="5">
        <f t="shared" si="391"/>
        <v>100.94</v>
      </c>
      <c r="M571" s="15">
        <f t="shared" si="328"/>
        <v>3465.46</v>
      </c>
      <c r="N571" s="15">
        <f t="shared" si="393"/>
        <v>693.09</v>
      </c>
      <c r="O571" s="100">
        <f t="shared" si="330"/>
        <v>4158.55</v>
      </c>
      <c r="P571" s="75">
        <f>ROUND(O571/5/12,2)</f>
        <v>69.31</v>
      </c>
      <c r="Q571" s="96">
        <v>111</v>
      </c>
      <c r="R571" s="79">
        <f>ROUND(P571*3/Q571,2)</f>
        <v>1.87</v>
      </c>
      <c r="S571" s="97">
        <f>ROUND(451.2/Q571,2)</f>
        <v>4.0599999999999996</v>
      </c>
    </row>
    <row r="572" spans="1:19" ht="15.75" customHeight="1" x14ac:dyDescent="0.25">
      <c r="A572" s="232">
        <v>428</v>
      </c>
      <c r="B572" s="226" t="s">
        <v>828</v>
      </c>
      <c r="C572" s="27" t="s">
        <v>402</v>
      </c>
      <c r="D572" s="175">
        <f>1962.25*5+2639</f>
        <v>12450.25</v>
      </c>
      <c r="E572" s="190">
        <f>18.08*5+21</f>
        <v>111.39999999999999</v>
      </c>
      <c r="F572" s="190">
        <f>532.22*5+580.3</f>
        <v>3241.4000000000005</v>
      </c>
      <c r="G572" s="190">
        <f>117.09*5+127.67</f>
        <v>713.12</v>
      </c>
      <c r="H572" s="167">
        <f>175.99*5+195.01</f>
        <v>1074.96</v>
      </c>
      <c r="I572" s="169">
        <f>E572+F572+G572+H572+D572</f>
        <v>17591.13</v>
      </c>
      <c r="J572" s="190">
        <f>11.41*5+12.67</f>
        <v>69.72</v>
      </c>
      <c r="K572" s="169">
        <f t="shared" si="326"/>
        <v>17660.850000000002</v>
      </c>
      <c r="L572" s="169">
        <f t="shared" si="391"/>
        <v>529.83000000000004</v>
      </c>
      <c r="M572" s="173">
        <f t="shared" si="328"/>
        <v>18190.680000000004</v>
      </c>
      <c r="N572" s="173">
        <f t="shared" si="393"/>
        <v>3638.14</v>
      </c>
      <c r="O572" s="178">
        <f t="shared" si="330"/>
        <v>21828.820000000003</v>
      </c>
      <c r="P572" s="173">
        <f>ROUND(O572/5/12,2)</f>
        <v>363.81</v>
      </c>
      <c r="Q572" s="180">
        <f>35+36+36+36+36+1</f>
        <v>180</v>
      </c>
      <c r="R572" s="182">
        <f t="shared" ref="R572" si="402">ROUND(P572*3/Q572,2)</f>
        <v>6.06</v>
      </c>
      <c r="S572" s="184">
        <f>ROUND((441.63*5+452.88)/Q572,2)</f>
        <v>14.78</v>
      </c>
    </row>
    <row r="573" spans="1:19" ht="15.75" customHeight="1" x14ac:dyDescent="0.25">
      <c r="A573" s="232"/>
      <c r="B573" s="227"/>
      <c r="C573" s="29" t="s">
        <v>402</v>
      </c>
      <c r="D573" s="176"/>
      <c r="E573" s="200"/>
      <c r="F573" s="200"/>
      <c r="G573" s="200"/>
      <c r="H573" s="171">
        <f>ROUND((E573+F573+G573)*11.7%,2)</f>
        <v>0</v>
      </c>
      <c r="I573" s="172"/>
      <c r="J573" s="200">
        <f t="shared" si="397"/>
        <v>0</v>
      </c>
      <c r="K573" s="172"/>
      <c r="L573" s="172">
        <f t="shared" si="391"/>
        <v>0</v>
      </c>
      <c r="M573" s="191"/>
      <c r="N573" s="191">
        <f t="shared" si="393"/>
        <v>0</v>
      </c>
      <c r="O573" s="187"/>
      <c r="P573" s="191"/>
      <c r="Q573" s="188"/>
      <c r="R573" s="189"/>
      <c r="S573" s="184"/>
    </row>
    <row r="574" spans="1:19" ht="15.75" customHeight="1" x14ac:dyDescent="0.25">
      <c r="A574" s="232"/>
      <c r="B574" s="227"/>
      <c r="C574" s="29" t="s">
        <v>402</v>
      </c>
      <c r="D574" s="176"/>
      <c r="E574" s="200"/>
      <c r="F574" s="200"/>
      <c r="G574" s="200"/>
      <c r="H574" s="171">
        <f>ROUND((E574+F574+G574)*11.7%,2)</f>
        <v>0</v>
      </c>
      <c r="I574" s="172"/>
      <c r="J574" s="200">
        <f t="shared" si="397"/>
        <v>0</v>
      </c>
      <c r="K574" s="172"/>
      <c r="L574" s="172">
        <f t="shared" si="391"/>
        <v>0</v>
      </c>
      <c r="M574" s="191"/>
      <c r="N574" s="191">
        <f t="shared" si="393"/>
        <v>0</v>
      </c>
      <c r="O574" s="187"/>
      <c r="P574" s="191"/>
      <c r="Q574" s="188"/>
      <c r="R574" s="189"/>
      <c r="S574" s="184"/>
    </row>
    <row r="575" spans="1:19" ht="15.75" customHeight="1" x14ac:dyDescent="0.25">
      <c r="A575" s="232"/>
      <c r="B575" s="227"/>
      <c r="C575" s="29" t="s">
        <v>402</v>
      </c>
      <c r="D575" s="176"/>
      <c r="E575" s="200"/>
      <c r="F575" s="200"/>
      <c r="G575" s="200"/>
      <c r="H575" s="171">
        <f>ROUND((E575+F575+G575)*11.7%,2)</f>
        <v>0</v>
      </c>
      <c r="I575" s="172"/>
      <c r="J575" s="200">
        <f t="shared" si="397"/>
        <v>0</v>
      </c>
      <c r="K575" s="172"/>
      <c r="L575" s="172">
        <f t="shared" si="391"/>
        <v>0</v>
      </c>
      <c r="M575" s="191"/>
      <c r="N575" s="191">
        <f t="shared" si="393"/>
        <v>0</v>
      </c>
      <c r="O575" s="187"/>
      <c r="P575" s="191"/>
      <c r="Q575" s="188"/>
      <c r="R575" s="189"/>
      <c r="S575" s="184"/>
    </row>
    <row r="576" spans="1:19" ht="15.75" customHeight="1" x14ac:dyDescent="0.25">
      <c r="A576" s="232"/>
      <c r="B576" s="227"/>
      <c r="C576" s="29" t="s">
        <v>402</v>
      </c>
      <c r="D576" s="176"/>
      <c r="E576" s="200"/>
      <c r="F576" s="200"/>
      <c r="G576" s="200"/>
      <c r="H576" s="171">
        <f>ROUND((E576+F576+G576)*11.7%,2)</f>
        <v>0</v>
      </c>
      <c r="I576" s="172"/>
      <c r="J576" s="200">
        <f t="shared" si="397"/>
        <v>0</v>
      </c>
      <c r="K576" s="172"/>
      <c r="L576" s="172">
        <f t="shared" si="391"/>
        <v>0</v>
      </c>
      <c r="M576" s="191"/>
      <c r="N576" s="191">
        <f t="shared" si="393"/>
        <v>0</v>
      </c>
      <c r="O576" s="187"/>
      <c r="P576" s="191"/>
      <c r="Q576" s="188"/>
      <c r="R576" s="189"/>
      <c r="S576" s="184"/>
    </row>
    <row r="577" spans="1:19" ht="15.75" customHeight="1" x14ac:dyDescent="0.25">
      <c r="A577" s="232"/>
      <c r="B577" s="228"/>
      <c r="C577" s="30" t="s">
        <v>263</v>
      </c>
      <c r="D577" s="177"/>
      <c r="E577" s="199"/>
      <c r="F577" s="199"/>
      <c r="G577" s="199"/>
      <c r="H577" s="168">
        <f>ROUND((E577+F577+G577)*11.7%,2)</f>
        <v>0</v>
      </c>
      <c r="I577" s="170"/>
      <c r="J577" s="199">
        <f t="shared" si="397"/>
        <v>0</v>
      </c>
      <c r="K577" s="170"/>
      <c r="L577" s="170">
        <f t="shared" si="391"/>
        <v>0</v>
      </c>
      <c r="M577" s="174"/>
      <c r="N577" s="174">
        <f t="shared" si="393"/>
        <v>0</v>
      </c>
      <c r="O577" s="179"/>
      <c r="P577" s="174"/>
      <c r="Q577" s="181"/>
      <c r="R577" s="183"/>
      <c r="S577" s="184"/>
    </row>
    <row r="578" spans="1:19" ht="15.75" x14ac:dyDescent="0.25">
      <c r="A578" s="87">
        <v>429</v>
      </c>
      <c r="B578" s="98" t="s">
        <v>730</v>
      </c>
      <c r="C578" s="26" t="s">
        <v>409</v>
      </c>
      <c r="D578" s="103">
        <v>2210.63</v>
      </c>
      <c r="E578" s="103">
        <v>18.079999999999998</v>
      </c>
      <c r="F578" s="103">
        <v>532.22</v>
      </c>
      <c r="G578" s="103">
        <v>117.09</v>
      </c>
      <c r="H578" s="11">
        <v>175.99</v>
      </c>
      <c r="I578" s="5">
        <f>E578+F578+G578+H578+D578</f>
        <v>3054.01</v>
      </c>
      <c r="J578" s="103">
        <v>11.41</v>
      </c>
      <c r="K578" s="5">
        <f>I578+J578</f>
        <v>3065.42</v>
      </c>
      <c r="L578" s="5">
        <f>ROUND(K578*3%,2)</f>
        <v>91.96</v>
      </c>
      <c r="M578" s="15">
        <f>K578+L578</f>
        <v>3157.38</v>
      </c>
      <c r="N578" s="15">
        <f>ROUND(M578*20%,2)</f>
        <v>631.48</v>
      </c>
      <c r="O578" s="100">
        <f>M578+N578</f>
        <v>3788.86</v>
      </c>
      <c r="P578" s="75">
        <f>ROUND(O578/5/12,2)</f>
        <v>63.15</v>
      </c>
      <c r="Q578" s="96">
        <f>73+37</f>
        <v>110</v>
      </c>
      <c r="R578" s="79">
        <f t="shared" ref="R578:R579" si="403">ROUND(P578*3/Q578,2)</f>
        <v>1.72</v>
      </c>
      <c r="S578" s="97">
        <f>ROUND(469.47/Q578,2)</f>
        <v>4.2699999999999996</v>
      </c>
    </row>
    <row r="579" spans="1:19" x14ac:dyDescent="0.25">
      <c r="A579" s="220">
        <v>430</v>
      </c>
      <c r="B579" s="215" t="s">
        <v>829</v>
      </c>
      <c r="C579" s="27" t="s">
        <v>260</v>
      </c>
      <c r="D579" s="190">
        <f>2210.63+2427.87</f>
        <v>4638.5</v>
      </c>
      <c r="E579" s="190">
        <f>18.08+21</f>
        <v>39.08</v>
      </c>
      <c r="F579" s="190">
        <f>532.22+580.3</f>
        <v>1112.52</v>
      </c>
      <c r="G579" s="190">
        <f>117.09+127.67</f>
        <v>244.76</v>
      </c>
      <c r="H579" s="167">
        <f>175.99+195.01</f>
        <v>371</v>
      </c>
      <c r="I579" s="169">
        <f>E579+F579+G579+H579+D579</f>
        <v>6405.86</v>
      </c>
      <c r="J579" s="190">
        <f>11.41+12.67</f>
        <v>24.08</v>
      </c>
      <c r="K579" s="169">
        <f t="shared" ref="K579" si="404">I579+J579</f>
        <v>6429.94</v>
      </c>
      <c r="L579" s="169">
        <f t="shared" si="391"/>
        <v>192.9</v>
      </c>
      <c r="M579" s="169">
        <f t="shared" ref="M579" si="405">K579+L579</f>
        <v>6622.8399999999992</v>
      </c>
      <c r="N579" s="169">
        <f t="shared" si="393"/>
        <v>1324.57</v>
      </c>
      <c r="O579" s="185">
        <f t="shared" ref="O579" si="406">M579+N579</f>
        <v>7947.4099999999989</v>
      </c>
      <c r="P579" s="169">
        <f>ROUND(O579/5/12,2)</f>
        <v>132.46</v>
      </c>
      <c r="Q579" s="180">
        <f>72+108</f>
        <v>180</v>
      </c>
      <c r="R579" s="182">
        <f t="shared" si="403"/>
        <v>2.21</v>
      </c>
      <c r="S579" s="184">
        <f>ROUND((441.63+451.2)/Q579,2)</f>
        <v>4.96</v>
      </c>
    </row>
    <row r="580" spans="1:19" x14ac:dyDescent="0.25">
      <c r="A580" s="223"/>
      <c r="B580" s="216"/>
      <c r="C580" s="30" t="s">
        <v>734</v>
      </c>
      <c r="D580" s="177"/>
      <c r="E580" s="199"/>
      <c r="F580" s="199"/>
      <c r="G580" s="199"/>
      <c r="H580" s="168">
        <f>ROUND((E580+F580+G580)*11.7%,2)</f>
        <v>0</v>
      </c>
      <c r="I580" s="170"/>
      <c r="J580" s="199">
        <f t="shared" si="397"/>
        <v>0</v>
      </c>
      <c r="K580" s="170"/>
      <c r="L580" s="170">
        <f t="shared" si="391"/>
        <v>0</v>
      </c>
      <c r="M580" s="170"/>
      <c r="N580" s="170">
        <f t="shared" si="393"/>
        <v>0</v>
      </c>
      <c r="O580" s="186"/>
      <c r="P580" s="170"/>
      <c r="Q580" s="181"/>
      <c r="R580" s="183"/>
      <c r="S580" s="184"/>
    </row>
    <row r="581" spans="1:19" ht="25.5" x14ac:dyDescent="0.25">
      <c r="A581" s="87">
        <v>431</v>
      </c>
      <c r="B581" s="98" t="s">
        <v>729</v>
      </c>
      <c r="C581" s="26" t="s">
        <v>687</v>
      </c>
      <c r="D581" s="103">
        <v>2210.63</v>
      </c>
      <c r="E581" s="103">
        <v>18.079999999999998</v>
      </c>
      <c r="F581" s="103">
        <v>532.22</v>
      </c>
      <c r="G581" s="103">
        <v>117.09</v>
      </c>
      <c r="H581" s="11">
        <v>175.99</v>
      </c>
      <c r="I581" s="5">
        <f>E581+F581+G581+H581+D581</f>
        <v>3054.01</v>
      </c>
      <c r="J581" s="103">
        <v>11.41</v>
      </c>
      <c r="K581" s="5">
        <f>I581+J581</f>
        <v>3065.42</v>
      </c>
      <c r="L581" s="5">
        <f>ROUND(K581*3%,2)</f>
        <v>91.96</v>
      </c>
      <c r="M581" s="15">
        <f>K581+L581</f>
        <v>3157.38</v>
      </c>
      <c r="N581" s="15">
        <f>ROUND(M581*20%,2)</f>
        <v>631.48</v>
      </c>
      <c r="O581" s="100">
        <f>M581+N581</f>
        <v>3788.86</v>
      </c>
      <c r="P581" s="75">
        <f t="shared" ref="P581:P589" si="407">ROUND(O581/5/12,2)</f>
        <v>63.15</v>
      </c>
      <c r="Q581" s="96">
        <v>91</v>
      </c>
      <c r="R581" s="79">
        <f t="shared" ref="R581:R584" si="408">ROUND(P581*3/Q581,2)</f>
        <v>2.08</v>
      </c>
      <c r="S581" s="97">
        <f>ROUND(469.47/Q581,2)</f>
        <v>5.16</v>
      </c>
    </row>
    <row r="582" spans="1:19" ht="15.75" x14ac:dyDescent="0.25">
      <c r="A582" s="87">
        <v>432</v>
      </c>
      <c r="B582" s="98" t="s">
        <v>735</v>
      </c>
      <c r="C582" s="26" t="s">
        <v>410</v>
      </c>
      <c r="D582" s="103">
        <v>2210.63</v>
      </c>
      <c r="E582" s="103">
        <v>18.079999999999998</v>
      </c>
      <c r="F582" s="103">
        <v>532.22</v>
      </c>
      <c r="G582" s="103">
        <v>117.09</v>
      </c>
      <c r="H582" s="11">
        <v>175.99</v>
      </c>
      <c r="I582" s="5">
        <f>E582+F582+G582+H582+D582</f>
        <v>3054.01</v>
      </c>
      <c r="J582" s="103">
        <v>11.41</v>
      </c>
      <c r="K582" s="5">
        <f>I582+J582</f>
        <v>3065.42</v>
      </c>
      <c r="L582" s="5">
        <f>ROUND(K582*3%,2)</f>
        <v>91.96</v>
      </c>
      <c r="M582" s="15">
        <f>K582+L582</f>
        <v>3157.38</v>
      </c>
      <c r="N582" s="15">
        <f>ROUND(M582*20%,2)</f>
        <v>631.48</v>
      </c>
      <c r="O582" s="100">
        <f>M582+N582</f>
        <v>3788.86</v>
      </c>
      <c r="P582" s="75">
        <f t="shared" si="407"/>
        <v>63.15</v>
      </c>
      <c r="Q582" s="96">
        <f>71+1</f>
        <v>72</v>
      </c>
      <c r="R582" s="79">
        <f t="shared" si="408"/>
        <v>2.63</v>
      </c>
      <c r="S582" s="48">
        <f>ROUND(469.47/Q582,2)</f>
        <v>6.52</v>
      </c>
    </row>
    <row r="583" spans="1:19" ht="15.75" x14ac:dyDescent="0.25">
      <c r="A583" s="91">
        <v>433</v>
      </c>
      <c r="B583" s="98" t="s">
        <v>736</v>
      </c>
      <c r="C583" s="41" t="s">
        <v>411</v>
      </c>
      <c r="D583" s="103">
        <v>2210.63</v>
      </c>
      <c r="E583" s="103">
        <v>18.079999999999998</v>
      </c>
      <c r="F583" s="103">
        <v>532.22</v>
      </c>
      <c r="G583" s="103">
        <v>117.09</v>
      </c>
      <c r="H583" s="11">
        <v>175.99</v>
      </c>
      <c r="I583" s="5">
        <f>E583+F583+G583+H583+D583</f>
        <v>3054.01</v>
      </c>
      <c r="J583" s="103">
        <v>11.41</v>
      </c>
      <c r="K583" s="5">
        <f>I583+J583</f>
        <v>3065.42</v>
      </c>
      <c r="L583" s="5">
        <f>ROUND(K583*3%,2)</f>
        <v>91.96</v>
      </c>
      <c r="M583" s="15">
        <f>K583+L583</f>
        <v>3157.38</v>
      </c>
      <c r="N583" s="15">
        <f>ROUND(M583*20%,2)</f>
        <v>631.48</v>
      </c>
      <c r="O583" s="100">
        <f>M583+N583</f>
        <v>3788.86</v>
      </c>
      <c r="P583" s="75">
        <f t="shared" si="407"/>
        <v>63.15</v>
      </c>
      <c r="Q583" s="65">
        <v>108</v>
      </c>
      <c r="R583" s="79">
        <f t="shared" si="408"/>
        <v>1.75</v>
      </c>
      <c r="S583" s="97">
        <f>ROUND(441.63/Q583,2)</f>
        <v>4.09</v>
      </c>
    </row>
    <row r="584" spans="1:19" ht="15.75" x14ac:dyDescent="0.25">
      <c r="A584" s="87">
        <v>434</v>
      </c>
      <c r="B584" s="88" t="s">
        <v>412</v>
      </c>
      <c r="C584" s="26" t="s">
        <v>16</v>
      </c>
      <c r="D584" s="103">
        <v>2210.63</v>
      </c>
      <c r="E584" s="103">
        <v>18.079999999999998</v>
      </c>
      <c r="F584" s="103">
        <v>532.22</v>
      </c>
      <c r="G584" s="103">
        <v>117.09</v>
      </c>
      <c r="H584" s="11">
        <v>175.99</v>
      </c>
      <c r="I584" s="5">
        <f>E584+F584+G584+H584+D584</f>
        <v>3054.01</v>
      </c>
      <c r="J584" s="103">
        <v>11.41</v>
      </c>
      <c r="K584" s="5">
        <f>I584+J584</f>
        <v>3065.42</v>
      </c>
      <c r="L584" s="5">
        <f>ROUND(K584*3%,2)</f>
        <v>91.96</v>
      </c>
      <c r="M584" s="15">
        <f>K584+L584</f>
        <v>3157.38</v>
      </c>
      <c r="N584" s="15">
        <f>ROUND(M584*20%,2)</f>
        <v>631.48</v>
      </c>
      <c r="O584" s="100">
        <f>M584+N584</f>
        <v>3788.86</v>
      </c>
      <c r="P584" s="75">
        <f t="shared" si="407"/>
        <v>63.15</v>
      </c>
      <c r="Q584" s="66">
        <v>79</v>
      </c>
      <c r="R584" s="79">
        <f t="shared" si="408"/>
        <v>2.4</v>
      </c>
      <c r="S584" s="80">
        <f>ROUND(441.63/Q584,2)</f>
        <v>5.59</v>
      </c>
    </row>
    <row r="585" spans="1:19" ht="15.75" x14ac:dyDescent="0.25">
      <c r="A585" s="91">
        <v>435</v>
      </c>
      <c r="B585" s="88" t="s">
        <v>413</v>
      </c>
      <c r="C585" s="43" t="s">
        <v>414</v>
      </c>
      <c r="D585" s="103">
        <v>2639</v>
      </c>
      <c r="E585" s="3">
        <v>21</v>
      </c>
      <c r="F585" s="3">
        <v>580.29999999999995</v>
      </c>
      <c r="G585" s="3">
        <v>127.67</v>
      </c>
      <c r="H585" s="11">
        <v>195.01</v>
      </c>
      <c r="I585" s="5">
        <f t="shared" ref="I585:I590" si="409">E585+F585+G585+H585+D585</f>
        <v>3562.98</v>
      </c>
      <c r="J585" s="103">
        <v>12.67</v>
      </c>
      <c r="K585" s="5">
        <f t="shared" ref="K585:K586" si="410">I585+J585</f>
        <v>3575.65</v>
      </c>
      <c r="L585" s="5">
        <f t="shared" ref="L585:L586" si="411">ROUND(K585*3%,2)</f>
        <v>107.27</v>
      </c>
      <c r="M585" s="15">
        <f t="shared" ref="M585:M590" si="412">K585+L585</f>
        <v>3682.92</v>
      </c>
      <c r="N585" s="15">
        <f t="shared" ref="N585:N586" si="413">ROUND(M585*20%,2)</f>
        <v>736.58</v>
      </c>
      <c r="O585" s="100">
        <f t="shared" ref="O585:O590" si="414">M585+N585</f>
        <v>4419.5</v>
      </c>
      <c r="P585" s="75">
        <f t="shared" si="407"/>
        <v>73.66</v>
      </c>
      <c r="Q585" s="66">
        <f>143+7</f>
        <v>150</v>
      </c>
      <c r="R585" s="79">
        <f>ROUND(P585*3/Q585,2)</f>
        <v>1.47</v>
      </c>
      <c r="S585" s="97">
        <f>ROUND(452.88/Q585,2)</f>
        <v>3.02</v>
      </c>
    </row>
    <row r="586" spans="1:19" ht="15.75" x14ac:dyDescent="0.25">
      <c r="A586" s="87">
        <v>436</v>
      </c>
      <c r="B586" s="88" t="s">
        <v>415</v>
      </c>
      <c r="C586" s="26" t="s">
        <v>416</v>
      </c>
      <c r="D586" s="103">
        <v>2639</v>
      </c>
      <c r="E586" s="3">
        <v>21</v>
      </c>
      <c r="F586" s="3">
        <v>580.29999999999995</v>
      </c>
      <c r="G586" s="3">
        <v>127.67</v>
      </c>
      <c r="H586" s="11">
        <v>195.01</v>
      </c>
      <c r="I586" s="5">
        <f t="shared" si="409"/>
        <v>3562.98</v>
      </c>
      <c r="J586" s="103">
        <v>12.67</v>
      </c>
      <c r="K586" s="5">
        <f t="shared" si="410"/>
        <v>3575.65</v>
      </c>
      <c r="L586" s="5">
        <f t="shared" si="411"/>
        <v>107.27</v>
      </c>
      <c r="M586" s="15">
        <f t="shared" si="412"/>
        <v>3682.92</v>
      </c>
      <c r="N586" s="15">
        <f t="shared" si="413"/>
        <v>736.58</v>
      </c>
      <c r="O586" s="100">
        <f t="shared" si="414"/>
        <v>4419.5</v>
      </c>
      <c r="P586" s="75">
        <f t="shared" si="407"/>
        <v>73.66</v>
      </c>
      <c r="Q586" s="66">
        <v>180</v>
      </c>
      <c r="R586" s="79">
        <f>ROUND(P586*3/Q586,2)</f>
        <v>1.23</v>
      </c>
      <c r="S586" s="48">
        <f>ROUND(452.88/Q586,2)</f>
        <v>2.52</v>
      </c>
    </row>
    <row r="587" spans="1:19" ht="31.5" x14ac:dyDescent="0.25">
      <c r="A587" s="91">
        <v>437</v>
      </c>
      <c r="B587" s="88" t="s">
        <v>417</v>
      </c>
      <c r="C587" s="43" t="s">
        <v>418</v>
      </c>
      <c r="D587" s="13">
        <v>1373.5</v>
      </c>
      <c r="E587" s="103">
        <v>18.079999999999998</v>
      </c>
      <c r="F587" s="14">
        <v>532.22</v>
      </c>
      <c r="G587" s="14">
        <v>117.09</v>
      </c>
      <c r="H587" s="82">
        <v>175.99</v>
      </c>
      <c r="I587" s="5">
        <f t="shared" si="409"/>
        <v>2216.88</v>
      </c>
      <c r="J587" s="86">
        <v>11.41</v>
      </c>
      <c r="K587" s="5">
        <f>I587+J587</f>
        <v>2228.29</v>
      </c>
      <c r="L587" s="84">
        <f t="shared" si="391"/>
        <v>66.849999999999994</v>
      </c>
      <c r="M587" s="5">
        <f t="shared" si="412"/>
        <v>2295.14</v>
      </c>
      <c r="N587" s="15">
        <f t="shared" si="393"/>
        <v>459.03</v>
      </c>
      <c r="O587" s="54">
        <f t="shared" si="414"/>
        <v>2754.17</v>
      </c>
      <c r="P587" s="75">
        <f t="shared" si="407"/>
        <v>45.9</v>
      </c>
      <c r="Q587" s="66">
        <v>1</v>
      </c>
      <c r="R587" s="79">
        <f>ROUND(P587*3/Q587,2)+0.01</f>
        <v>137.70999999999998</v>
      </c>
      <c r="S587" s="80">
        <f>ROUND(441.63/Q587,2)</f>
        <v>441.63</v>
      </c>
    </row>
    <row r="588" spans="1:19" ht="31.5" x14ac:dyDescent="0.25">
      <c r="A588" s="22">
        <v>438</v>
      </c>
      <c r="B588" s="88" t="s">
        <v>737</v>
      </c>
      <c r="C588" s="43" t="s">
        <v>419</v>
      </c>
      <c r="D588" s="103">
        <v>2210.63</v>
      </c>
      <c r="E588" s="103">
        <v>18.079999999999998</v>
      </c>
      <c r="F588" s="103">
        <v>532.22</v>
      </c>
      <c r="G588" s="103">
        <v>117.09</v>
      </c>
      <c r="H588" s="11">
        <v>175.99</v>
      </c>
      <c r="I588" s="5">
        <f>E588+F588+G588+H588+D588</f>
        <v>3054.01</v>
      </c>
      <c r="J588" s="103">
        <v>11.41</v>
      </c>
      <c r="K588" s="5">
        <f>I588+J588</f>
        <v>3065.42</v>
      </c>
      <c r="L588" s="5">
        <f>ROUND(K588*3%,2)</f>
        <v>91.96</v>
      </c>
      <c r="M588" s="15">
        <f>K588+L588</f>
        <v>3157.38</v>
      </c>
      <c r="N588" s="15">
        <f>ROUND(M588*20%,2)</f>
        <v>631.48</v>
      </c>
      <c r="O588" s="100">
        <f>M588+N588</f>
        <v>3788.86</v>
      </c>
      <c r="P588" s="75">
        <f t="shared" si="407"/>
        <v>63.15</v>
      </c>
      <c r="Q588" s="66">
        <v>117</v>
      </c>
      <c r="R588" s="79">
        <f t="shared" ref="R588:R590" si="415">ROUND(P588*3/Q588,2)</f>
        <v>1.62</v>
      </c>
      <c r="S588" s="80">
        <f>ROUND(441.63/Q588,2)</f>
        <v>3.77</v>
      </c>
    </row>
    <row r="589" spans="1:19" ht="31.5" x14ac:dyDescent="0.25">
      <c r="A589" s="22">
        <v>439</v>
      </c>
      <c r="B589" s="88" t="s">
        <v>867</v>
      </c>
      <c r="C589" s="43" t="s">
        <v>418</v>
      </c>
      <c r="D589" s="13">
        <v>1373.5</v>
      </c>
      <c r="E589" s="103">
        <v>18.079999999999998</v>
      </c>
      <c r="F589" s="14">
        <v>532.22</v>
      </c>
      <c r="G589" s="14">
        <v>117.09</v>
      </c>
      <c r="H589" s="82">
        <v>175.99</v>
      </c>
      <c r="I589" s="5">
        <f t="shared" ref="I589" si="416">E589+F589+G589+H589+D589</f>
        <v>2216.88</v>
      </c>
      <c r="J589" s="86">
        <v>11.41</v>
      </c>
      <c r="K589" s="5">
        <f>I589+J589</f>
        <v>2228.29</v>
      </c>
      <c r="L589" s="84">
        <f t="shared" ref="L589" si="417">ROUND(K589*3%,2)</f>
        <v>66.849999999999994</v>
      </c>
      <c r="M589" s="5">
        <f t="shared" ref="M589" si="418">K589+L589</f>
        <v>2295.14</v>
      </c>
      <c r="N589" s="15">
        <f t="shared" ref="N589" si="419">ROUND(M589*20%,2)</f>
        <v>459.03</v>
      </c>
      <c r="O589" s="54">
        <f t="shared" ref="O589" si="420">M589+N589</f>
        <v>2754.17</v>
      </c>
      <c r="P589" s="75">
        <f t="shared" si="407"/>
        <v>45.9</v>
      </c>
      <c r="Q589" s="66">
        <f>1+1</f>
        <v>2</v>
      </c>
      <c r="R589" s="79">
        <f t="shared" si="415"/>
        <v>68.849999999999994</v>
      </c>
      <c r="S589" s="80">
        <f>ROUND(441.63/Q589,2)</f>
        <v>220.82</v>
      </c>
    </row>
    <row r="590" spans="1:19" x14ac:dyDescent="0.25">
      <c r="A590" s="213">
        <v>440</v>
      </c>
      <c r="B590" s="226" t="s">
        <v>830</v>
      </c>
      <c r="C590" s="27" t="s">
        <v>49</v>
      </c>
      <c r="D590" s="175">
        <f>1962.25*3</f>
        <v>5886.75</v>
      </c>
      <c r="E590" s="195">
        <f>18.08*3</f>
        <v>54.239999999999995</v>
      </c>
      <c r="F590" s="195">
        <f>532.22*3</f>
        <v>1596.66</v>
      </c>
      <c r="G590" s="222">
        <f>117.09*3</f>
        <v>351.27</v>
      </c>
      <c r="H590" s="167">
        <f>175.99*3</f>
        <v>527.97</v>
      </c>
      <c r="I590" s="169">
        <f t="shared" si="409"/>
        <v>8416.89</v>
      </c>
      <c r="J590" s="190">
        <f>11.41*3</f>
        <v>34.230000000000004</v>
      </c>
      <c r="K590" s="169">
        <f t="shared" ref="K590" si="421">I590+J590</f>
        <v>8451.119999999999</v>
      </c>
      <c r="L590" s="169">
        <f t="shared" si="391"/>
        <v>253.53</v>
      </c>
      <c r="M590" s="169">
        <f t="shared" si="412"/>
        <v>8704.65</v>
      </c>
      <c r="N590" s="169">
        <f t="shared" si="393"/>
        <v>1740.93</v>
      </c>
      <c r="O590" s="185">
        <f t="shared" si="414"/>
        <v>10445.58</v>
      </c>
      <c r="P590" s="169">
        <f>ROUND(O590/5/12,2)</f>
        <v>174.09</v>
      </c>
      <c r="Q590" s="260">
        <f>36+36+36</f>
        <v>108</v>
      </c>
      <c r="R590" s="182">
        <f t="shared" si="415"/>
        <v>4.84</v>
      </c>
      <c r="S590" s="259">
        <f>ROUND((441.63*2+469.47)/Q590,2)</f>
        <v>12.53</v>
      </c>
    </row>
    <row r="591" spans="1:19" x14ac:dyDescent="0.25">
      <c r="A591" s="217"/>
      <c r="B591" s="227"/>
      <c r="C591" s="29" t="s">
        <v>49</v>
      </c>
      <c r="D591" s="176"/>
      <c r="E591" s="196"/>
      <c r="F591" s="196"/>
      <c r="G591" s="229"/>
      <c r="H591" s="171"/>
      <c r="I591" s="172"/>
      <c r="J591" s="200"/>
      <c r="K591" s="172"/>
      <c r="L591" s="172">
        <f t="shared" si="391"/>
        <v>0</v>
      </c>
      <c r="M591" s="172"/>
      <c r="N591" s="172">
        <f t="shared" si="393"/>
        <v>0</v>
      </c>
      <c r="O591" s="198"/>
      <c r="P591" s="172"/>
      <c r="Q591" s="261"/>
      <c r="R591" s="189"/>
      <c r="S591" s="259"/>
    </row>
    <row r="592" spans="1:19" x14ac:dyDescent="0.25">
      <c r="A592" s="214"/>
      <c r="B592" s="228"/>
      <c r="C592" s="30" t="s">
        <v>40</v>
      </c>
      <c r="D592" s="177"/>
      <c r="E592" s="197"/>
      <c r="F592" s="197"/>
      <c r="G592" s="230"/>
      <c r="H592" s="168"/>
      <c r="I592" s="170"/>
      <c r="J592" s="199"/>
      <c r="K592" s="170"/>
      <c r="L592" s="170">
        <f t="shared" si="391"/>
        <v>0</v>
      </c>
      <c r="M592" s="170"/>
      <c r="N592" s="170">
        <f t="shared" si="393"/>
        <v>0</v>
      </c>
      <c r="O592" s="186"/>
      <c r="P592" s="170"/>
      <c r="Q592" s="262"/>
      <c r="R592" s="183"/>
      <c r="S592" s="259"/>
    </row>
    <row r="593" spans="1:19" s="12" customFormat="1" ht="15.75" x14ac:dyDescent="0.25">
      <c r="A593" s="22">
        <v>441</v>
      </c>
      <c r="B593" s="99" t="s">
        <v>420</v>
      </c>
      <c r="C593" s="26" t="s">
        <v>16</v>
      </c>
      <c r="D593" s="103">
        <v>2210.63</v>
      </c>
      <c r="E593" s="103">
        <v>18.079999999999998</v>
      </c>
      <c r="F593" s="103">
        <v>532.22</v>
      </c>
      <c r="G593" s="103">
        <v>117.09</v>
      </c>
      <c r="H593" s="11">
        <v>175.99</v>
      </c>
      <c r="I593" s="5">
        <f>E593+F593+G593+H593+D593</f>
        <v>3054.01</v>
      </c>
      <c r="J593" s="103">
        <v>11.41</v>
      </c>
      <c r="K593" s="5">
        <f>I593+J593</f>
        <v>3065.42</v>
      </c>
      <c r="L593" s="5">
        <f>ROUND(K593*3%,2)</f>
        <v>91.96</v>
      </c>
      <c r="M593" s="15">
        <f>K593+L593</f>
        <v>3157.38</v>
      </c>
      <c r="N593" s="15">
        <f>ROUND(M593*20%,2)</f>
        <v>631.48</v>
      </c>
      <c r="O593" s="100">
        <f>M593+N593</f>
        <v>3788.86</v>
      </c>
      <c r="P593" s="75">
        <f t="shared" ref="P593:P602" si="422">ROUND(O593/5/12,2)</f>
        <v>63.15</v>
      </c>
      <c r="Q593" s="67">
        <v>81</v>
      </c>
      <c r="R593" s="79">
        <f t="shared" ref="R593" si="423">ROUND(P593*3/Q593,2)</f>
        <v>2.34</v>
      </c>
      <c r="S593" s="80">
        <f t="shared" ref="S593:S594" si="424">ROUND(441.63/Q593,2)</f>
        <v>5.45</v>
      </c>
    </row>
    <row r="594" spans="1:19" ht="15.75" x14ac:dyDescent="0.25">
      <c r="A594" s="22">
        <v>442</v>
      </c>
      <c r="B594" s="99" t="s">
        <v>421</v>
      </c>
      <c r="C594" s="43" t="s">
        <v>422</v>
      </c>
      <c r="D594" s="103">
        <v>1475.88</v>
      </c>
      <c r="E594" s="103">
        <v>18.079999999999998</v>
      </c>
      <c r="F594" s="103">
        <v>532.22</v>
      </c>
      <c r="G594" s="103">
        <v>117.09</v>
      </c>
      <c r="H594" s="11">
        <v>175.99</v>
      </c>
      <c r="I594" s="5">
        <f t="shared" ref="I594" si="425">E594+F594+G594+H594+D594</f>
        <v>2319.2600000000002</v>
      </c>
      <c r="J594" s="103">
        <v>11.41</v>
      </c>
      <c r="K594" s="5">
        <f t="shared" ref="K594:K595" si="426">I594+J594</f>
        <v>2330.67</v>
      </c>
      <c r="L594" s="5">
        <f t="shared" ref="L594:L595" si="427">ROUND(K594*3%,2)</f>
        <v>69.92</v>
      </c>
      <c r="M594" s="15">
        <f t="shared" ref="M594:M595" si="428">K594+L594</f>
        <v>2400.59</v>
      </c>
      <c r="N594" s="15">
        <f t="shared" ref="N594:N595" si="429">ROUND(M594*20%,2)</f>
        <v>480.12</v>
      </c>
      <c r="O594" s="100">
        <f t="shared" ref="O594:O595" si="430">M594+N594</f>
        <v>2880.71</v>
      </c>
      <c r="P594" s="75">
        <f t="shared" si="422"/>
        <v>48.01</v>
      </c>
      <c r="Q594" s="67">
        <v>8</v>
      </c>
      <c r="R594" s="79">
        <f>ROUND(P594*3/Q594,2)</f>
        <v>18</v>
      </c>
      <c r="S594" s="80">
        <f t="shared" si="424"/>
        <v>55.2</v>
      </c>
    </row>
    <row r="595" spans="1:19" ht="15.75" x14ac:dyDescent="0.25">
      <c r="A595" s="22">
        <v>443</v>
      </c>
      <c r="B595" s="99" t="s">
        <v>423</v>
      </c>
      <c r="C595" s="43" t="s">
        <v>424</v>
      </c>
      <c r="D595" s="103">
        <v>1962.25</v>
      </c>
      <c r="E595" s="103">
        <v>18.079999999999998</v>
      </c>
      <c r="F595" s="103">
        <v>532.22</v>
      </c>
      <c r="G595" s="103">
        <v>117.09</v>
      </c>
      <c r="H595" s="11">
        <v>175.99</v>
      </c>
      <c r="I595" s="5">
        <f>E595+F595+G595+H595+D595</f>
        <v>2805.63</v>
      </c>
      <c r="J595" s="103">
        <v>11.41</v>
      </c>
      <c r="K595" s="5">
        <f t="shared" si="426"/>
        <v>2817.04</v>
      </c>
      <c r="L595" s="5">
        <f t="shared" si="427"/>
        <v>84.51</v>
      </c>
      <c r="M595" s="15">
        <f t="shared" si="428"/>
        <v>2901.55</v>
      </c>
      <c r="N595" s="15">
        <f t="shared" si="429"/>
        <v>580.30999999999995</v>
      </c>
      <c r="O595" s="100">
        <f t="shared" si="430"/>
        <v>3481.86</v>
      </c>
      <c r="P595" s="75">
        <f t="shared" si="422"/>
        <v>58.03</v>
      </c>
      <c r="Q595" s="67">
        <v>54</v>
      </c>
      <c r="R595" s="79">
        <f>ROUND(P595*3/Q595,2)</f>
        <v>3.22</v>
      </c>
      <c r="S595" s="80">
        <f>ROUND(441.63/Q595,2)</f>
        <v>8.18</v>
      </c>
    </row>
    <row r="596" spans="1:19" ht="15.75" x14ac:dyDescent="0.25">
      <c r="A596" s="22">
        <v>444</v>
      </c>
      <c r="B596" s="99" t="s">
        <v>425</v>
      </c>
      <c r="C596" s="26" t="s">
        <v>16</v>
      </c>
      <c r="D596" s="103">
        <v>2210.63</v>
      </c>
      <c r="E596" s="103">
        <v>18.079999999999998</v>
      </c>
      <c r="F596" s="103">
        <v>532.22</v>
      </c>
      <c r="G596" s="103">
        <v>117.09</v>
      </c>
      <c r="H596" s="11">
        <v>175.99</v>
      </c>
      <c r="I596" s="5">
        <f>E596+F596+G596+H596+D596</f>
        <v>3054.01</v>
      </c>
      <c r="J596" s="103">
        <v>11.41</v>
      </c>
      <c r="K596" s="5">
        <f>I596+J596</f>
        <v>3065.42</v>
      </c>
      <c r="L596" s="5">
        <f>ROUND(K596*3%,2)</f>
        <v>91.96</v>
      </c>
      <c r="M596" s="15">
        <f>K596+L596</f>
        <v>3157.38</v>
      </c>
      <c r="N596" s="15">
        <f>ROUND(M596*20%,2)</f>
        <v>631.48</v>
      </c>
      <c r="O596" s="100">
        <f>M596+N596</f>
        <v>3788.86</v>
      </c>
      <c r="P596" s="75">
        <f t="shared" si="422"/>
        <v>63.15</v>
      </c>
      <c r="Q596" s="67">
        <v>108</v>
      </c>
      <c r="R596" s="79">
        <f t="shared" ref="R596:R597" si="431">ROUND(P596*3/Q596,2)</f>
        <v>1.75</v>
      </c>
      <c r="S596" s="80">
        <f t="shared" ref="S596:S598" si="432">ROUND(441.63/Q596,2)</f>
        <v>4.09</v>
      </c>
    </row>
    <row r="597" spans="1:19" ht="15.75" x14ac:dyDescent="0.25">
      <c r="A597" s="22">
        <v>445</v>
      </c>
      <c r="B597" s="99" t="s">
        <v>426</v>
      </c>
      <c r="C597" s="43" t="s">
        <v>132</v>
      </c>
      <c r="D597" s="103">
        <v>2210.63</v>
      </c>
      <c r="E597" s="103">
        <v>18.079999999999998</v>
      </c>
      <c r="F597" s="103">
        <v>532.22</v>
      </c>
      <c r="G597" s="103">
        <v>117.09</v>
      </c>
      <c r="H597" s="11">
        <v>175.99</v>
      </c>
      <c r="I597" s="5">
        <f>E597+F597+G597+H597+D597</f>
        <v>3054.01</v>
      </c>
      <c r="J597" s="103">
        <v>11.41</v>
      </c>
      <c r="K597" s="5">
        <f>I597+J597</f>
        <v>3065.42</v>
      </c>
      <c r="L597" s="5">
        <f>ROUND(K597*3%,2)</f>
        <v>91.96</v>
      </c>
      <c r="M597" s="15">
        <f>K597+L597</f>
        <v>3157.38</v>
      </c>
      <c r="N597" s="15">
        <f>ROUND(M597*20%,2)</f>
        <v>631.48</v>
      </c>
      <c r="O597" s="100">
        <f>M597+N597</f>
        <v>3788.86</v>
      </c>
      <c r="P597" s="75">
        <f t="shared" si="422"/>
        <v>63.15</v>
      </c>
      <c r="Q597" s="67">
        <v>60</v>
      </c>
      <c r="R597" s="79">
        <f t="shared" si="431"/>
        <v>3.16</v>
      </c>
      <c r="S597" s="80">
        <f t="shared" si="432"/>
        <v>7.36</v>
      </c>
    </row>
    <row r="598" spans="1:19" ht="15.75" x14ac:dyDescent="0.25">
      <c r="A598" s="22">
        <v>446</v>
      </c>
      <c r="B598" s="99" t="s">
        <v>427</v>
      </c>
      <c r="C598" s="43" t="s">
        <v>422</v>
      </c>
      <c r="D598" s="103">
        <v>1475.88</v>
      </c>
      <c r="E598" s="103">
        <v>18.079999999999998</v>
      </c>
      <c r="F598" s="103">
        <v>532.22</v>
      </c>
      <c r="G598" s="103">
        <v>117.09</v>
      </c>
      <c r="H598" s="11">
        <v>175.99</v>
      </c>
      <c r="I598" s="5">
        <f t="shared" ref="I598" si="433">E598+F598+G598+H598+D598</f>
        <v>2319.2600000000002</v>
      </c>
      <c r="J598" s="103">
        <v>11.41</v>
      </c>
      <c r="K598" s="5">
        <f t="shared" ref="K598:K603" si="434">I598+J598</f>
        <v>2330.67</v>
      </c>
      <c r="L598" s="5">
        <f t="shared" ref="L598" si="435">ROUND(K598*3%,2)</f>
        <v>69.92</v>
      </c>
      <c r="M598" s="15">
        <f t="shared" ref="M598:M603" si="436">K598+L598</f>
        <v>2400.59</v>
      </c>
      <c r="N598" s="15">
        <f t="shared" ref="N598" si="437">ROUND(M598*20%,2)</f>
        <v>480.12</v>
      </c>
      <c r="O598" s="100">
        <f t="shared" ref="O598:O603" si="438">M598+N598</f>
        <v>2880.71</v>
      </c>
      <c r="P598" s="75">
        <f t="shared" si="422"/>
        <v>48.01</v>
      </c>
      <c r="Q598" s="67">
        <v>8</v>
      </c>
      <c r="R598" s="79">
        <f>ROUND(P598*3/Q598,2)</f>
        <v>18</v>
      </c>
      <c r="S598" s="80">
        <f t="shared" si="432"/>
        <v>55.2</v>
      </c>
    </row>
    <row r="599" spans="1:19" ht="15.75" x14ac:dyDescent="0.25">
      <c r="A599" s="22">
        <v>447</v>
      </c>
      <c r="B599" s="99" t="s">
        <v>428</v>
      </c>
      <c r="C599" s="26" t="s">
        <v>49</v>
      </c>
      <c r="D599" s="103">
        <v>1962.25</v>
      </c>
      <c r="E599" s="103">
        <v>18.079999999999998</v>
      </c>
      <c r="F599" s="103">
        <v>532.22</v>
      </c>
      <c r="G599" s="103">
        <v>117.09</v>
      </c>
      <c r="H599" s="11">
        <v>175.99</v>
      </c>
      <c r="I599" s="5">
        <f>E599+F599+G599+H599+D599</f>
        <v>2805.63</v>
      </c>
      <c r="J599" s="103">
        <v>11.41</v>
      </c>
      <c r="K599" s="5">
        <f t="shared" si="434"/>
        <v>2817.04</v>
      </c>
      <c r="L599" s="5">
        <f t="shared" si="391"/>
        <v>84.51</v>
      </c>
      <c r="M599" s="15">
        <f t="shared" si="436"/>
        <v>2901.55</v>
      </c>
      <c r="N599" s="15">
        <f t="shared" si="393"/>
        <v>580.30999999999995</v>
      </c>
      <c r="O599" s="100">
        <f t="shared" si="438"/>
        <v>3481.86</v>
      </c>
      <c r="P599" s="75">
        <f t="shared" si="422"/>
        <v>58.03</v>
      </c>
      <c r="Q599" s="67">
        <v>15</v>
      </c>
      <c r="R599" s="79">
        <f>ROUND(P599*3/Q599,2)</f>
        <v>11.61</v>
      </c>
      <c r="S599" s="80">
        <f>ROUND(441.63/Q599,2)</f>
        <v>29.44</v>
      </c>
    </row>
    <row r="600" spans="1:19" ht="15.75" x14ac:dyDescent="0.25">
      <c r="A600" s="22">
        <v>448</v>
      </c>
      <c r="B600" s="99" t="s">
        <v>429</v>
      </c>
      <c r="C600" s="26" t="s">
        <v>430</v>
      </c>
      <c r="D600" s="103">
        <v>1475.88</v>
      </c>
      <c r="E600" s="103">
        <v>18.079999999999998</v>
      </c>
      <c r="F600" s="103">
        <v>532.22</v>
      </c>
      <c r="G600" s="103">
        <v>117.09</v>
      </c>
      <c r="H600" s="11">
        <v>175.99</v>
      </c>
      <c r="I600" s="5">
        <f t="shared" ref="I600:I601" si="439">E600+F600+G600+H600+D600</f>
        <v>2319.2600000000002</v>
      </c>
      <c r="J600" s="103">
        <v>11.41</v>
      </c>
      <c r="K600" s="5">
        <f t="shared" si="434"/>
        <v>2330.67</v>
      </c>
      <c r="L600" s="5">
        <f t="shared" si="391"/>
        <v>69.92</v>
      </c>
      <c r="M600" s="15">
        <f t="shared" si="436"/>
        <v>2400.59</v>
      </c>
      <c r="N600" s="15">
        <f t="shared" si="393"/>
        <v>480.12</v>
      </c>
      <c r="O600" s="100">
        <f t="shared" si="438"/>
        <v>2880.71</v>
      </c>
      <c r="P600" s="75">
        <f t="shared" si="422"/>
        <v>48.01</v>
      </c>
      <c r="Q600" s="67">
        <v>54</v>
      </c>
      <c r="R600" s="79">
        <f>ROUND(P600*3/Q600,2)</f>
        <v>2.67</v>
      </c>
      <c r="S600" s="80">
        <f t="shared" ref="S600:S602" si="440">ROUND(441.63/Q600,2)</f>
        <v>8.18</v>
      </c>
    </row>
    <row r="601" spans="1:19" ht="15.75" x14ac:dyDescent="0.25">
      <c r="A601" s="22">
        <v>449</v>
      </c>
      <c r="B601" s="99" t="s">
        <v>431</v>
      </c>
      <c r="C601" s="26" t="s">
        <v>432</v>
      </c>
      <c r="D601" s="103">
        <v>1475.88</v>
      </c>
      <c r="E601" s="103">
        <v>18.079999999999998</v>
      </c>
      <c r="F601" s="103">
        <v>532.22</v>
      </c>
      <c r="G601" s="103">
        <v>117.09</v>
      </c>
      <c r="H601" s="11">
        <v>175.99</v>
      </c>
      <c r="I601" s="5">
        <f t="shared" si="439"/>
        <v>2319.2600000000002</v>
      </c>
      <c r="J601" s="103">
        <v>11.41</v>
      </c>
      <c r="K601" s="5">
        <f t="shared" si="434"/>
        <v>2330.67</v>
      </c>
      <c r="L601" s="5">
        <f t="shared" si="391"/>
        <v>69.92</v>
      </c>
      <c r="M601" s="15">
        <f t="shared" si="436"/>
        <v>2400.59</v>
      </c>
      <c r="N601" s="15">
        <f t="shared" si="393"/>
        <v>480.12</v>
      </c>
      <c r="O601" s="100">
        <f t="shared" si="438"/>
        <v>2880.71</v>
      </c>
      <c r="P601" s="75">
        <f t="shared" si="422"/>
        <v>48.01</v>
      </c>
      <c r="Q601" s="67">
        <v>54</v>
      </c>
      <c r="R601" s="79">
        <f>ROUND(P601*3/Q601,2)</f>
        <v>2.67</v>
      </c>
      <c r="S601" s="80">
        <f t="shared" si="440"/>
        <v>8.18</v>
      </c>
    </row>
    <row r="602" spans="1:19" ht="15.75" x14ac:dyDescent="0.25">
      <c r="A602" s="22">
        <v>450</v>
      </c>
      <c r="B602" s="99" t="s">
        <v>433</v>
      </c>
      <c r="C602" s="43" t="s">
        <v>434</v>
      </c>
      <c r="D602" s="103">
        <v>2210.63</v>
      </c>
      <c r="E602" s="103">
        <v>18.079999999999998</v>
      </c>
      <c r="F602" s="103">
        <v>532.22</v>
      </c>
      <c r="G602" s="103">
        <v>117.09</v>
      </c>
      <c r="H602" s="11">
        <v>175.99</v>
      </c>
      <c r="I602" s="5">
        <f>E602+F602+G602+H602+D602</f>
        <v>3054.01</v>
      </c>
      <c r="J602" s="103">
        <v>11.41</v>
      </c>
      <c r="K602" s="5">
        <f>I602+J602</f>
        <v>3065.42</v>
      </c>
      <c r="L602" s="5">
        <f>ROUND(K602*3%,2)</f>
        <v>91.96</v>
      </c>
      <c r="M602" s="15">
        <f>K602+L602</f>
        <v>3157.38</v>
      </c>
      <c r="N602" s="15">
        <f>ROUND(M602*20%,2)</f>
        <v>631.48</v>
      </c>
      <c r="O602" s="100">
        <f>M602+N602</f>
        <v>3788.86</v>
      </c>
      <c r="P602" s="75">
        <f t="shared" si="422"/>
        <v>63.15</v>
      </c>
      <c r="Q602" s="67">
        <v>36</v>
      </c>
      <c r="R602" s="79">
        <f t="shared" ref="R602" si="441">ROUND(P602*3/Q602,2)</f>
        <v>5.26</v>
      </c>
      <c r="S602" s="80">
        <f t="shared" si="440"/>
        <v>12.27</v>
      </c>
    </row>
    <row r="603" spans="1:19" ht="15.75" customHeight="1" x14ac:dyDescent="0.25">
      <c r="A603" s="213">
        <v>451</v>
      </c>
      <c r="B603" s="226" t="s">
        <v>831</v>
      </c>
      <c r="C603" s="27" t="s">
        <v>39</v>
      </c>
      <c r="D603" s="175">
        <f>ROUND(2210.63*2,2)</f>
        <v>4421.26</v>
      </c>
      <c r="E603" s="175">
        <f>ROUND(18.08*2,2)</f>
        <v>36.159999999999997</v>
      </c>
      <c r="F603" s="175">
        <f>ROUND(532.22*2,2)</f>
        <v>1064.44</v>
      </c>
      <c r="G603" s="190">
        <f>ROUND(117.09*2,2)</f>
        <v>234.18</v>
      </c>
      <c r="H603" s="167">
        <f>ROUND(175.99*2,2)</f>
        <v>351.98</v>
      </c>
      <c r="I603" s="169">
        <f t="shared" ref="I603" si="442">E603+F603+G603+H603+D603</f>
        <v>6108.02</v>
      </c>
      <c r="J603" s="190">
        <f>ROUND(11.41*3,2)</f>
        <v>34.229999999999997</v>
      </c>
      <c r="K603" s="169">
        <f t="shared" si="434"/>
        <v>6142.25</v>
      </c>
      <c r="L603" s="169">
        <f t="shared" si="391"/>
        <v>184.27</v>
      </c>
      <c r="M603" s="169">
        <f t="shared" si="436"/>
        <v>6326.52</v>
      </c>
      <c r="N603" s="169">
        <f t="shared" si="393"/>
        <v>1265.3</v>
      </c>
      <c r="O603" s="185">
        <f t="shared" si="438"/>
        <v>7591.8200000000006</v>
      </c>
      <c r="P603" s="169">
        <f>ROUND(O603/5/12,2)</f>
        <v>126.53</v>
      </c>
      <c r="Q603" s="263">
        <v>144</v>
      </c>
      <c r="R603" s="182">
        <f>ROUND(P603*3/Q603,2)-0.01</f>
        <v>2.6300000000000003</v>
      </c>
      <c r="S603" s="259">
        <f>ROUND(469.47*2/Q603,2)</f>
        <v>6.52</v>
      </c>
    </row>
    <row r="604" spans="1:19" ht="15.75" customHeight="1" x14ac:dyDescent="0.25">
      <c r="A604" s="214"/>
      <c r="B604" s="228"/>
      <c r="C604" s="30" t="s">
        <v>435</v>
      </c>
      <c r="D604" s="177"/>
      <c r="E604" s="177"/>
      <c r="F604" s="177"/>
      <c r="G604" s="199"/>
      <c r="H604" s="168">
        <f>ROUND((E604+F604+G604)*11.7%,2)</f>
        <v>0</v>
      </c>
      <c r="I604" s="170"/>
      <c r="J604" s="199">
        <f t="shared" ref="J604" si="443">ROUND(I604*11.6%,2)</f>
        <v>0</v>
      </c>
      <c r="K604" s="170"/>
      <c r="L604" s="170">
        <f t="shared" si="391"/>
        <v>0</v>
      </c>
      <c r="M604" s="170"/>
      <c r="N604" s="170">
        <f t="shared" si="393"/>
        <v>0</v>
      </c>
      <c r="O604" s="186"/>
      <c r="P604" s="170"/>
      <c r="Q604" s="264"/>
      <c r="R604" s="183"/>
      <c r="S604" s="259"/>
    </row>
    <row r="605" spans="1:19" ht="15.75" x14ac:dyDescent="0.25">
      <c r="A605" s="22">
        <v>452</v>
      </c>
      <c r="B605" s="99" t="s">
        <v>436</v>
      </c>
      <c r="C605" s="43" t="s">
        <v>437</v>
      </c>
      <c r="D605" s="103">
        <v>2427.87</v>
      </c>
      <c r="E605" s="3">
        <v>21</v>
      </c>
      <c r="F605" s="3">
        <v>580.29999999999995</v>
      </c>
      <c r="G605" s="3">
        <v>127.67</v>
      </c>
      <c r="H605" s="11">
        <v>195.01</v>
      </c>
      <c r="I605" s="5">
        <f t="shared" ref="I605" si="444">E605+F605+G605+H605+D605</f>
        <v>3351.85</v>
      </c>
      <c r="J605" s="103">
        <v>12.67</v>
      </c>
      <c r="K605" s="5">
        <f t="shared" ref="K605:K657" si="445">I605+J605</f>
        <v>3364.52</v>
      </c>
      <c r="L605" s="5">
        <f t="shared" si="391"/>
        <v>100.94</v>
      </c>
      <c r="M605" s="15">
        <f t="shared" ref="M605:M657" si="446">K605+L605</f>
        <v>3465.46</v>
      </c>
      <c r="N605" s="15">
        <f t="shared" si="393"/>
        <v>693.09</v>
      </c>
      <c r="O605" s="100">
        <f t="shared" ref="O605:O657" si="447">M605+N605</f>
        <v>4158.55</v>
      </c>
      <c r="P605" s="75">
        <f t="shared" ref="P605:P614" si="448">ROUND(O605/5/12,2)</f>
        <v>69.31</v>
      </c>
      <c r="Q605" s="67">
        <v>144</v>
      </c>
      <c r="R605" s="79">
        <f t="shared" ref="R605:R614" si="449">ROUND(P605*3/Q605,2)</f>
        <v>1.44</v>
      </c>
      <c r="S605" s="80">
        <f>ROUND(451.2/Q605,2)</f>
        <v>3.13</v>
      </c>
    </row>
    <row r="606" spans="1:19" ht="15.75" x14ac:dyDescent="0.25">
      <c r="A606" s="22">
        <v>453</v>
      </c>
      <c r="B606" s="99" t="s">
        <v>438</v>
      </c>
      <c r="C606" s="26" t="s">
        <v>49</v>
      </c>
      <c r="D606" s="103">
        <v>1962.25</v>
      </c>
      <c r="E606" s="103">
        <v>18.079999999999998</v>
      </c>
      <c r="F606" s="103">
        <v>532.22</v>
      </c>
      <c r="G606" s="103">
        <v>117.09</v>
      </c>
      <c r="H606" s="11">
        <v>175.99</v>
      </c>
      <c r="I606" s="5">
        <f>E606+F606+G606+H606+D606</f>
        <v>2805.63</v>
      </c>
      <c r="J606" s="103">
        <v>11.41</v>
      </c>
      <c r="K606" s="5">
        <f t="shared" si="445"/>
        <v>2817.04</v>
      </c>
      <c r="L606" s="5">
        <f t="shared" si="391"/>
        <v>84.51</v>
      </c>
      <c r="M606" s="15">
        <f t="shared" si="446"/>
        <v>2901.55</v>
      </c>
      <c r="N606" s="15">
        <f t="shared" si="393"/>
        <v>580.30999999999995</v>
      </c>
      <c r="O606" s="100">
        <f t="shared" si="447"/>
        <v>3481.86</v>
      </c>
      <c r="P606" s="75">
        <f t="shared" si="448"/>
        <v>58.03</v>
      </c>
      <c r="Q606" s="67">
        <v>30</v>
      </c>
      <c r="R606" s="79">
        <f t="shared" si="449"/>
        <v>5.8</v>
      </c>
      <c r="S606" s="80">
        <f>ROUND(441.63/Q606,2)</f>
        <v>14.72</v>
      </c>
    </row>
    <row r="607" spans="1:19" ht="15.75" x14ac:dyDescent="0.25">
      <c r="A607" s="22">
        <v>454</v>
      </c>
      <c r="B607" s="99" t="s">
        <v>439</v>
      </c>
      <c r="C607" s="43" t="s">
        <v>440</v>
      </c>
      <c r="D607" s="103">
        <v>1962.25</v>
      </c>
      <c r="E607" s="103">
        <v>18.079999999999998</v>
      </c>
      <c r="F607" s="103">
        <v>532.22</v>
      </c>
      <c r="G607" s="103">
        <v>117.09</v>
      </c>
      <c r="H607" s="11">
        <v>175.99</v>
      </c>
      <c r="I607" s="5">
        <f>E607+F607+G607+H607+D607</f>
        <v>2805.63</v>
      </c>
      <c r="J607" s="103">
        <v>11.41</v>
      </c>
      <c r="K607" s="5">
        <f t="shared" si="445"/>
        <v>2817.04</v>
      </c>
      <c r="L607" s="5">
        <f t="shared" si="391"/>
        <v>84.51</v>
      </c>
      <c r="M607" s="15">
        <f t="shared" si="446"/>
        <v>2901.55</v>
      </c>
      <c r="N607" s="15">
        <f t="shared" si="393"/>
        <v>580.30999999999995</v>
      </c>
      <c r="O607" s="100">
        <f t="shared" si="447"/>
        <v>3481.86</v>
      </c>
      <c r="P607" s="75">
        <f t="shared" si="448"/>
        <v>58.03</v>
      </c>
      <c r="Q607" s="67">
        <v>47</v>
      </c>
      <c r="R607" s="79">
        <f t="shared" si="449"/>
        <v>3.7</v>
      </c>
      <c r="S607" s="80">
        <f>ROUND(441.63/Q607,2)</f>
        <v>9.4</v>
      </c>
    </row>
    <row r="608" spans="1:19" ht="15.75" x14ac:dyDescent="0.25">
      <c r="A608" s="22">
        <v>455</v>
      </c>
      <c r="B608" s="99" t="s">
        <v>441</v>
      </c>
      <c r="C608" s="43" t="s">
        <v>422</v>
      </c>
      <c r="D608" s="103">
        <v>1475.88</v>
      </c>
      <c r="E608" s="103">
        <v>18.079999999999998</v>
      </c>
      <c r="F608" s="103">
        <v>532.22</v>
      </c>
      <c r="G608" s="103">
        <v>117.09</v>
      </c>
      <c r="H608" s="11">
        <v>175.99</v>
      </c>
      <c r="I608" s="5">
        <f t="shared" ref="I608:I609" si="450">E608+F608+G608+H608+D608</f>
        <v>2319.2600000000002</v>
      </c>
      <c r="J608" s="103">
        <v>11.41</v>
      </c>
      <c r="K608" s="5">
        <f t="shared" si="445"/>
        <v>2330.67</v>
      </c>
      <c r="L608" s="5">
        <f t="shared" si="391"/>
        <v>69.92</v>
      </c>
      <c r="M608" s="15">
        <f t="shared" si="446"/>
        <v>2400.59</v>
      </c>
      <c r="N608" s="15">
        <f t="shared" si="393"/>
        <v>480.12</v>
      </c>
      <c r="O608" s="100">
        <f t="shared" si="447"/>
        <v>2880.71</v>
      </c>
      <c r="P608" s="75">
        <f t="shared" si="448"/>
        <v>48.01</v>
      </c>
      <c r="Q608" s="67">
        <v>12</v>
      </c>
      <c r="R608" s="79">
        <f t="shared" si="449"/>
        <v>12</v>
      </c>
      <c r="S608" s="80">
        <f t="shared" ref="S608" si="451">ROUND(441.63/Q608,2)</f>
        <v>36.799999999999997</v>
      </c>
    </row>
    <row r="609" spans="1:19" ht="15.75" x14ac:dyDescent="0.25">
      <c r="A609" s="22">
        <v>456</v>
      </c>
      <c r="B609" s="99" t="s">
        <v>442</v>
      </c>
      <c r="C609" s="43" t="s">
        <v>437</v>
      </c>
      <c r="D609" s="103">
        <v>2427.87</v>
      </c>
      <c r="E609" s="3">
        <v>21</v>
      </c>
      <c r="F609" s="3">
        <v>580.29999999999995</v>
      </c>
      <c r="G609" s="3">
        <v>127.67</v>
      </c>
      <c r="H609" s="11">
        <v>195.01</v>
      </c>
      <c r="I609" s="5">
        <f t="shared" si="450"/>
        <v>3351.85</v>
      </c>
      <c r="J609" s="103">
        <v>12.67</v>
      </c>
      <c r="K609" s="5">
        <f t="shared" si="445"/>
        <v>3364.52</v>
      </c>
      <c r="L609" s="5">
        <f t="shared" si="391"/>
        <v>100.94</v>
      </c>
      <c r="M609" s="15">
        <f t="shared" si="446"/>
        <v>3465.46</v>
      </c>
      <c r="N609" s="15">
        <f t="shared" si="393"/>
        <v>693.09</v>
      </c>
      <c r="O609" s="100">
        <f t="shared" si="447"/>
        <v>4158.55</v>
      </c>
      <c r="P609" s="75">
        <f t="shared" si="448"/>
        <v>69.31</v>
      </c>
      <c r="Q609" s="67">
        <v>135</v>
      </c>
      <c r="R609" s="79">
        <f t="shared" si="449"/>
        <v>1.54</v>
      </c>
      <c r="S609" s="80">
        <f>ROUND(451.2/Q609,2)</f>
        <v>3.34</v>
      </c>
    </row>
    <row r="610" spans="1:19" ht="16.5" thickBot="1" x14ac:dyDescent="0.3">
      <c r="A610" s="144">
        <v>457</v>
      </c>
      <c r="B610" s="111" t="s">
        <v>443</v>
      </c>
      <c r="C610" s="56" t="s">
        <v>163</v>
      </c>
      <c r="D610" s="57">
        <v>1962.25</v>
      </c>
      <c r="E610" s="57">
        <v>18.079999999999998</v>
      </c>
      <c r="F610" s="57">
        <v>532.22</v>
      </c>
      <c r="G610" s="57">
        <v>117.09</v>
      </c>
      <c r="H610" s="58">
        <v>175.99</v>
      </c>
      <c r="I610" s="59">
        <f>E610+F610+G610+H610+D610</f>
        <v>2805.63</v>
      </c>
      <c r="J610" s="57">
        <v>11.41</v>
      </c>
      <c r="K610" s="59">
        <f t="shared" si="445"/>
        <v>2817.04</v>
      </c>
      <c r="L610" s="59">
        <f t="shared" si="391"/>
        <v>84.51</v>
      </c>
      <c r="M610" s="60">
        <f t="shared" si="446"/>
        <v>2901.55</v>
      </c>
      <c r="N610" s="60">
        <f t="shared" si="393"/>
        <v>580.30999999999995</v>
      </c>
      <c r="O610" s="61">
        <f t="shared" si="447"/>
        <v>3481.86</v>
      </c>
      <c r="P610" s="109">
        <f t="shared" si="448"/>
        <v>58.03</v>
      </c>
      <c r="Q610" s="145">
        <v>51</v>
      </c>
      <c r="R610" s="110">
        <f t="shared" si="449"/>
        <v>3.41</v>
      </c>
      <c r="S610" s="146">
        <f>ROUND(441.63/Q610,2)</f>
        <v>8.66</v>
      </c>
    </row>
    <row r="611" spans="1:19" ht="15.75" x14ac:dyDescent="0.25">
      <c r="A611" s="147">
        <v>458</v>
      </c>
      <c r="B611" s="116" t="s">
        <v>444</v>
      </c>
      <c r="C611" s="148" t="s">
        <v>437</v>
      </c>
      <c r="D611" s="118">
        <v>2427.87</v>
      </c>
      <c r="E611" s="149">
        <v>21</v>
      </c>
      <c r="F611" s="149">
        <v>580.29999999999995</v>
      </c>
      <c r="G611" s="149">
        <v>127.67</v>
      </c>
      <c r="H611" s="119">
        <v>195.01</v>
      </c>
      <c r="I611" s="120">
        <f t="shared" ref="I611:I612" si="452">E611+F611+G611+H611+D611</f>
        <v>3351.85</v>
      </c>
      <c r="J611" s="118">
        <v>12.67</v>
      </c>
      <c r="K611" s="120">
        <f t="shared" si="445"/>
        <v>3364.52</v>
      </c>
      <c r="L611" s="120">
        <f t="shared" si="391"/>
        <v>100.94</v>
      </c>
      <c r="M611" s="121">
        <f t="shared" si="446"/>
        <v>3465.46</v>
      </c>
      <c r="N611" s="121">
        <f t="shared" si="393"/>
        <v>693.09</v>
      </c>
      <c r="O611" s="122">
        <f t="shared" si="447"/>
        <v>4158.55</v>
      </c>
      <c r="P611" s="121">
        <f t="shared" si="448"/>
        <v>69.31</v>
      </c>
      <c r="Q611" s="150">
        <v>108</v>
      </c>
      <c r="R611" s="124">
        <f t="shared" si="449"/>
        <v>1.93</v>
      </c>
      <c r="S611" s="151">
        <f>ROUND(451.2/Q611,2)</f>
        <v>4.18</v>
      </c>
    </row>
    <row r="612" spans="1:19" ht="17.25" customHeight="1" x14ac:dyDescent="0.25">
      <c r="A612" s="22">
        <v>459</v>
      </c>
      <c r="B612" s="99" t="s">
        <v>445</v>
      </c>
      <c r="C612" s="43" t="s">
        <v>437</v>
      </c>
      <c r="D612" s="103">
        <v>2427.87</v>
      </c>
      <c r="E612" s="3">
        <v>21</v>
      </c>
      <c r="F612" s="3">
        <v>580.29999999999995</v>
      </c>
      <c r="G612" s="3">
        <v>127.67</v>
      </c>
      <c r="H612" s="11">
        <v>195.01</v>
      </c>
      <c r="I612" s="5">
        <f t="shared" si="452"/>
        <v>3351.85</v>
      </c>
      <c r="J612" s="103">
        <v>12.67</v>
      </c>
      <c r="K612" s="5">
        <f t="shared" si="445"/>
        <v>3364.52</v>
      </c>
      <c r="L612" s="5">
        <f t="shared" si="391"/>
        <v>100.94</v>
      </c>
      <c r="M612" s="15">
        <f t="shared" si="446"/>
        <v>3465.46</v>
      </c>
      <c r="N612" s="15">
        <f t="shared" si="393"/>
        <v>693.09</v>
      </c>
      <c r="O612" s="100">
        <f t="shared" si="447"/>
        <v>4158.55</v>
      </c>
      <c r="P612" s="75">
        <f t="shared" si="448"/>
        <v>69.31</v>
      </c>
      <c r="Q612" s="67">
        <v>23</v>
      </c>
      <c r="R612" s="79">
        <f t="shared" si="449"/>
        <v>9.0399999999999991</v>
      </c>
      <c r="S612" s="80">
        <f>ROUND(451.2/Q612,2)</f>
        <v>19.62</v>
      </c>
    </row>
    <row r="613" spans="1:19" ht="17.25" customHeight="1" x14ac:dyDescent="0.25">
      <c r="A613" s="22">
        <v>460</v>
      </c>
      <c r="B613" s="88" t="s">
        <v>832</v>
      </c>
      <c r="C613" s="26" t="s">
        <v>49</v>
      </c>
      <c r="D613" s="103">
        <v>1962.25</v>
      </c>
      <c r="E613" s="103">
        <v>18.079999999999998</v>
      </c>
      <c r="F613" s="103">
        <v>532.22</v>
      </c>
      <c r="G613" s="103">
        <v>117.09</v>
      </c>
      <c r="H613" s="11">
        <v>175.99</v>
      </c>
      <c r="I613" s="5">
        <f>E613+F613+G613+H613+D613</f>
        <v>2805.63</v>
      </c>
      <c r="J613" s="103">
        <v>11.41</v>
      </c>
      <c r="K613" s="5">
        <f t="shared" si="445"/>
        <v>2817.04</v>
      </c>
      <c r="L613" s="5">
        <f t="shared" si="391"/>
        <v>84.51</v>
      </c>
      <c r="M613" s="15">
        <f t="shared" si="446"/>
        <v>2901.55</v>
      </c>
      <c r="N613" s="15">
        <f t="shared" si="393"/>
        <v>580.30999999999995</v>
      </c>
      <c r="O613" s="100">
        <f t="shared" si="447"/>
        <v>3481.86</v>
      </c>
      <c r="P613" s="75">
        <f t="shared" si="448"/>
        <v>58.03</v>
      </c>
      <c r="Q613" s="67">
        <v>40</v>
      </c>
      <c r="R613" s="79">
        <f t="shared" si="449"/>
        <v>4.3499999999999996</v>
      </c>
      <c r="S613" s="80">
        <f>ROUND(441.63/Q613,2)</f>
        <v>11.04</v>
      </c>
    </row>
    <row r="614" spans="1:19" ht="17.25" customHeight="1" x14ac:dyDescent="0.25">
      <c r="A614" s="22">
        <v>461</v>
      </c>
      <c r="B614" s="88" t="s">
        <v>446</v>
      </c>
      <c r="C614" s="26" t="s">
        <v>49</v>
      </c>
      <c r="D614" s="103">
        <v>1962.25</v>
      </c>
      <c r="E614" s="103">
        <v>18.079999999999998</v>
      </c>
      <c r="F614" s="103">
        <v>532.22</v>
      </c>
      <c r="G614" s="103">
        <v>117.09</v>
      </c>
      <c r="H614" s="11">
        <v>175.99</v>
      </c>
      <c r="I614" s="5">
        <f>E614+F614+G614+H614+D614</f>
        <v>2805.63</v>
      </c>
      <c r="J614" s="103">
        <v>11.41</v>
      </c>
      <c r="K614" s="5">
        <f t="shared" si="445"/>
        <v>2817.04</v>
      </c>
      <c r="L614" s="5">
        <f t="shared" si="391"/>
        <v>84.51</v>
      </c>
      <c r="M614" s="15">
        <f t="shared" si="446"/>
        <v>2901.55</v>
      </c>
      <c r="N614" s="15">
        <f t="shared" si="393"/>
        <v>580.30999999999995</v>
      </c>
      <c r="O614" s="100">
        <f t="shared" si="447"/>
        <v>3481.86</v>
      </c>
      <c r="P614" s="75">
        <f t="shared" si="448"/>
        <v>58.03</v>
      </c>
      <c r="Q614" s="67">
        <v>75</v>
      </c>
      <c r="R614" s="79">
        <f t="shared" si="449"/>
        <v>2.3199999999999998</v>
      </c>
      <c r="S614" s="80">
        <f>ROUND(441.63/Q614,2)</f>
        <v>5.89</v>
      </c>
    </row>
    <row r="615" spans="1:19" ht="17.25" customHeight="1" x14ac:dyDescent="0.25">
      <c r="A615" s="22">
        <v>462</v>
      </c>
      <c r="B615" s="88" t="s">
        <v>833</v>
      </c>
      <c r="C615" s="43" t="s">
        <v>447</v>
      </c>
      <c r="D615" s="10">
        <f>2210.63*2</f>
        <v>4421.26</v>
      </c>
      <c r="E615" s="2">
        <f>18.08*2</f>
        <v>36.159999999999997</v>
      </c>
      <c r="F615" s="2">
        <f>532.22*2</f>
        <v>1064.44</v>
      </c>
      <c r="G615" s="103">
        <f>117.09*2</f>
        <v>234.18</v>
      </c>
      <c r="H615" s="11">
        <f>175.99*2</f>
        <v>351.98</v>
      </c>
      <c r="I615" s="5">
        <f t="shared" ref="I615:I624" si="453">E615+F615+G615+H615+D615</f>
        <v>6108.02</v>
      </c>
      <c r="J615" s="103">
        <f>11.41*2</f>
        <v>22.82</v>
      </c>
      <c r="K615" s="5">
        <f t="shared" si="445"/>
        <v>6130.84</v>
      </c>
      <c r="L615" s="5">
        <f t="shared" si="391"/>
        <v>183.93</v>
      </c>
      <c r="M615" s="5">
        <f t="shared" si="446"/>
        <v>6314.77</v>
      </c>
      <c r="N615" s="5">
        <f t="shared" si="393"/>
        <v>1262.95</v>
      </c>
      <c r="O615" s="54">
        <f t="shared" si="447"/>
        <v>7577.72</v>
      </c>
      <c r="P615" s="5">
        <f>ROUND(O615/5/12,2)</f>
        <v>126.3</v>
      </c>
      <c r="Q615" s="67">
        <v>138</v>
      </c>
      <c r="R615" s="79">
        <f>ROUND(P615*3/Q615,2)</f>
        <v>2.75</v>
      </c>
      <c r="S615" s="80">
        <f>ROUND(441.63*2/136,2)</f>
        <v>6.49</v>
      </c>
    </row>
    <row r="616" spans="1:19" ht="18" customHeight="1" x14ac:dyDescent="0.25">
      <c r="A616" s="22">
        <v>463</v>
      </c>
      <c r="B616" s="88" t="s">
        <v>448</v>
      </c>
      <c r="C616" s="43" t="s">
        <v>449</v>
      </c>
      <c r="D616" s="103">
        <v>1962.25</v>
      </c>
      <c r="E616" s="103">
        <v>18.079999999999998</v>
      </c>
      <c r="F616" s="103">
        <v>532.22</v>
      </c>
      <c r="G616" s="103">
        <v>117.09</v>
      </c>
      <c r="H616" s="11">
        <v>175.99</v>
      </c>
      <c r="I616" s="5">
        <f>E616+F616+G616+H616+D616</f>
        <v>2805.63</v>
      </c>
      <c r="J616" s="103">
        <v>11.41</v>
      </c>
      <c r="K616" s="5">
        <f t="shared" si="445"/>
        <v>2817.04</v>
      </c>
      <c r="L616" s="5">
        <f t="shared" si="391"/>
        <v>84.51</v>
      </c>
      <c r="M616" s="15">
        <f t="shared" si="446"/>
        <v>2901.55</v>
      </c>
      <c r="N616" s="15">
        <f t="shared" si="393"/>
        <v>580.30999999999995</v>
      </c>
      <c r="O616" s="100">
        <f t="shared" si="447"/>
        <v>3481.86</v>
      </c>
      <c r="P616" s="75">
        <f t="shared" ref="P616:P623" si="454">ROUND(O616/5/12,2)</f>
        <v>58.03</v>
      </c>
      <c r="Q616" s="67">
        <v>43</v>
      </c>
      <c r="R616" s="79">
        <f>ROUND(P616*3/Q616,2)</f>
        <v>4.05</v>
      </c>
      <c r="S616" s="80">
        <f>ROUND(441.63/Q616,2)</f>
        <v>10.27</v>
      </c>
    </row>
    <row r="617" spans="1:19" ht="18" customHeight="1" x14ac:dyDescent="0.25">
      <c r="A617" s="22">
        <v>464</v>
      </c>
      <c r="B617" s="88" t="s">
        <v>450</v>
      </c>
      <c r="C617" s="43" t="s">
        <v>449</v>
      </c>
      <c r="D617" s="103">
        <v>1962.25</v>
      </c>
      <c r="E617" s="103">
        <v>18.079999999999998</v>
      </c>
      <c r="F617" s="103">
        <v>532.22</v>
      </c>
      <c r="G617" s="103">
        <v>117.09</v>
      </c>
      <c r="H617" s="11">
        <v>175.99</v>
      </c>
      <c r="I617" s="5">
        <f>E617+F617+G617+H617+D617</f>
        <v>2805.63</v>
      </c>
      <c r="J617" s="103">
        <v>11.41</v>
      </c>
      <c r="K617" s="5">
        <f t="shared" si="445"/>
        <v>2817.04</v>
      </c>
      <c r="L617" s="5">
        <f t="shared" si="391"/>
        <v>84.51</v>
      </c>
      <c r="M617" s="15">
        <f t="shared" si="446"/>
        <v>2901.55</v>
      </c>
      <c r="N617" s="15">
        <f t="shared" si="393"/>
        <v>580.30999999999995</v>
      </c>
      <c r="O617" s="100">
        <f t="shared" si="447"/>
        <v>3481.86</v>
      </c>
      <c r="P617" s="75">
        <f t="shared" si="454"/>
        <v>58.03</v>
      </c>
      <c r="Q617" s="67">
        <v>25</v>
      </c>
      <c r="R617" s="79">
        <f>ROUND(P617*3/Q617,2)</f>
        <v>6.96</v>
      </c>
      <c r="S617" s="80">
        <f>ROUND(441.63/Q617,2)</f>
        <v>17.670000000000002</v>
      </c>
    </row>
    <row r="618" spans="1:19" ht="18" customHeight="1" x14ac:dyDescent="0.25">
      <c r="A618" s="22">
        <v>465</v>
      </c>
      <c r="B618" s="88" t="s">
        <v>451</v>
      </c>
      <c r="C618" s="26" t="s">
        <v>49</v>
      </c>
      <c r="D618" s="103">
        <v>1962.25</v>
      </c>
      <c r="E618" s="103">
        <v>18.079999999999998</v>
      </c>
      <c r="F618" s="103">
        <v>532.22</v>
      </c>
      <c r="G618" s="103">
        <v>117.09</v>
      </c>
      <c r="H618" s="11">
        <v>175.99</v>
      </c>
      <c r="I618" s="5">
        <f>E618+F618+G618+H618+D618</f>
        <v>2805.63</v>
      </c>
      <c r="J618" s="103">
        <v>11.41</v>
      </c>
      <c r="K618" s="5">
        <f t="shared" si="445"/>
        <v>2817.04</v>
      </c>
      <c r="L618" s="5">
        <f t="shared" si="391"/>
        <v>84.51</v>
      </c>
      <c r="M618" s="15">
        <f t="shared" si="446"/>
        <v>2901.55</v>
      </c>
      <c r="N618" s="15">
        <f t="shared" si="393"/>
        <v>580.30999999999995</v>
      </c>
      <c r="O618" s="100">
        <f t="shared" si="447"/>
        <v>3481.86</v>
      </c>
      <c r="P618" s="75">
        <f t="shared" si="454"/>
        <v>58.03</v>
      </c>
      <c r="Q618" s="67">
        <v>19</v>
      </c>
      <c r="R618" s="79">
        <f>ROUND(P618*3/Q618,2)</f>
        <v>9.16</v>
      </c>
      <c r="S618" s="80">
        <f>ROUND(441.63/Q618,2)</f>
        <v>23.24</v>
      </c>
    </row>
    <row r="619" spans="1:19" ht="25.5" x14ac:dyDescent="0.25">
      <c r="A619" s="22">
        <v>466</v>
      </c>
      <c r="B619" s="88" t="s">
        <v>452</v>
      </c>
      <c r="C619" s="43" t="s">
        <v>453</v>
      </c>
      <c r="D619" s="103">
        <v>2210.63</v>
      </c>
      <c r="E619" s="103">
        <v>18.079999999999998</v>
      </c>
      <c r="F619" s="103">
        <v>532.22</v>
      </c>
      <c r="G619" s="103">
        <v>117.09</v>
      </c>
      <c r="H619" s="11">
        <v>175.99</v>
      </c>
      <c r="I619" s="5">
        <f>E619+F619+G619+H619+D619</f>
        <v>3054.01</v>
      </c>
      <c r="J619" s="103">
        <v>11.41</v>
      </c>
      <c r="K619" s="5">
        <f>I619+J619</f>
        <v>3065.42</v>
      </c>
      <c r="L619" s="5">
        <f>ROUND(K619*3%,2)</f>
        <v>91.96</v>
      </c>
      <c r="M619" s="15">
        <f>K619+L619</f>
        <v>3157.38</v>
      </c>
      <c r="N619" s="15">
        <f>ROUND(M619*20%,2)</f>
        <v>631.48</v>
      </c>
      <c r="O619" s="100">
        <f>M619+N619</f>
        <v>3788.86</v>
      </c>
      <c r="P619" s="75">
        <f t="shared" si="454"/>
        <v>63.15</v>
      </c>
      <c r="Q619" s="67">
        <v>25</v>
      </c>
      <c r="R619" s="79">
        <f t="shared" ref="R619:R620" si="455">ROUND(P619*3/Q619,2)</f>
        <v>7.58</v>
      </c>
      <c r="S619" s="80">
        <f t="shared" ref="S619:S620" si="456">ROUND(441.63/Q619,2)</f>
        <v>17.670000000000002</v>
      </c>
    </row>
    <row r="620" spans="1:19" ht="15.75" x14ac:dyDescent="0.25">
      <c r="A620" s="22">
        <v>467</v>
      </c>
      <c r="B620" s="88" t="s">
        <v>454</v>
      </c>
      <c r="C620" s="26" t="s">
        <v>16</v>
      </c>
      <c r="D620" s="103">
        <v>2210.63</v>
      </c>
      <c r="E620" s="103">
        <v>18.079999999999998</v>
      </c>
      <c r="F620" s="103">
        <v>532.22</v>
      </c>
      <c r="G620" s="103">
        <v>117.09</v>
      </c>
      <c r="H620" s="11">
        <v>175.99</v>
      </c>
      <c r="I620" s="5">
        <f>E620+F620+G620+H620+D620</f>
        <v>3054.01</v>
      </c>
      <c r="J620" s="103">
        <v>11.41</v>
      </c>
      <c r="K620" s="5">
        <f>I620+J620</f>
        <v>3065.42</v>
      </c>
      <c r="L620" s="5">
        <f>ROUND(K620*3%,2)</f>
        <v>91.96</v>
      </c>
      <c r="M620" s="15">
        <f>K620+L620</f>
        <v>3157.38</v>
      </c>
      <c r="N620" s="15">
        <f>ROUND(M620*20%,2)</f>
        <v>631.48</v>
      </c>
      <c r="O620" s="100">
        <f>M620+N620</f>
        <v>3788.86</v>
      </c>
      <c r="P620" s="75">
        <f t="shared" si="454"/>
        <v>63.15</v>
      </c>
      <c r="Q620" s="67">
        <v>21</v>
      </c>
      <c r="R620" s="79">
        <f t="shared" si="455"/>
        <v>9.02</v>
      </c>
      <c r="S620" s="80">
        <f t="shared" si="456"/>
        <v>21.03</v>
      </c>
    </row>
    <row r="621" spans="1:19" ht="15.75" x14ac:dyDescent="0.25">
      <c r="A621" s="22">
        <v>468</v>
      </c>
      <c r="B621" s="88" t="s">
        <v>455</v>
      </c>
      <c r="C621" s="43" t="s">
        <v>456</v>
      </c>
      <c r="D621" s="103">
        <v>2427.87</v>
      </c>
      <c r="E621" s="3">
        <v>21</v>
      </c>
      <c r="F621" s="3">
        <v>580.29999999999995</v>
      </c>
      <c r="G621" s="3">
        <v>127.67</v>
      </c>
      <c r="H621" s="11">
        <v>195.01</v>
      </c>
      <c r="I621" s="5">
        <f t="shared" ref="I621" si="457">E621+F621+G621+H621+D621</f>
        <v>3351.85</v>
      </c>
      <c r="J621" s="103">
        <v>12.67</v>
      </c>
      <c r="K621" s="5">
        <f t="shared" ref="K621" si="458">I621+J621</f>
        <v>3364.52</v>
      </c>
      <c r="L621" s="5">
        <f t="shared" ref="L621" si="459">ROUND(K621*3%,2)</f>
        <v>100.94</v>
      </c>
      <c r="M621" s="15">
        <f t="shared" ref="M621" si="460">K621+L621</f>
        <v>3465.46</v>
      </c>
      <c r="N621" s="15">
        <f t="shared" ref="N621" si="461">ROUND(M621*20%,2)</f>
        <v>693.09</v>
      </c>
      <c r="O621" s="100">
        <f t="shared" ref="O621" si="462">M621+N621</f>
        <v>4158.55</v>
      </c>
      <c r="P621" s="75">
        <f t="shared" si="454"/>
        <v>69.31</v>
      </c>
      <c r="Q621" s="67">
        <v>108</v>
      </c>
      <c r="R621" s="79">
        <f>ROUND(P621*3/Q621,2)</f>
        <v>1.93</v>
      </c>
      <c r="S621" s="80">
        <f>ROUND(451.2/Q621,2)</f>
        <v>4.18</v>
      </c>
    </row>
    <row r="622" spans="1:19" ht="15.75" x14ac:dyDescent="0.25">
      <c r="A622" s="22">
        <v>469</v>
      </c>
      <c r="B622" s="88" t="s">
        <v>457</v>
      </c>
      <c r="C622" s="26" t="s">
        <v>49</v>
      </c>
      <c r="D622" s="103">
        <v>1962.25</v>
      </c>
      <c r="E622" s="103">
        <v>18.079999999999998</v>
      </c>
      <c r="F622" s="103">
        <v>532.22</v>
      </c>
      <c r="G622" s="103">
        <v>117.09</v>
      </c>
      <c r="H622" s="11">
        <v>175.99</v>
      </c>
      <c r="I622" s="5">
        <f>E622+F622+G622+H622+D622</f>
        <v>2805.63</v>
      </c>
      <c r="J622" s="103">
        <v>11.41</v>
      </c>
      <c r="K622" s="5">
        <f t="shared" si="445"/>
        <v>2817.04</v>
      </c>
      <c r="L622" s="5">
        <f t="shared" si="391"/>
        <v>84.51</v>
      </c>
      <c r="M622" s="15">
        <f t="shared" si="446"/>
        <v>2901.55</v>
      </c>
      <c r="N622" s="15">
        <f t="shared" si="393"/>
        <v>580.30999999999995</v>
      </c>
      <c r="O622" s="100">
        <f t="shared" si="447"/>
        <v>3481.86</v>
      </c>
      <c r="P622" s="75">
        <f t="shared" si="454"/>
        <v>58.03</v>
      </c>
      <c r="Q622" s="67">
        <v>35</v>
      </c>
      <c r="R622" s="79">
        <f>ROUND(P622*3/Q622,2)</f>
        <v>4.97</v>
      </c>
      <c r="S622" s="80">
        <f>ROUND(441.63/Q622,2)</f>
        <v>12.62</v>
      </c>
    </row>
    <row r="623" spans="1:19" ht="15.75" x14ac:dyDescent="0.25">
      <c r="A623" s="22">
        <v>470</v>
      </c>
      <c r="B623" s="88" t="s">
        <v>458</v>
      </c>
      <c r="C623" s="26" t="s">
        <v>49</v>
      </c>
      <c r="D623" s="103">
        <v>1962.25</v>
      </c>
      <c r="E623" s="103">
        <v>18.079999999999998</v>
      </c>
      <c r="F623" s="103">
        <v>532.22</v>
      </c>
      <c r="G623" s="103">
        <v>117.09</v>
      </c>
      <c r="H623" s="11">
        <v>175.99</v>
      </c>
      <c r="I623" s="5">
        <f>E623+F623+G623+H623+D623</f>
        <v>2805.63</v>
      </c>
      <c r="J623" s="103">
        <v>11.41</v>
      </c>
      <c r="K623" s="5">
        <f t="shared" si="445"/>
        <v>2817.04</v>
      </c>
      <c r="L623" s="5">
        <f t="shared" si="391"/>
        <v>84.51</v>
      </c>
      <c r="M623" s="15">
        <f t="shared" si="446"/>
        <v>2901.55</v>
      </c>
      <c r="N623" s="15">
        <f t="shared" si="393"/>
        <v>580.30999999999995</v>
      </c>
      <c r="O623" s="100">
        <f t="shared" si="447"/>
        <v>3481.86</v>
      </c>
      <c r="P623" s="75">
        <f t="shared" si="454"/>
        <v>58.03</v>
      </c>
      <c r="Q623" s="67">
        <v>33</v>
      </c>
      <c r="R623" s="79">
        <f>ROUND(P623*3/Q623,2)</f>
        <v>5.28</v>
      </c>
      <c r="S623" s="80">
        <f>ROUND(441.63/Q623,2)</f>
        <v>13.38</v>
      </c>
    </row>
    <row r="624" spans="1:19" ht="15.75" customHeight="1" x14ac:dyDescent="0.25">
      <c r="A624" s="213">
        <v>471</v>
      </c>
      <c r="B624" s="226" t="s">
        <v>866</v>
      </c>
      <c r="C624" s="27" t="s">
        <v>16</v>
      </c>
      <c r="D624" s="175">
        <f>1962.25+2210.63</f>
        <v>4172.88</v>
      </c>
      <c r="E624" s="175">
        <f>18.08+18.08</f>
        <v>36.159999999999997</v>
      </c>
      <c r="F624" s="175">
        <f>532.22*2</f>
        <v>1064.44</v>
      </c>
      <c r="G624" s="190">
        <f>117.09*2</f>
        <v>234.18</v>
      </c>
      <c r="H624" s="167">
        <f>175.99*2</f>
        <v>351.98</v>
      </c>
      <c r="I624" s="169">
        <f t="shared" si="453"/>
        <v>5859.64</v>
      </c>
      <c r="J624" s="190">
        <f>11.41*2</f>
        <v>22.82</v>
      </c>
      <c r="K624" s="169">
        <f t="shared" si="445"/>
        <v>5882.46</v>
      </c>
      <c r="L624" s="169">
        <f t="shared" ref="L624:L685" si="463">ROUND(K624*3%,2)</f>
        <v>176.47</v>
      </c>
      <c r="M624" s="169">
        <f t="shared" si="446"/>
        <v>6058.93</v>
      </c>
      <c r="N624" s="169">
        <f t="shared" ref="N624:N685" si="464">ROUND(M624*20%,2)</f>
        <v>1211.79</v>
      </c>
      <c r="O624" s="185">
        <f t="shared" si="447"/>
        <v>7270.72</v>
      </c>
      <c r="P624" s="169">
        <f>ROUND(O624/5/12,2)</f>
        <v>121.18</v>
      </c>
      <c r="Q624" s="263">
        <v>49</v>
      </c>
      <c r="R624" s="182">
        <f t="shared" ref="R624:R629" si="465">ROUND(P624*3/Q624,2)</f>
        <v>7.42</v>
      </c>
      <c r="S624" s="259">
        <f>ROUND(441.63*2/Q624,2)</f>
        <v>18.03</v>
      </c>
    </row>
    <row r="625" spans="1:19" ht="15.75" customHeight="1" x14ac:dyDescent="0.25">
      <c r="A625" s="214"/>
      <c r="B625" s="228"/>
      <c r="C625" s="30" t="s">
        <v>449</v>
      </c>
      <c r="D625" s="177"/>
      <c r="E625" s="177"/>
      <c r="F625" s="177"/>
      <c r="G625" s="199"/>
      <c r="H625" s="168">
        <f>ROUND((E625+F625+G625)*11.7%,2)</f>
        <v>0</v>
      </c>
      <c r="I625" s="170"/>
      <c r="J625" s="199">
        <f t="shared" ref="J625:J682" si="466">ROUND(I625*11.6%,2)</f>
        <v>0</v>
      </c>
      <c r="K625" s="170"/>
      <c r="L625" s="170">
        <f t="shared" si="463"/>
        <v>0</v>
      </c>
      <c r="M625" s="170"/>
      <c r="N625" s="170">
        <f t="shared" si="464"/>
        <v>0</v>
      </c>
      <c r="O625" s="186"/>
      <c r="P625" s="170"/>
      <c r="Q625" s="264"/>
      <c r="R625" s="183"/>
      <c r="S625" s="259"/>
    </row>
    <row r="626" spans="1:19" ht="15.75" x14ac:dyDescent="0.25">
      <c r="A626" s="22">
        <v>472</v>
      </c>
      <c r="B626" s="99" t="s">
        <v>459</v>
      </c>
      <c r="C626" s="43" t="s">
        <v>460</v>
      </c>
      <c r="D626" s="103">
        <v>2210.63</v>
      </c>
      <c r="E626" s="103">
        <v>18.079999999999998</v>
      </c>
      <c r="F626" s="103">
        <v>532.22</v>
      </c>
      <c r="G626" s="103">
        <v>117.09</v>
      </c>
      <c r="H626" s="11">
        <v>175.99</v>
      </c>
      <c r="I626" s="5">
        <f>E626+F626+G626+H626+D626</f>
        <v>3054.01</v>
      </c>
      <c r="J626" s="103">
        <v>11.41</v>
      </c>
      <c r="K626" s="5">
        <f>I626+J626</f>
        <v>3065.42</v>
      </c>
      <c r="L626" s="5">
        <f>ROUND(K626*3%,2)</f>
        <v>91.96</v>
      </c>
      <c r="M626" s="15">
        <f>K626+L626</f>
        <v>3157.38</v>
      </c>
      <c r="N626" s="15">
        <f>ROUND(M626*20%,2)</f>
        <v>631.48</v>
      </c>
      <c r="O626" s="100">
        <f>M626+N626</f>
        <v>3788.86</v>
      </c>
      <c r="P626" s="75">
        <f t="shared" ref="P626:P631" si="467">ROUND(O626/5/12,2)</f>
        <v>63.15</v>
      </c>
      <c r="Q626" s="67">
        <v>39</v>
      </c>
      <c r="R626" s="79">
        <f t="shared" si="465"/>
        <v>4.8600000000000003</v>
      </c>
      <c r="S626" s="80">
        <f t="shared" ref="S626:S629" si="468">ROUND(441.63/Q626,2)</f>
        <v>11.32</v>
      </c>
    </row>
    <row r="627" spans="1:19" ht="31.5" x14ac:dyDescent="0.25">
      <c r="A627" s="22">
        <v>473</v>
      </c>
      <c r="B627" s="88" t="s">
        <v>461</v>
      </c>
      <c r="C627" s="26" t="s">
        <v>16</v>
      </c>
      <c r="D627" s="103">
        <v>2210.63</v>
      </c>
      <c r="E627" s="103">
        <v>18.079999999999998</v>
      </c>
      <c r="F627" s="103">
        <v>532.22</v>
      </c>
      <c r="G627" s="103">
        <v>117.09</v>
      </c>
      <c r="H627" s="11">
        <v>175.99</v>
      </c>
      <c r="I627" s="5">
        <f>E627+F627+G627+H627+D627</f>
        <v>3054.01</v>
      </c>
      <c r="J627" s="103">
        <v>11.41</v>
      </c>
      <c r="K627" s="5">
        <f>I627+J627</f>
        <v>3065.42</v>
      </c>
      <c r="L627" s="5">
        <f>ROUND(K627*3%,2)</f>
        <v>91.96</v>
      </c>
      <c r="M627" s="15">
        <f>K627+L627</f>
        <v>3157.38</v>
      </c>
      <c r="N627" s="15">
        <f>ROUND(M627*20%,2)</f>
        <v>631.48</v>
      </c>
      <c r="O627" s="100">
        <f>M627+N627</f>
        <v>3788.86</v>
      </c>
      <c r="P627" s="75">
        <f t="shared" si="467"/>
        <v>63.15</v>
      </c>
      <c r="Q627" s="67">
        <v>107</v>
      </c>
      <c r="R627" s="79">
        <f t="shared" si="465"/>
        <v>1.77</v>
      </c>
      <c r="S627" s="80">
        <f t="shared" si="468"/>
        <v>4.13</v>
      </c>
    </row>
    <row r="628" spans="1:19" ht="31.5" x14ac:dyDescent="0.25">
      <c r="A628" s="22">
        <v>474</v>
      </c>
      <c r="B628" s="88" t="s">
        <v>462</v>
      </c>
      <c r="C628" s="43" t="s">
        <v>460</v>
      </c>
      <c r="D628" s="103">
        <v>2210.63</v>
      </c>
      <c r="E628" s="103">
        <v>18.079999999999998</v>
      </c>
      <c r="F628" s="103">
        <v>532.22</v>
      </c>
      <c r="G628" s="103">
        <v>117.09</v>
      </c>
      <c r="H628" s="11">
        <v>175.99</v>
      </c>
      <c r="I628" s="5">
        <f>E628+F628+G628+H628+D628</f>
        <v>3054.01</v>
      </c>
      <c r="J628" s="103">
        <v>11.41</v>
      </c>
      <c r="K628" s="5">
        <f>I628+J628</f>
        <v>3065.42</v>
      </c>
      <c r="L628" s="5">
        <f>ROUND(K628*3%,2)</f>
        <v>91.96</v>
      </c>
      <c r="M628" s="15">
        <f>K628+L628</f>
        <v>3157.38</v>
      </c>
      <c r="N628" s="15">
        <f>ROUND(M628*20%,2)</f>
        <v>631.48</v>
      </c>
      <c r="O628" s="100">
        <f>M628+N628</f>
        <v>3788.86</v>
      </c>
      <c r="P628" s="75">
        <f t="shared" si="467"/>
        <v>63.15</v>
      </c>
      <c r="Q628" s="67">
        <v>80</v>
      </c>
      <c r="R628" s="79">
        <f t="shared" si="465"/>
        <v>2.37</v>
      </c>
      <c r="S628" s="80">
        <f t="shared" si="468"/>
        <v>5.52</v>
      </c>
    </row>
    <row r="629" spans="1:19" ht="31.5" x14ac:dyDescent="0.25">
      <c r="A629" s="22">
        <v>475</v>
      </c>
      <c r="B629" s="88" t="s">
        <v>463</v>
      </c>
      <c r="C629" s="43" t="s">
        <v>460</v>
      </c>
      <c r="D629" s="103">
        <v>2210.63</v>
      </c>
      <c r="E629" s="103">
        <v>18.079999999999998</v>
      </c>
      <c r="F629" s="103">
        <v>532.22</v>
      </c>
      <c r="G629" s="103">
        <v>117.09</v>
      </c>
      <c r="H629" s="11">
        <v>175.99</v>
      </c>
      <c r="I629" s="5">
        <f>E629+F629+G629+H629+D629</f>
        <v>3054.01</v>
      </c>
      <c r="J629" s="103">
        <v>11.41</v>
      </c>
      <c r="K629" s="5">
        <f>I629+J629</f>
        <v>3065.42</v>
      </c>
      <c r="L629" s="5">
        <f>ROUND(K629*3%,2)</f>
        <v>91.96</v>
      </c>
      <c r="M629" s="15">
        <f>K629+L629</f>
        <v>3157.38</v>
      </c>
      <c r="N629" s="15">
        <f>ROUND(M629*20%,2)</f>
        <v>631.48</v>
      </c>
      <c r="O629" s="100">
        <f>M629+N629</f>
        <v>3788.86</v>
      </c>
      <c r="P629" s="75">
        <f t="shared" si="467"/>
        <v>63.15</v>
      </c>
      <c r="Q629" s="67">
        <v>73</v>
      </c>
      <c r="R629" s="79">
        <f t="shared" si="465"/>
        <v>2.6</v>
      </c>
      <c r="S629" s="80">
        <f t="shared" si="468"/>
        <v>6.05</v>
      </c>
    </row>
    <row r="630" spans="1:19" ht="31.5" x14ac:dyDescent="0.25">
      <c r="A630" s="22">
        <v>476</v>
      </c>
      <c r="B630" s="88" t="s">
        <v>835</v>
      </c>
      <c r="C630" s="43" t="s">
        <v>456</v>
      </c>
      <c r="D630" s="103">
        <v>2427.87</v>
      </c>
      <c r="E630" s="3">
        <v>21</v>
      </c>
      <c r="F630" s="3">
        <v>580.29999999999995</v>
      </c>
      <c r="G630" s="3">
        <v>127.67</v>
      </c>
      <c r="H630" s="11">
        <v>195.01</v>
      </c>
      <c r="I630" s="5">
        <f t="shared" ref="I630:I632" si="469">E630+F630+G630+H630+D630</f>
        <v>3351.85</v>
      </c>
      <c r="J630" s="103">
        <v>12.67</v>
      </c>
      <c r="K630" s="5">
        <f t="shared" ref="K630:K631" si="470">I630+J630</f>
        <v>3364.52</v>
      </c>
      <c r="L630" s="5">
        <f t="shared" ref="L630:L631" si="471">ROUND(K630*3%,2)</f>
        <v>100.94</v>
      </c>
      <c r="M630" s="15">
        <f t="shared" ref="M630:M631" si="472">K630+L630</f>
        <v>3465.46</v>
      </c>
      <c r="N630" s="15">
        <f t="shared" ref="N630:N631" si="473">ROUND(M630*20%,2)</f>
        <v>693.09</v>
      </c>
      <c r="O630" s="100">
        <f t="shared" ref="O630:O631" si="474">M630+N630</f>
        <v>4158.55</v>
      </c>
      <c r="P630" s="75">
        <f t="shared" si="467"/>
        <v>69.31</v>
      </c>
      <c r="Q630" s="67">
        <v>108</v>
      </c>
      <c r="R630" s="79">
        <f>ROUND(P630*3/Q630,2)</f>
        <v>1.93</v>
      </c>
      <c r="S630" s="80">
        <f>ROUND(451.2/Q630,2)</f>
        <v>4.18</v>
      </c>
    </row>
    <row r="631" spans="1:19" ht="31.5" x14ac:dyDescent="0.25">
      <c r="A631" s="22">
        <v>477</v>
      </c>
      <c r="B631" s="88" t="s">
        <v>464</v>
      </c>
      <c r="C631" s="43" t="s">
        <v>456</v>
      </c>
      <c r="D631" s="103">
        <v>2427.87</v>
      </c>
      <c r="E631" s="3">
        <v>21</v>
      </c>
      <c r="F631" s="3">
        <v>580.29999999999995</v>
      </c>
      <c r="G631" s="3">
        <v>127.67</v>
      </c>
      <c r="H631" s="11">
        <v>195.01</v>
      </c>
      <c r="I631" s="5">
        <f t="shared" si="469"/>
        <v>3351.85</v>
      </c>
      <c r="J631" s="103">
        <v>12.67</v>
      </c>
      <c r="K631" s="5">
        <f t="shared" si="470"/>
        <v>3364.52</v>
      </c>
      <c r="L631" s="5">
        <f t="shared" si="471"/>
        <v>100.94</v>
      </c>
      <c r="M631" s="15">
        <f t="shared" si="472"/>
        <v>3465.46</v>
      </c>
      <c r="N631" s="15">
        <f t="shared" si="473"/>
        <v>693.09</v>
      </c>
      <c r="O631" s="100">
        <f t="shared" si="474"/>
        <v>4158.55</v>
      </c>
      <c r="P631" s="75">
        <f t="shared" si="467"/>
        <v>69.31</v>
      </c>
      <c r="Q631" s="67">
        <v>44</v>
      </c>
      <c r="R631" s="79">
        <f>ROUND(P631*3/Q631,2)</f>
        <v>4.7300000000000004</v>
      </c>
      <c r="S631" s="80">
        <f>ROUND(451.2/Q631,2)</f>
        <v>10.25</v>
      </c>
    </row>
    <row r="632" spans="1:19" ht="15.75" customHeight="1" x14ac:dyDescent="0.25">
      <c r="A632" s="213">
        <v>478</v>
      </c>
      <c r="B632" s="226" t="s">
        <v>834</v>
      </c>
      <c r="C632" s="27" t="s">
        <v>460</v>
      </c>
      <c r="D632" s="175">
        <f>1962.25*3+2210.63</f>
        <v>8097.38</v>
      </c>
      <c r="E632" s="175">
        <f>18.08*4</f>
        <v>72.319999999999993</v>
      </c>
      <c r="F632" s="175">
        <f>532.22*4</f>
        <v>2128.88</v>
      </c>
      <c r="G632" s="175">
        <f>117.09*4</f>
        <v>468.36</v>
      </c>
      <c r="H632" s="167">
        <f>175.99*4</f>
        <v>703.96</v>
      </c>
      <c r="I632" s="169">
        <f t="shared" si="469"/>
        <v>11470.900000000001</v>
      </c>
      <c r="J632" s="190">
        <f>11.41*4</f>
        <v>45.64</v>
      </c>
      <c r="K632" s="169">
        <f t="shared" si="445"/>
        <v>11516.54</v>
      </c>
      <c r="L632" s="169">
        <f t="shared" si="463"/>
        <v>345.5</v>
      </c>
      <c r="M632" s="169">
        <f t="shared" si="446"/>
        <v>11862.04</v>
      </c>
      <c r="N632" s="169">
        <f t="shared" si="464"/>
        <v>2372.41</v>
      </c>
      <c r="O632" s="185">
        <f t="shared" si="447"/>
        <v>14234.45</v>
      </c>
      <c r="P632" s="169">
        <f>ROUND(O632/5/12,2)</f>
        <v>237.24</v>
      </c>
      <c r="Q632" s="263">
        <v>179</v>
      </c>
      <c r="R632" s="182">
        <f t="shared" ref="R632" si="475">ROUND(P632*3/Q632,2)</f>
        <v>3.98</v>
      </c>
      <c r="S632" s="259">
        <f>ROUND((441.63*3+469.47)/Q632,2)</f>
        <v>10.02</v>
      </c>
    </row>
    <row r="633" spans="1:19" ht="15.75" customHeight="1" x14ac:dyDescent="0.25">
      <c r="A633" s="217"/>
      <c r="B633" s="227"/>
      <c r="C633" s="29" t="s">
        <v>449</v>
      </c>
      <c r="D633" s="176"/>
      <c r="E633" s="176"/>
      <c r="F633" s="176"/>
      <c r="G633" s="176"/>
      <c r="H633" s="171">
        <f>ROUND((E633+F633+G633)*11.7%,2)</f>
        <v>0</v>
      </c>
      <c r="I633" s="172"/>
      <c r="J633" s="200">
        <f t="shared" si="466"/>
        <v>0</v>
      </c>
      <c r="K633" s="172"/>
      <c r="L633" s="172">
        <f t="shared" si="463"/>
        <v>0</v>
      </c>
      <c r="M633" s="172"/>
      <c r="N633" s="172">
        <f t="shared" si="464"/>
        <v>0</v>
      </c>
      <c r="O633" s="198"/>
      <c r="P633" s="172"/>
      <c r="Q633" s="265"/>
      <c r="R633" s="189"/>
      <c r="S633" s="259"/>
    </row>
    <row r="634" spans="1:19" ht="15.75" customHeight="1" x14ac:dyDescent="0.25">
      <c r="A634" s="217"/>
      <c r="B634" s="227"/>
      <c r="C634" s="29" t="s">
        <v>449</v>
      </c>
      <c r="D634" s="176"/>
      <c r="E634" s="176"/>
      <c r="F634" s="176"/>
      <c r="G634" s="176"/>
      <c r="H634" s="171">
        <f>ROUND((E634+F634+G634)*11.7%,2)</f>
        <v>0</v>
      </c>
      <c r="I634" s="172"/>
      <c r="J634" s="200">
        <f t="shared" si="466"/>
        <v>0</v>
      </c>
      <c r="K634" s="172"/>
      <c r="L634" s="172">
        <f t="shared" si="463"/>
        <v>0</v>
      </c>
      <c r="M634" s="172"/>
      <c r="N634" s="172">
        <f t="shared" si="464"/>
        <v>0</v>
      </c>
      <c r="O634" s="198"/>
      <c r="P634" s="172"/>
      <c r="Q634" s="265"/>
      <c r="R634" s="189"/>
      <c r="S634" s="259"/>
    </row>
    <row r="635" spans="1:19" ht="25.5" x14ac:dyDescent="0.25">
      <c r="A635" s="214"/>
      <c r="B635" s="228"/>
      <c r="C635" s="30" t="s">
        <v>465</v>
      </c>
      <c r="D635" s="177"/>
      <c r="E635" s="177"/>
      <c r="F635" s="177"/>
      <c r="G635" s="177"/>
      <c r="H635" s="168">
        <f>ROUND((E635+F635+G635)*11.7%,2)</f>
        <v>0</v>
      </c>
      <c r="I635" s="170"/>
      <c r="J635" s="199">
        <f t="shared" si="466"/>
        <v>0</v>
      </c>
      <c r="K635" s="170"/>
      <c r="L635" s="170">
        <f t="shared" si="463"/>
        <v>0</v>
      </c>
      <c r="M635" s="170"/>
      <c r="N635" s="170">
        <f t="shared" si="464"/>
        <v>0</v>
      </c>
      <c r="O635" s="186"/>
      <c r="P635" s="170"/>
      <c r="Q635" s="264"/>
      <c r="R635" s="183"/>
      <c r="S635" s="259"/>
    </row>
    <row r="636" spans="1:19" ht="31.5" x14ac:dyDescent="0.25">
      <c r="A636" s="22">
        <v>479</v>
      </c>
      <c r="B636" s="88" t="s">
        <v>466</v>
      </c>
      <c r="C636" s="26" t="s">
        <v>49</v>
      </c>
      <c r="D636" s="103">
        <v>1962.25</v>
      </c>
      <c r="E636" s="103">
        <v>18.079999999999998</v>
      </c>
      <c r="F636" s="103">
        <v>532.22</v>
      </c>
      <c r="G636" s="103">
        <v>117.09</v>
      </c>
      <c r="H636" s="11">
        <v>175.99</v>
      </c>
      <c r="I636" s="5">
        <f>E636+F636+G636+H636+D636</f>
        <v>2805.63</v>
      </c>
      <c r="J636" s="103">
        <v>11.41</v>
      </c>
      <c r="K636" s="5">
        <f t="shared" ref="K636:K638" si="476">I636+J636</f>
        <v>2817.04</v>
      </c>
      <c r="L636" s="5">
        <f t="shared" si="463"/>
        <v>84.51</v>
      </c>
      <c r="M636" s="15">
        <f t="shared" ref="M636:M638" si="477">K636+L636</f>
        <v>2901.55</v>
      </c>
      <c r="N636" s="15">
        <f t="shared" si="464"/>
        <v>580.30999999999995</v>
      </c>
      <c r="O636" s="100">
        <f t="shared" ref="O636:O638" si="478">M636+N636</f>
        <v>3481.86</v>
      </c>
      <c r="P636" s="75">
        <f t="shared" ref="P636:P657" si="479">ROUND(O636/5/12,2)</f>
        <v>58.03</v>
      </c>
      <c r="Q636" s="67">
        <v>32</v>
      </c>
      <c r="R636" s="79">
        <f t="shared" ref="R636:R655" si="480">ROUND(P636*3/Q636,2)</f>
        <v>5.44</v>
      </c>
      <c r="S636" s="80">
        <f>ROUND(441.63/Q636,2)</f>
        <v>13.8</v>
      </c>
    </row>
    <row r="637" spans="1:19" ht="31.5" x14ac:dyDescent="0.25">
      <c r="A637" s="22">
        <v>480</v>
      </c>
      <c r="B637" s="88" t="s">
        <v>467</v>
      </c>
      <c r="C637" s="43" t="s">
        <v>449</v>
      </c>
      <c r="D637" s="103">
        <v>1962.25</v>
      </c>
      <c r="E637" s="103">
        <v>18.079999999999998</v>
      </c>
      <c r="F637" s="103">
        <v>532.22</v>
      </c>
      <c r="G637" s="103">
        <v>117.09</v>
      </c>
      <c r="H637" s="11">
        <v>175.99</v>
      </c>
      <c r="I637" s="5">
        <f>E637+F637+G637+H637+D637</f>
        <v>2805.63</v>
      </c>
      <c r="J637" s="103">
        <v>11.41</v>
      </c>
      <c r="K637" s="5">
        <f t="shared" si="476"/>
        <v>2817.04</v>
      </c>
      <c r="L637" s="5">
        <f t="shared" si="463"/>
        <v>84.51</v>
      </c>
      <c r="M637" s="15">
        <f t="shared" si="477"/>
        <v>2901.55</v>
      </c>
      <c r="N637" s="15">
        <f t="shared" si="464"/>
        <v>580.30999999999995</v>
      </c>
      <c r="O637" s="100">
        <f t="shared" si="478"/>
        <v>3481.86</v>
      </c>
      <c r="P637" s="75">
        <f t="shared" si="479"/>
        <v>58.03</v>
      </c>
      <c r="Q637" s="67">
        <v>23</v>
      </c>
      <c r="R637" s="79">
        <f t="shared" si="480"/>
        <v>7.57</v>
      </c>
      <c r="S637" s="80">
        <f>ROUND(441.63/Q637,2)</f>
        <v>19.2</v>
      </c>
    </row>
    <row r="638" spans="1:19" ht="31.5" x14ac:dyDescent="0.25">
      <c r="A638" s="22">
        <v>481</v>
      </c>
      <c r="B638" s="88" t="s">
        <v>468</v>
      </c>
      <c r="C638" s="43" t="s">
        <v>469</v>
      </c>
      <c r="D638" s="103">
        <v>1475.88</v>
      </c>
      <c r="E638" s="103">
        <v>18.079999999999998</v>
      </c>
      <c r="F638" s="103">
        <v>532.22</v>
      </c>
      <c r="G638" s="103">
        <v>117.09</v>
      </c>
      <c r="H638" s="11">
        <v>175.99</v>
      </c>
      <c r="I638" s="5">
        <f t="shared" ref="I638" si="481">E638+F638+G638+H638+D638</f>
        <v>2319.2600000000002</v>
      </c>
      <c r="J638" s="103">
        <v>11.41</v>
      </c>
      <c r="K638" s="5">
        <f t="shared" si="476"/>
        <v>2330.67</v>
      </c>
      <c r="L638" s="5">
        <f t="shared" si="463"/>
        <v>69.92</v>
      </c>
      <c r="M638" s="15">
        <f t="shared" si="477"/>
        <v>2400.59</v>
      </c>
      <c r="N638" s="15">
        <f t="shared" si="464"/>
        <v>480.12</v>
      </c>
      <c r="O638" s="100">
        <f t="shared" si="478"/>
        <v>2880.71</v>
      </c>
      <c r="P638" s="75">
        <f t="shared" si="479"/>
        <v>48.01</v>
      </c>
      <c r="Q638" s="67">
        <v>10</v>
      </c>
      <c r="R638" s="79">
        <f t="shared" si="480"/>
        <v>14.4</v>
      </c>
      <c r="S638" s="80">
        <f t="shared" ref="S638" si="482">ROUND(441.63/Q638,2)</f>
        <v>44.16</v>
      </c>
    </row>
    <row r="639" spans="1:19" ht="31.5" x14ac:dyDescent="0.25">
      <c r="A639" s="22">
        <v>482</v>
      </c>
      <c r="B639" s="88" t="s">
        <v>470</v>
      </c>
      <c r="C639" s="26" t="s">
        <v>49</v>
      </c>
      <c r="D639" s="103">
        <v>1962.25</v>
      </c>
      <c r="E639" s="103">
        <v>18.079999999999998</v>
      </c>
      <c r="F639" s="103">
        <v>532.22</v>
      </c>
      <c r="G639" s="103">
        <v>117.09</v>
      </c>
      <c r="H639" s="11">
        <v>175.99</v>
      </c>
      <c r="I639" s="5">
        <f>E639+F639+G639+H639+D639</f>
        <v>2805.63</v>
      </c>
      <c r="J639" s="103">
        <v>11.41</v>
      </c>
      <c r="K639" s="5">
        <f t="shared" si="445"/>
        <v>2817.04</v>
      </c>
      <c r="L639" s="5">
        <f t="shared" si="463"/>
        <v>84.51</v>
      </c>
      <c r="M639" s="15">
        <f t="shared" si="446"/>
        <v>2901.55</v>
      </c>
      <c r="N639" s="15">
        <f t="shared" si="464"/>
        <v>580.30999999999995</v>
      </c>
      <c r="O639" s="100">
        <f t="shared" si="447"/>
        <v>3481.86</v>
      </c>
      <c r="P639" s="75">
        <f t="shared" si="479"/>
        <v>58.03</v>
      </c>
      <c r="Q639" s="68">
        <v>36</v>
      </c>
      <c r="R639" s="79">
        <f t="shared" si="480"/>
        <v>4.84</v>
      </c>
      <c r="S639" s="80">
        <f>ROUND(441.63/Q639,2)</f>
        <v>12.27</v>
      </c>
    </row>
    <row r="640" spans="1:19" ht="31.5" x14ac:dyDescent="0.25">
      <c r="A640" s="22">
        <v>483</v>
      </c>
      <c r="B640" s="88" t="s">
        <v>471</v>
      </c>
      <c r="C640" s="26" t="s">
        <v>472</v>
      </c>
      <c r="D640" s="103">
        <v>1962.25</v>
      </c>
      <c r="E640" s="103">
        <v>18.079999999999998</v>
      </c>
      <c r="F640" s="103">
        <v>532.22</v>
      </c>
      <c r="G640" s="103">
        <v>117.09</v>
      </c>
      <c r="H640" s="11">
        <v>175.99</v>
      </c>
      <c r="I640" s="5">
        <f>E640+F640+G640+H640+D640</f>
        <v>2805.63</v>
      </c>
      <c r="J640" s="103">
        <v>11.41</v>
      </c>
      <c r="K640" s="5">
        <f t="shared" si="445"/>
        <v>2817.04</v>
      </c>
      <c r="L640" s="5">
        <f t="shared" si="463"/>
        <v>84.51</v>
      </c>
      <c r="M640" s="15">
        <f t="shared" si="446"/>
        <v>2901.55</v>
      </c>
      <c r="N640" s="15">
        <f t="shared" si="464"/>
        <v>580.30999999999995</v>
      </c>
      <c r="O640" s="100">
        <f t="shared" si="447"/>
        <v>3481.86</v>
      </c>
      <c r="P640" s="75">
        <f t="shared" si="479"/>
        <v>58.03</v>
      </c>
      <c r="Q640" s="68">
        <v>30</v>
      </c>
      <c r="R640" s="79">
        <f t="shared" si="480"/>
        <v>5.8</v>
      </c>
      <c r="S640" s="80">
        <f>ROUND(441.63/Q640,2)</f>
        <v>14.72</v>
      </c>
    </row>
    <row r="641" spans="1:19" ht="15.75" x14ac:dyDescent="0.25">
      <c r="A641" s="22">
        <v>484</v>
      </c>
      <c r="B641" s="88" t="s">
        <v>473</v>
      </c>
      <c r="C641" s="26" t="s">
        <v>474</v>
      </c>
      <c r="D641" s="103">
        <v>2427.87</v>
      </c>
      <c r="E641" s="3">
        <v>21</v>
      </c>
      <c r="F641" s="3">
        <v>580.29999999999995</v>
      </c>
      <c r="G641" s="3">
        <v>127.67</v>
      </c>
      <c r="H641" s="11">
        <v>195.01</v>
      </c>
      <c r="I641" s="5">
        <f t="shared" ref="I641:I643" si="483">E641+F641+G641+H641+D641</f>
        <v>3351.85</v>
      </c>
      <c r="J641" s="103">
        <v>12.67</v>
      </c>
      <c r="K641" s="5">
        <f t="shared" si="445"/>
        <v>3364.52</v>
      </c>
      <c r="L641" s="5">
        <f t="shared" si="463"/>
        <v>100.94</v>
      </c>
      <c r="M641" s="15">
        <f t="shared" si="446"/>
        <v>3465.46</v>
      </c>
      <c r="N641" s="15">
        <f t="shared" si="464"/>
        <v>693.09</v>
      </c>
      <c r="O641" s="100">
        <f t="shared" si="447"/>
        <v>4158.55</v>
      </c>
      <c r="P641" s="75">
        <f t="shared" si="479"/>
        <v>69.31</v>
      </c>
      <c r="Q641" s="68">
        <v>179</v>
      </c>
      <c r="R641" s="79">
        <f t="shared" si="480"/>
        <v>1.1599999999999999</v>
      </c>
      <c r="S641" s="80">
        <f>ROUND(451.2/Q641,2)</f>
        <v>2.52</v>
      </c>
    </row>
    <row r="642" spans="1:19" ht="15.75" x14ac:dyDescent="0.25">
      <c r="A642" s="22">
        <v>485</v>
      </c>
      <c r="B642" s="88" t="s">
        <v>475</v>
      </c>
      <c r="C642" s="26" t="s">
        <v>476</v>
      </c>
      <c r="D642" s="103">
        <v>2427.87</v>
      </c>
      <c r="E642" s="3">
        <v>21</v>
      </c>
      <c r="F642" s="3">
        <v>580.29999999999995</v>
      </c>
      <c r="G642" s="3">
        <v>127.67</v>
      </c>
      <c r="H642" s="11">
        <v>195.01</v>
      </c>
      <c r="I642" s="5">
        <f t="shared" si="483"/>
        <v>3351.85</v>
      </c>
      <c r="J642" s="103">
        <v>12.67</v>
      </c>
      <c r="K642" s="5">
        <f t="shared" si="445"/>
        <v>3364.52</v>
      </c>
      <c r="L642" s="5">
        <f t="shared" si="463"/>
        <v>100.94</v>
      </c>
      <c r="M642" s="15">
        <f t="shared" si="446"/>
        <v>3465.46</v>
      </c>
      <c r="N642" s="15">
        <f t="shared" si="464"/>
        <v>693.09</v>
      </c>
      <c r="O642" s="100">
        <f t="shared" si="447"/>
        <v>4158.55</v>
      </c>
      <c r="P642" s="75">
        <f t="shared" si="479"/>
        <v>69.31</v>
      </c>
      <c r="Q642" s="68">
        <v>143</v>
      </c>
      <c r="R642" s="79">
        <f t="shared" si="480"/>
        <v>1.45</v>
      </c>
      <c r="S642" s="80">
        <f>ROUND(451.2/Q642,2)</f>
        <v>3.16</v>
      </c>
    </row>
    <row r="643" spans="1:19" ht="15.75" x14ac:dyDescent="0.25">
      <c r="A643" s="22">
        <v>486</v>
      </c>
      <c r="B643" s="88" t="s">
        <v>477</v>
      </c>
      <c r="C643" s="26" t="s">
        <v>474</v>
      </c>
      <c r="D643" s="103">
        <v>2427.87</v>
      </c>
      <c r="E643" s="3">
        <v>21</v>
      </c>
      <c r="F643" s="3">
        <v>580.29999999999995</v>
      </c>
      <c r="G643" s="3">
        <v>127.67</v>
      </c>
      <c r="H643" s="11">
        <v>195.01</v>
      </c>
      <c r="I643" s="5">
        <f t="shared" si="483"/>
        <v>3351.85</v>
      </c>
      <c r="J643" s="103">
        <v>12.67</v>
      </c>
      <c r="K643" s="5">
        <f t="shared" si="445"/>
        <v>3364.52</v>
      </c>
      <c r="L643" s="5">
        <f t="shared" si="463"/>
        <v>100.94</v>
      </c>
      <c r="M643" s="15">
        <f t="shared" si="446"/>
        <v>3465.46</v>
      </c>
      <c r="N643" s="15">
        <f t="shared" si="464"/>
        <v>693.09</v>
      </c>
      <c r="O643" s="100">
        <f t="shared" si="447"/>
        <v>4158.55</v>
      </c>
      <c r="P643" s="75">
        <f t="shared" si="479"/>
        <v>69.31</v>
      </c>
      <c r="Q643" s="68">
        <v>142</v>
      </c>
      <c r="R643" s="79">
        <f t="shared" si="480"/>
        <v>1.46</v>
      </c>
      <c r="S643" s="80">
        <f>ROUND(451.2/Q643,2)</f>
        <v>3.18</v>
      </c>
    </row>
    <row r="644" spans="1:19" ht="15.75" x14ac:dyDescent="0.25">
      <c r="A644" s="22">
        <v>487</v>
      </c>
      <c r="B644" s="88" t="s">
        <v>865</v>
      </c>
      <c r="C644" s="26" t="s">
        <v>49</v>
      </c>
      <c r="D644" s="103">
        <v>1962.25</v>
      </c>
      <c r="E644" s="103">
        <v>18.079999999999998</v>
      </c>
      <c r="F644" s="103">
        <v>532.22</v>
      </c>
      <c r="G644" s="103">
        <v>117.09</v>
      </c>
      <c r="H644" s="11">
        <v>175.99</v>
      </c>
      <c r="I644" s="5">
        <f>E644+F644+G644+H644+D644</f>
        <v>2805.63</v>
      </c>
      <c r="J644" s="103">
        <v>11.41</v>
      </c>
      <c r="K644" s="5">
        <f t="shared" si="445"/>
        <v>2817.04</v>
      </c>
      <c r="L644" s="5">
        <f t="shared" si="463"/>
        <v>84.51</v>
      </c>
      <c r="M644" s="15">
        <f t="shared" si="446"/>
        <v>2901.55</v>
      </c>
      <c r="N644" s="15">
        <f t="shared" si="464"/>
        <v>580.30999999999995</v>
      </c>
      <c r="O644" s="100">
        <f t="shared" si="447"/>
        <v>3481.86</v>
      </c>
      <c r="P644" s="75">
        <f t="shared" si="479"/>
        <v>58.03</v>
      </c>
      <c r="Q644" s="68">
        <v>55</v>
      </c>
      <c r="R644" s="79">
        <f t="shared" si="480"/>
        <v>3.17</v>
      </c>
      <c r="S644" s="80">
        <f>ROUND(441.63/Q644,2)</f>
        <v>8.0299999999999994</v>
      </c>
    </row>
    <row r="645" spans="1:19" ht="38.25" x14ac:dyDescent="0.25">
      <c r="A645" s="87">
        <v>488</v>
      </c>
      <c r="B645" s="88" t="s">
        <v>836</v>
      </c>
      <c r="C645" s="26" t="s">
        <v>738</v>
      </c>
      <c r="D645" s="2">
        <f>1962.25*6+3502.25</f>
        <v>15275.75</v>
      </c>
      <c r="E645" s="103">
        <f>18.08*6+21</f>
        <v>129.47999999999999</v>
      </c>
      <c r="F645" s="103">
        <f>532.22*6+546.46</f>
        <v>3739.78</v>
      </c>
      <c r="G645" s="103">
        <f>117.09*6+117.09</f>
        <v>819.63</v>
      </c>
      <c r="H645" s="11">
        <f>175.99*6+184.09</f>
        <v>1240.03</v>
      </c>
      <c r="I645" s="5">
        <f t="shared" ref="I645:I657" si="484">E645+F645+G645+H645+D645</f>
        <v>21204.67</v>
      </c>
      <c r="J645" s="103">
        <f>11.41*6+12.03</f>
        <v>80.490000000000009</v>
      </c>
      <c r="K645" s="5">
        <f t="shared" si="445"/>
        <v>21285.16</v>
      </c>
      <c r="L645" s="5">
        <f t="shared" si="463"/>
        <v>638.54999999999995</v>
      </c>
      <c r="M645" s="15">
        <f t="shared" si="446"/>
        <v>21923.71</v>
      </c>
      <c r="N645" s="5">
        <f t="shared" si="464"/>
        <v>4384.74</v>
      </c>
      <c r="O645" s="54">
        <f t="shared" si="447"/>
        <v>26308.449999999997</v>
      </c>
      <c r="P645" s="5">
        <f t="shared" si="479"/>
        <v>438.47</v>
      </c>
      <c r="Q645" s="69">
        <v>217</v>
      </c>
      <c r="R645" s="79">
        <f t="shared" si="480"/>
        <v>6.06</v>
      </c>
      <c r="S645" s="80">
        <f>ROUND((441.63*6+705.6)/Q645,2)</f>
        <v>15.46</v>
      </c>
    </row>
    <row r="646" spans="1:19" ht="26.25" thickBot="1" x14ac:dyDescent="0.3">
      <c r="A646" s="23">
        <v>489</v>
      </c>
      <c r="B646" s="46" t="s">
        <v>837</v>
      </c>
      <c r="C646" s="56" t="s">
        <v>739</v>
      </c>
      <c r="D646" s="152">
        <f>1962.25*3</f>
        <v>5886.75</v>
      </c>
      <c r="E646" s="153">
        <f>18.08*3</f>
        <v>54.239999999999995</v>
      </c>
      <c r="F646" s="153">
        <f>532.22*3</f>
        <v>1596.66</v>
      </c>
      <c r="G646" s="153">
        <f>117.09*3</f>
        <v>351.27</v>
      </c>
      <c r="H646" s="58">
        <f>175.99*3</f>
        <v>527.97</v>
      </c>
      <c r="I646" s="59">
        <f t="shared" si="484"/>
        <v>8416.89</v>
      </c>
      <c r="J646" s="57">
        <f>11.41*3</f>
        <v>34.230000000000004</v>
      </c>
      <c r="K646" s="59">
        <f t="shared" si="445"/>
        <v>8451.119999999999</v>
      </c>
      <c r="L646" s="59">
        <f t="shared" si="463"/>
        <v>253.53</v>
      </c>
      <c r="M646" s="60">
        <f t="shared" si="446"/>
        <v>8704.65</v>
      </c>
      <c r="N646" s="59">
        <f t="shared" si="464"/>
        <v>1740.93</v>
      </c>
      <c r="O646" s="154">
        <f t="shared" si="447"/>
        <v>10445.58</v>
      </c>
      <c r="P646" s="59">
        <f t="shared" si="479"/>
        <v>174.09</v>
      </c>
      <c r="Q646" s="70">
        <v>111</v>
      </c>
      <c r="R646" s="110">
        <f t="shared" si="480"/>
        <v>4.71</v>
      </c>
      <c r="S646" s="146">
        <f>ROUND(441.63*3/Q646,2)</f>
        <v>11.94</v>
      </c>
    </row>
    <row r="647" spans="1:19" ht="15.75" x14ac:dyDescent="0.25">
      <c r="A647" s="115">
        <v>490</v>
      </c>
      <c r="B647" s="155" t="s">
        <v>838</v>
      </c>
      <c r="C647" s="148" t="s">
        <v>478</v>
      </c>
      <c r="D647" s="156">
        <f>1962.25*2</f>
        <v>3924.5</v>
      </c>
      <c r="E647" s="157">
        <f>18.08*2</f>
        <v>36.159999999999997</v>
      </c>
      <c r="F647" s="157">
        <f>532.22*2</f>
        <v>1064.44</v>
      </c>
      <c r="G647" s="158">
        <f>117.09*2</f>
        <v>234.18</v>
      </c>
      <c r="H647" s="119">
        <f>175.99*2</f>
        <v>351.98</v>
      </c>
      <c r="I647" s="120">
        <f t="shared" si="484"/>
        <v>5611.26</v>
      </c>
      <c r="J647" s="118">
        <f>11.41*2</f>
        <v>22.82</v>
      </c>
      <c r="K647" s="120">
        <f t="shared" si="445"/>
        <v>5634.08</v>
      </c>
      <c r="L647" s="120">
        <f t="shared" si="463"/>
        <v>169.02</v>
      </c>
      <c r="M647" s="121">
        <f t="shared" si="446"/>
        <v>5803.1</v>
      </c>
      <c r="N647" s="120">
        <f t="shared" si="464"/>
        <v>1160.6199999999999</v>
      </c>
      <c r="O647" s="159">
        <f t="shared" si="447"/>
        <v>6963.72</v>
      </c>
      <c r="P647" s="120">
        <f t="shared" si="479"/>
        <v>116.06</v>
      </c>
      <c r="Q647" s="160">
        <v>72</v>
      </c>
      <c r="R647" s="124">
        <f t="shared" si="480"/>
        <v>4.84</v>
      </c>
      <c r="S647" s="151">
        <f>ROUND(441.63*2/Q647,2)</f>
        <v>12.27</v>
      </c>
    </row>
    <row r="648" spans="1:19" ht="15.75" x14ac:dyDescent="0.25">
      <c r="A648" s="87">
        <v>491</v>
      </c>
      <c r="B648" s="99" t="s">
        <v>479</v>
      </c>
      <c r="C648" s="43" t="s">
        <v>100</v>
      </c>
      <c r="D648" s="103">
        <v>2210.63</v>
      </c>
      <c r="E648" s="103">
        <v>18.079999999999998</v>
      </c>
      <c r="F648" s="103">
        <v>532.22</v>
      </c>
      <c r="G648" s="103">
        <v>117.09</v>
      </c>
      <c r="H648" s="11">
        <v>175.99</v>
      </c>
      <c r="I648" s="5">
        <f>E648+F648+G648+H648+D648</f>
        <v>3054.01</v>
      </c>
      <c r="J648" s="103">
        <v>11.41</v>
      </c>
      <c r="K648" s="5">
        <f>I648+J648</f>
        <v>3065.42</v>
      </c>
      <c r="L648" s="5">
        <f>ROUND(K648*3%,2)</f>
        <v>91.96</v>
      </c>
      <c r="M648" s="15">
        <f>K648+L648</f>
        <v>3157.38</v>
      </c>
      <c r="N648" s="15">
        <f>ROUND(M648*20%,2)</f>
        <v>631.48</v>
      </c>
      <c r="O648" s="100">
        <f>M648+N648</f>
        <v>3788.86</v>
      </c>
      <c r="P648" s="75">
        <f t="shared" si="479"/>
        <v>63.15</v>
      </c>
      <c r="Q648" s="90">
        <v>72</v>
      </c>
      <c r="R648" s="79">
        <f t="shared" si="480"/>
        <v>2.63</v>
      </c>
      <c r="S648" s="80">
        <f t="shared" ref="S648:S649" si="485">ROUND(441.63/Q648,2)</f>
        <v>6.13</v>
      </c>
    </row>
    <row r="649" spans="1:19" ht="15.75" x14ac:dyDescent="0.25">
      <c r="A649" s="87">
        <v>492</v>
      </c>
      <c r="B649" s="99" t="s">
        <v>480</v>
      </c>
      <c r="C649" s="43" t="s">
        <v>481</v>
      </c>
      <c r="D649" s="103">
        <v>2210.63</v>
      </c>
      <c r="E649" s="103">
        <v>18.079999999999998</v>
      </c>
      <c r="F649" s="103">
        <v>532.22</v>
      </c>
      <c r="G649" s="103">
        <v>117.09</v>
      </c>
      <c r="H649" s="11">
        <v>175.99</v>
      </c>
      <c r="I649" s="5">
        <f>E649+F649+G649+H649+D649</f>
        <v>3054.01</v>
      </c>
      <c r="J649" s="103">
        <v>11.41</v>
      </c>
      <c r="K649" s="5">
        <f>I649+J649</f>
        <v>3065.42</v>
      </c>
      <c r="L649" s="5">
        <f>ROUND(K649*3%,2)</f>
        <v>91.96</v>
      </c>
      <c r="M649" s="15">
        <f>K649+L649</f>
        <v>3157.38</v>
      </c>
      <c r="N649" s="15">
        <f>ROUND(M649*20%,2)</f>
        <v>631.48</v>
      </c>
      <c r="O649" s="100">
        <f>M649+N649</f>
        <v>3788.86</v>
      </c>
      <c r="P649" s="75">
        <f t="shared" si="479"/>
        <v>63.15</v>
      </c>
      <c r="Q649" s="90">
        <v>71</v>
      </c>
      <c r="R649" s="79">
        <f t="shared" si="480"/>
        <v>2.67</v>
      </c>
      <c r="S649" s="80">
        <f t="shared" si="485"/>
        <v>6.22</v>
      </c>
    </row>
    <row r="650" spans="1:19" ht="25.5" x14ac:dyDescent="0.25">
      <c r="A650" s="87">
        <v>493</v>
      </c>
      <c r="B650" s="88" t="s">
        <v>839</v>
      </c>
      <c r="C650" s="43" t="s">
        <v>740</v>
      </c>
      <c r="D650" s="10">
        <f>1962.25*2</f>
        <v>3924.5</v>
      </c>
      <c r="E650" s="2">
        <f>18.08*2</f>
        <v>36.159999999999997</v>
      </c>
      <c r="F650" s="2">
        <f>532.22*2</f>
        <v>1064.44</v>
      </c>
      <c r="G650" s="14">
        <f>117.09*2</f>
        <v>234.18</v>
      </c>
      <c r="H650" s="11">
        <f>175.99*2</f>
        <v>351.98</v>
      </c>
      <c r="I650" s="5">
        <f t="shared" ref="I650:I654" si="486">E650+F650+G650+H650+D650</f>
        <v>5611.26</v>
      </c>
      <c r="J650" s="103">
        <f>11.41*2</f>
        <v>22.82</v>
      </c>
      <c r="K650" s="5">
        <f t="shared" ref="K650:K654" si="487">I650+J650</f>
        <v>5634.08</v>
      </c>
      <c r="L650" s="5">
        <f t="shared" ref="L650:L654" si="488">ROUND(K650*3%,2)</f>
        <v>169.02</v>
      </c>
      <c r="M650" s="15">
        <f t="shared" ref="M650:M654" si="489">K650+L650</f>
        <v>5803.1</v>
      </c>
      <c r="N650" s="5">
        <f t="shared" ref="N650:N654" si="490">ROUND(M650*20%,2)</f>
        <v>1160.6199999999999</v>
      </c>
      <c r="O650" s="54">
        <f t="shared" ref="O650:O654" si="491">M650+N650</f>
        <v>6963.72</v>
      </c>
      <c r="P650" s="5">
        <f t="shared" si="479"/>
        <v>116.06</v>
      </c>
      <c r="Q650" s="90">
        <f>36+36</f>
        <v>72</v>
      </c>
      <c r="R650" s="79">
        <f t="shared" si="480"/>
        <v>4.84</v>
      </c>
      <c r="S650" s="80">
        <f>ROUND(441.63*2/Q650,2)</f>
        <v>12.27</v>
      </c>
    </row>
    <row r="651" spans="1:19" ht="25.5" x14ac:dyDescent="0.25">
      <c r="A651" s="87">
        <v>494</v>
      </c>
      <c r="B651" s="88" t="s">
        <v>840</v>
      </c>
      <c r="C651" s="43" t="s">
        <v>740</v>
      </c>
      <c r="D651" s="10">
        <f>1962.25*2</f>
        <v>3924.5</v>
      </c>
      <c r="E651" s="2">
        <f>18.08*2</f>
        <v>36.159999999999997</v>
      </c>
      <c r="F651" s="2">
        <f>532.22*2</f>
        <v>1064.44</v>
      </c>
      <c r="G651" s="14">
        <f>117.09*2</f>
        <v>234.18</v>
      </c>
      <c r="H651" s="11">
        <f>175.99*2</f>
        <v>351.98</v>
      </c>
      <c r="I651" s="5">
        <f t="shared" si="486"/>
        <v>5611.26</v>
      </c>
      <c r="J651" s="103">
        <f>11.41*2</f>
        <v>22.82</v>
      </c>
      <c r="K651" s="5">
        <f t="shared" si="487"/>
        <v>5634.08</v>
      </c>
      <c r="L651" s="5">
        <f t="shared" si="488"/>
        <v>169.02</v>
      </c>
      <c r="M651" s="15">
        <f t="shared" si="489"/>
        <v>5803.1</v>
      </c>
      <c r="N651" s="5">
        <f t="shared" si="490"/>
        <v>1160.6199999999999</v>
      </c>
      <c r="O651" s="54">
        <f t="shared" si="491"/>
        <v>6963.72</v>
      </c>
      <c r="P651" s="5">
        <f t="shared" si="479"/>
        <v>116.06</v>
      </c>
      <c r="Q651" s="90">
        <v>72</v>
      </c>
      <c r="R651" s="79">
        <f t="shared" si="480"/>
        <v>4.84</v>
      </c>
      <c r="S651" s="80">
        <f>ROUND(441.63*2/Q651,2)</f>
        <v>12.27</v>
      </c>
    </row>
    <row r="652" spans="1:19" ht="25.5" x14ac:dyDescent="0.25">
      <c r="A652" s="87">
        <v>495</v>
      </c>
      <c r="B652" s="88" t="s">
        <v>841</v>
      </c>
      <c r="C652" s="43" t="s">
        <v>741</v>
      </c>
      <c r="D652" s="10">
        <f>2210.63*2</f>
        <v>4421.26</v>
      </c>
      <c r="E652" s="2">
        <f>18.08*2</f>
        <v>36.159999999999997</v>
      </c>
      <c r="F652" s="2">
        <f>532.22*2</f>
        <v>1064.44</v>
      </c>
      <c r="G652" s="103">
        <f>117.09*2</f>
        <v>234.18</v>
      </c>
      <c r="H652" s="11">
        <f>175.99*2</f>
        <v>351.98</v>
      </c>
      <c r="I652" s="5">
        <f t="shared" si="486"/>
        <v>6108.02</v>
      </c>
      <c r="J652" s="103">
        <f>11.41*2</f>
        <v>22.82</v>
      </c>
      <c r="K652" s="5">
        <f t="shared" si="487"/>
        <v>6130.84</v>
      </c>
      <c r="L652" s="5">
        <f t="shared" si="488"/>
        <v>183.93</v>
      </c>
      <c r="M652" s="5">
        <f t="shared" si="489"/>
        <v>6314.77</v>
      </c>
      <c r="N652" s="5">
        <f t="shared" si="490"/>
        <v>1262.95</v>
      </c>
      <c r="O652" s="54">
        <f t="shared" si="491"/>
        <v>7577.72</v>
      </c>
      <c r="P652" s="5">
        <f>ROUND(O652/5/12,2)</f>
        <v>126.3</v>
      </c>
      <c r="Q652" s="90">
        <v>313</v>
      </c>
      <c r="R652" s="79">
        <f t="shared" si="480"/>
        <v>1.21</v>
      </c>
      <c r="S652" s="80">
        <f>ROUND(441.63*2/136,2)</f>
        <v>6.49</v>
      </c>
    </row>
    <row r="653" spans="1:19" ht="25.5" x14ac:dyDescent="0.25">
      <c r="A653" s="87">
        <v>496</v>
      </c>
      <c r="B653" s="88" t="s">
        <v>842</v>
      </c>
      <c r="C653" s="43" t="s">
        <v>740</v>
      </c>
      <c r="D653" s="10">
        <f>1962.25*2</f>
        <v>3924.5</v>
      </c>
      <c r="E653" s="2">
        <f>18.08*2</f>
        <v>36.159999999999997</v>
      </c>
      <c r="F653" s="2">
        <f>532.22*2</f>
        <v>1064.44</v>
      </c>
      <c r="G653" s="14">
        <f>117.09*2</f>
        <v>234.18</v>
      </c>
      <c r="H653" s="11">
        <f>175.99*2</f>
        <v>351.98</v>
      </c>
      <c r="I653" s="5">
        <f t="shared" si="486"/>
        <v>5611.26</v>
      </c>
      <c r="J653" s="103">
        <f>11.41*2</f>
        <v>22.82</v>
      </c>
      <c r="K653" s="5">
        <f t="shared" si="487"/>
        <v>5634.08</v>
      </c>
      <c r="L653" s="5">
        <f t="shared" si="488"/>
        <v>169.02</v>
      </c>
      <c r="M653" s="15">
        <f t="shared" si="489"/>
        <v>5803.1</v>
      </c>
      <c r="N653" s="5">
        <f t="shared" si="490"/>
        <v>1160.6199999999999</v>
      </c>
      <c r="O653" s="54">
        <f t="shared" si="491"/>
        <v>6963.72</v>
      </c>
      <c r="P653" s="5">
        <f t="shared" ref="P653:P654" si="492">ROUND(O653/5/12,2)</f>
        <v>116.06</v>
      </c>
      <c r="Q653" s="90">
        <f>36+36</f>
        <v>72</v>
      </c>
      <c r="R653" s="79">
        <f t="shared" si="480"/>
        <v>4.84</v>
      </c>
      <c r="S653" s="80">
        <f>ROUND(441.63*2/Q653,2)</f>
        <v>12.27</v>
      </c>
    </row>
    <row r="654" spans="1:19" ht="25.5" x14ac:dyDescent="0.25">
      <c r="A654" s="87">
        <v>497</v>
      </c>
      <c r="B654" s="88" t="s">
        <v>843</v>
      </c>
      <c r="C654" s="43" t="s">
        <v>740</v>
      </c>
      <c r="D654" s="10">
        <f>1962.25*2</f>
        <v>3924.5</v>
      </c>
      <c r="E654" s="2">
        <f>18.08*2</f>
        <v>36.159999999999997</v>
      </c>
      <c r="F654" s="2">
        <f>532.22*2</f>
        <v>1064.44</v>
      </c>
      <c r="G654" s="14">
        <f>117.09*2</f>
        <v>234.18</v>
      </c>
      <c r="H654" s="11">
        <f>175.99*2</f>
        <v>351.98</v>
      </c>
      <c r="I654" s="5">
        <f t="shared" si="486"/>
        <v>5611.26</v>
      </c>
      <c r="J654" s="103">
        <f>11.41*2</f>
        <v>22.82</v>
      </c>
      <c r="K654" s="5">
        <f t="shared" si="487"/>
        <v>5634.08</v>
      </c>
      <c r="L654" s="5">
        <f t="shared" si="488"/>
        <v>169.02</v>
      </c>
      <c r="M654" s="15">
        <f t="shared" si="489"/>
        <v>5803.1</v>
      </c>
      <c r="N654" s="5">
        <f t="shared" si="490"/>
        <v>1160.6199999999999</v>
      </c>
      <c r="O654" s="54">
        <f t="shared" si="491"/>
        <v>6963.72</v>
      </c>
      <c r="P654" s="5">
        <f t="shared" si="492"/>
        <v>116.06</v>
      </c>
      <c r="Q654" s="90">
        <f>36+36</f>
        <v>72</v>
      </c>
      <c r="R654" s="79">
        <f t="shared" si="480"/>
        <v>4.84</v>
      </c>
      <c r="S654" s="80">
        <f>ROUND(441.63*2/Q654,2)</f>
        <v>12.27</v>
      </c>
    </row>
    <row r="655" spans="1:19" ht="15.75" x14ac:dyDescent="0.25">
      <c r="A655" s="87">
        <v>498</v>
      </c>
      <c r="B655" s="88" t="s">
        <v>482</v>
      </c>
      <c r="C655" s="43" t="s">
        <v>481</v>
      </c>
      <c r="D655" s="103">
        <v>2210.63</v>
      </c>
      <c r="E655" s="103">
        <v>18.079999999999998</v>
      </c>
      <c r="F655" s="103">
        <v>532.22</v>
      </c>
      <c r="G655" s="103">
        <v>117.09</v>
      </c>
      <c r="H655" s="11">
        <v>175.99</v>
      </c>
      <c r="I655" s="5">
        <f>E655+F655+G655+H655+D655</f>
        <v>3054.01</v>
      </c>
      <c r="J655" s="103">
        <v>11.41</v>
      </c>
      <c r="K655" s="5">
        <f>I655+J655</f>
        <v>3065.42</v>
      </c>
      <c r="L655" s="5">
        <f>ROUND(K655*3%,2)</f>
        <v>91.96</v>
      </c>
      <c r="M655" s="15">
        <f>K655+L655</f>
        <v>3157.38</v>
      </c>
      <c r="N655" s="15">
        <f>ROUND(M655*20%,2)</f>
        <v>631.48</v>
      </c>
      <c r="O655" s="100">
        <f>M655+N655</f>
        <v>3788.86</v>
      </c>
      <c r="P655" s="75">
        <f t="shared" si="479"/>
        <v>63.15</v>
      </c>
      <c r="Q655" s="90">
        <v>60</v>
      </c>
      <c r="R655" s="79">
        <f t="shared" si="480"/>
        <v>3.16</v>
      </c>
      <c r="S655" s="80">
        <f t="shared" ref="S655" si="493">ROUND(441.63/Q655,2)</f>
        <v>7.36</v>
      </c>
    </row>
    <row r="656" spans="1:19" ht="15.75" x14ac:dyDescent="0.25">
      <c r="A656" s="87">
        <v>499</v>
      </c>
      <c r="B656" s="88" t="s">
        <v>483</v>
      </c>
      <c r="C656" s="43" t="s">
        <v>484</v>
      </c>
      <c r="D656" s="103">
        <v>2427.87</v>
      </c>
      <c r="E656" s="3">
        <v>21</v>
      </c>
      <c r="F656" s="3">
        <v>580.29999999999995</v>
      </c>
      <c r="G656" s="3">
        <v>127.67</v>
      </c>
      <c r="H656" s="11">
        <v>195.01</v>
      </c>
      <c r="I656" s="5">
        <f t="shared" ref="I656" si="494">E656+F656+G656+H656+D656</f>
        <v>3351.85</v>
      </c>
      <c r="J656" s="103">
        <v>12.67</v>
      </c>
      <c r="K656" s="5">
        <f t="shared" ref="K656" si="495">I656+J656</f>
        <v>3364.52</v>
      </c>
      <c r="L656" s="5">
        <f t="shared" ref="L656" si="496">ROUND(K656*3%,2)</f>
        <v>100.94</v>
      </c>
      <c r="M656" s="15">
        <f t="shared" ref="M656" si="497">K656+L656</f>
        <v>3465.46</v>
      </c>
      <c r="N656" s="15">
        <f t="shared" ref="N656" si="498">ROUND(M656*20%,2)</f>
        <v>693.09</v>
      </c>
      <c r="O656" s="100">
        <f t="shared" ref="O656" si="499">M656+N656</f>
        <v>4158.55</v>
      </c>
      <c r="P656" s="75">
        <f t="shared" si="479"/>
        <v>69.31</v>
      </c>
      <c r="Q656" s="90">
        <v>202</v>
      </c>
      <c r="R656" s="79">
        <f>ROUND(P656*3/Q656,2)</f>
        <v>1.03</v>
      </c>
      <c r="S656" s="80">
        <f>ROUND(451.2/Q656,2)</f>
        <v>2.23</v>
      </c>
    </row>
    <row r="657" spans="1:19" x14ac:dyDescent="0.25">
      <c r="A657" s="232">
        <v>500</v>
      </c>
      <c r="B657" s="226" t="s">
        <v>844</v>
      </c>
      <c r="C657" s="27" t="s">
        <v>485</v>
      </c>
      <c r="D657" s="175">
        <f>1475.88+2427.87</f>
        <v>3903.75</v>
      </c>
      <c r="E657" s="195">
        <f>18.08+21</f>
        <v>39.08</v>
      </c>
      <c r="F657" s="195">
        <f>532.22+580.3</f>
        <v>1112.52</v>
      </c>
      <c r="G657" s="195">
        <f>117.09+127.67</f>
        <v>244.76</v>
      </c>
      <c r="H657" s="167">
        <f>175.99+195.01</f>
        <v>371</v>
      </c>
      <c r="I657" s="169">
        <f t="shared" si="484"/>
        <v>5671.11</v>
      </c>
      <c r="J657" s="190">
        <f>11.41+12.67</f>
        <v>24.08</v>
      </c>
      <c r="K657" s="169">
        <f t="shared" si="445"/>
        <v>5695.19</v>
      </c>
      <c r="L657" s="169">
        <f t="shared" si="463"/>
        <v>170.86</v>
      </c>
      <c r="M657" s="173">
        <f t="shared" si="446"/>
        <v>5866.0499999999993</v>
      </c>
      <c r="N657" s="169">
        <f t="shared" si="464"/>
        <v>1173.21</v>
      </c>
      <c r="O657" s="185">
        <f t="shared" si="447"/>
        <v>7039.2599999999993</v>
      </c>
      <c r="P657" s="169">
        <f t="shared" si="479"/>
        <v>117.32</v>
      </c>
      <c r="Q657" s="266">
        <f>36+71</f>
        <v>107</v>
      </c>
      <c r="R657" s="182">
        <f t="shared" ref="R657:R659" si="500">ROUND(P657*3/Q657,2)</f>
        <v>3.29</v>
      </c>
      <c r="S657" s="259">
        <f>ROUND((441.63+451.2)/Q657,2)</f>
        <v>8.34</v>
      </c>
    </row>
    <row r="658" spans="1:19" x14ac:dyDescent="0.25">
      <c r="A658" s="232"/>
      <c r="B658" s="228"/>
      <c r="C658" s="30" t="s">
        <v>474</v>
      </c>
      <c r="D658" s="177"/>
      <c r="E658" s="197"/>
      <c r="F658" s="197"/>
      <c r="G658" s="197"/>
      <c r="H658" s="168">
        <f>ROUND((E658+F658+G658)*11.7%,2)</f>
        <v>0</v>
      </c>
      <c r="I658" s="170"/>
      <c r="J658" s="199">
        <f t="shared" si="466"/>
        <v>0</v>
      </c>
      <c r="K658" s="170"/>
      <c r="L658" s="170">
        <f t="shared" si="463"/>
        <v>0</v>
      </c>
      <c r="M658" s="174"/>
      <c r="N658" s="170">
        <f t="shared" si="464"/>
        <v>0</v>
      </c>
      <c r="O658" s="186"/>
      <c r="P658" s="170"/>
      <c r="Q658" s="267"/>
      <c r="R658" s="183"/>
      <c r="S658" s="259"/>
    </row>
    <row r="659" spans="1:19" ht="15.75" x14ac:dyDescent="0.25">
      <c r="A659" s="87">
        <v>501</v>
      </c>
      <c r="B659" s="88" t="s">
        <v>486</v>
      </c>
      <c r="C659" s="43" t="s">
        <v>487</v>
      </c>
      <c r="D659" s="103">
        <v>2210.63</v>
      </c>
      <c r="E659" s="103">
        <v>18.079999999999998</v>
      </c>
      <c r="F659" s="103">
        <v>532.22</v>
      </c>
      <c r="G659" s="103">
        <v>117.09</v>
      </c>
      <c r="H659" s="11">
        <v>175.99</v>
      </c>
      <c r="I659" s="5">
        <f>E659+F659+G659+H659+D659</f>
        <v>3054.01</v>
      </c>
      <c r="J659" s="103">
        <v>11.41</v>
      </c>
      <c r="K659" s="5">
        <f>I659+J659</f>
        <v>3065.42</v>
      </c>
      <c r="L659" s="5">
        <f>ROUND(K659*3%,2)</f>
        <v>91.96</v>
      </c>
      <c r="M659" s="15">
        <f>K659+L659</f>
        <v>3157.38</v>
      </c>
      <c r="N659" s="15">
        <f>ROUND(M659*20%,2)</f>
        <v>631.48</v>
      </c>
      <c r="O659" s="100">
        <f>M659+N659</f>
        <v>3788.86</v>
      </c>
      <c r="P659" s="75">
        <f t="shared" ref="P659:P674" si="501">ROUND(O659/5/12,2)</f>
        <v>63.15</v>
      </c>
      <c r="Q659" s="90">
        <v>39</v>
      </c>
      <c r="R659" s="79">
        <f t="shared" si="500"/>
        <v>4.8600000000000003</v>
      </c>
      <c r="S659" s="80">
        <f t="shared" ref="S659" si="502">ROUND(441.63/Q659,2)</f>
        <v>11.32</v>
      </c>
    </row>
    <row r="660" spans="1:19" ht="15.75" x14ac:dyDescent="0.25">
      <c r="A660" s="87">
        <v>502</v>
      </c>
      <c r="B660" s="88" t="s">
        <v>488</v>
      </c>
      <c r="C660" s="43" t="s">
        <v>489</v>
      </c>
      <c r="D660" s="103">
        <v>1962.25</v>
      </c>
      <c r="E660" s="103">
        <v>18.079999999999998</v>
      </c>
      <c r="F660" s="103">
        <v>532.22</v>
      </c>
      <c r="G660" s="103">
        <v>117.09</v>
      </c>
      <c r="H660" s="11">
        <v>175.99</v>
      </c>
      <c r="I660" s="5">
        <f>E660+F660+G660+H660+D660</f>
        <v>2805.63</v>
      </c>
      <c r="J660" s="103">
        <v>11.41</v>
      </c>
      <c r="K660" s="5">
        <f t="shared" ref="K660:K661" si="503">I660+J660</f>
        <v>2817.04</v>
      </c>
      <c r="L660" s="5">
        <f t="shared" ref="L660:L661" si="504">ROUND(K660*3%,2)</f>
        <v>84.51</v>
      </c>
      <c r="M660" s="15">
        <f t="shared" ref="M660:M661" si="505">K660+L660</f>
        <v>2901.55</v>
      </c>
      <c r="N660" s="15">
        <f t="shared" ref="N660:N661" si="506">ROUND(M660*20%,2)</f>
        <v>580.30999999999995</v>
      </c>
      <c r="O660" s="100">
        <f t="shared" ref="O660:O661" si="507">M660+N660</f>
        <v>3481.86</v>
      </c>
      <c r="P660" s="75">
        <f t="shared" si="501"/>
        <v>58.03</v>
      </c>
      <c r="Q660" s="90">
        <v>40</v>
      </c>
      <c r="R660" s="79">
        <f>ROUND(P660*3/Q660,2)</f>
        <v>4.3499999999999996</v>
      </c>
      <c r="S660" s="80">
        <f>ROUND(441.63/Q660,2)</f>
        <v>11.04</v>
      </c>
    </row>
    <row r="661" spans="1:19" ht="15.75" x14ac:dyDescent="0.25">
      <c r="A661" s="87">
        <v>503</v>
      </c>
      <c r="B661" s="88" t="s">
        <v>490</v>
      </c>
      <c r="C661" s="43" t="s">
        <v>474</v>
      </c>
      <c r="D661" s="103">
        <v>2427.87</v>
      </c>
      <c r="E661" s="3">
        <v>21</v>
      </c>
      <c r="F661" s="3">
        <v>580.29999999999995</v>
      </c>
      <c r="G661" s="3">
        <v>127.67</v>
      </c>
      <c r="H661" s="11">
        <v>195.01</v>
      </c>
      <c r="I661" s="5">
        <f t="shared" ref="I661" si="508">E661+F661+G661+H661+D661</f>
        <v>3351.85</v>
      </c>
      <c r="J661" s="103">
        <v>12.67</v>
      </c>
      <c r="K661" s="5">
        <f t="shared" si="503"/>
        <v>3364.52</v>
      </c>
      <c r="L661" s="5">
        <f t="shared" si="504"/>
        <v>100.94</v>
      </c>
      <c r="M661" s="15">
        <f t="shared" si="505"/>
        <v>3465.46</v>
      </c>
      <c r="N661" s="15">
        <f t="shared" si="506"/>
        <v>693.09</v>
      </c>
      <c r="O661" s="100">
        <f t="shared" si="507"/>
        <v>4158.55</v>
      </c>
      <c r="P661" s="75">
        <f t="shared" si="501"/>
        <v>69.31</v>
      </c>
      <c r="Q661" s="90">
        <v>40</v>
      </c>
      <c r="R661" s="79">
        <f>ROUND(P661*3/Q661,2)</f>
        <v>5.2</v>
      </c>
      <c r="S661" s="80">
        <f>ROUND(451.2/Q661,2)</f>
        <v>11.28</v>
      </c>
    </row>
    <row r="662" spans="1:19" ht="15.75" x14ac:dyDescent="0.25">
      <c r="A662" s="87">
        <v>504</v>
      </c>
      <c r="B662" s="88" t="s">
        <v>491</v>
      </c>
      <c r="C662" s="43" t="s">
        <v>100</v>
      </c>
      <c r="D662" s="103">
        <v>2210.63</v>
      </c>
      <c r="E662" s="103">
        <v>18.079999999999998</v>
      </c>
      <c r="F662" s="103">
        <v>532.22</v>
      </c>
      <c r="G662" s="103">
        <v>117.09</v>
      </c>
      <c r="H662" s="11">
        <v>175.99</v>
      </c>
      <c r="I662" s="5">
        <f>E662+F662+G662+H662+D662</f>
        <v>3054.01</v>
      </c>
      <c r="J662" s="103">
        <v>11.41</v>
      </c>
      <c r="K662" s="5">
        <f>I662+J662</f>
        <v>3065.42</v>
      </c>
      <c r="L662" s="5">
        <f>ROUND(K662*3%,2)</f>
        <v>91.96</v>
      </c>
      <c r="M662" s="15">
        <f>K662+L662</f>
        <v>3157.38</v>
      </c>
      <c r="N662" s="15">
        <f>ROUND(M662*20%,2)</f>
        <v>631.48</v>
      </c>
      <c r="O662" s="100">
        <f>M662+N662</f>
        <v>3788.86</v>
      </c>
      <c r="P662" s="75">
        <f t="shared" si="501"/>
        <v>63.15</v>
      </c>
      <c r="Q662" s="90">
        <v>60</v>
      </c>
      <c r="R662" s="79">
        <f t="shared" ref="R662:R666" si="509">ROUND(P662*3/Q662,2)</f>
        <v>3.16</v>
      </c>
      <c r="S662" s="80">
        <f t="shared" ref="S662:S666" si="510">ROUND(441.63/Q662,2)</f>
        <v>7.36</v>
      </c>
    </row>
    <row r="663" spans="1:19" ht="15.75" x14ac:dyDescent="0.25">
      <c r="A663" s="87">
        <v>505</v>
      </c>
      <c r="B663" s="88" t="s">
        <v>492</v>
      </c>
      <c r="C663" s="43" t="s">
        <v>100</v>
      </c>
      <c r="D663" s="103">
        <v>2210.63</v>
      </c>
      <c r="E663" s="103">
        <v>18.079999999999998</v>
      </c>
      <c r="F663" s="103">
        <v>532.22</v>
      </c>
      <c r="G663" s="103">
        <v>117.09</v>
      </c>
      <c r="H663" s="11">
        <v>175.99</v>
      </c>
      <c r="I663" s="5">
        <f>E663+F663+G663+H663+D663</f>
        <v>3054.01</v>
      </c>
      <c r="J663" s="103">
        <v>11.41</v>
      </c>
      <c r="K663" s="5">
        <f>I663+J663</f>
        <v>3065.42</v>
      </c>
      <c r="L663" s="5">
        <f>ROUND(K663*3%,2)</f>
        <v>91.96</v>
      </c>
      <c r="M663" s="15">
        <f>K663+L663</f>
        <v>3157.38</v>
      </c>
      <c r="N663" s="15">
        <f>ROUND(M663*20%,2)</f>
        <v>631.48</v>
      </c>
      <c r="O663" s="100">
        <f>M663+N663</f>
        <v>3788.86</v>
      </c>
      <c r="P663" s="75">
        <f t="shared" si="501"/>
        <v>63.15</v>
      </c>
      <c r="Q663" s="90">
        <v>80</v>
      </c>
      <c r="R663" s="79">
        <f t="shared" si="509"/>
        <v>2.37</v>
      </c>
      <c r="S663" s="80">
        <f t="shared" si="510"/>
        <v>5.52</v>
      </c>
    </row>
    <row r="664" spans="1:19" ht="15.75" x14ac:dyDescent="0.25">
      <c r="A664" s="87">
        <v>506</v>
      </c>
      <c r="B664" s="88" t="s">
        <v>493</v>
      </c>
      <c r="C664" s="43" t="s">
        <v>100</v>
      </c>
      <c r="D664" s="103">
        <v>2210.63</v>
      </c>
      <c r="E664" s="103">
        <v>18.079999999999998</v>
      </c>
      <c r="F664" s="103">
        <v>532.22</v>
      </c>
      <c r="G664" s="103">
        <v>117.09</v>
      </c>
      <c r="H664" s="11">
        <v>175.99</v>
      </c>
      <c r="I664" s="5">
        <f>E664+F664+G664+H664+D664</f>
        <v>3054.01</v>
      </c>
      <c r="J664" s="103">
        <v>11.41</v>
      </c>
      <c r="K664" s="5">
        <f>I664+J664</f>
        <v>3065.42</v>
      </c>
      <c r="L664" s="5">
        <f>ROUND(K664*3%,2)</f>
        <v>91.96</v>
      </c>
      <c r="M664" s="15">
        <f>K664+L664</f>
        <v>3157.38</v>
      </c>
      <c r="N664" s="15">
        <f>ROUND(M664*20%,2)</f>
        <v>631.48</v>
      </c>
      <c r="O664" s="100">
        <f>M664+N664</f>
        <v>3788.86</v>
      </c>
      <c r="P664" s="75">
        <f t="shared" si="501"/>
        <v>63.15</v>
      </c>
      <c r="Q664" s="90">
        <v>35</v>
      </c>
      <c r="R664" s="79">
        <f t="shared" si="509"/>
        <v>5.41</v>
      </c>
      <c r="S664" s="80">
        <f t="shared" si="510"/>
        <v>12.62</v>
      </c>
    </row>
    <row r="665" spans="1:19" ht="15.75" x14ac:dyDescent="0.25">
      <c r="A665" s="87">
        <v>507</v>
      </c>
      <c r="B665" s="88" t="s">
        <v>494</v>
      </c>
      <c r="C665" s="43" t="s">
        <v>495</v>
      </c>
      <c r="D665" s="103">
        <v>2210.63</v>
      </c>
      <c r="E665" s="103">
        <v>18.079999999999998</v>
      </c>
      <c r="F665" s="103">
        <v>532.22</v>
      </c>
      <c r="G665" s="103">
        <v>117.09</v>
      </c>
      <c r="H665" s="11">
        <v>175.99</v>
      </c>
      <c r="I665" s="5">
        <f>E665+F665+G665+H665+D665</f>
        <v>3054.01</v>
      </c>
      <c r="J665" s="103">
        <v>11.41</v>
      </c>
      <c r="K665" s="5">
        <f>I665+J665</f>
        <v>3065.42</v>
      </c>
      <c r="L665" s="5">
        <f>ROUND(K665*3%,2)</f>
        <v>91.96</v>
      </c>
      <c r="M665" s="15">
        <f>K665+L665</f>
        <v>3157.38</v>
      </c>
      <c r="N665" s="15">
        <f>ROUND(M665*20%,2)</f>
        <v>631.48</v>
      </c>
      <c r="O665" s="100">
        <f>M665+N665</f>
        <v>3788.86</v>
      </c>
      <c r="P665" s="75">
        <f t="shared" si="501"/>
        <v>63.15</v>
      </c>
      <c r="Q665" s="90">
        <v>108</v>
      </c>
      <c r="R665" s="79">
        <f t="shared" si="509"/>
        <v>1.75</v>
      </c>
      <c r="S665" s="80">
        <f t="shared" si="510"/>
        <v>4.09</v>
      </c>
    </row>
    <row r="666" spans="1:19" ht="15.75" x14ac:dyDescent="0.25">
      <c r="A666" s="87">
        <v>508</v>
      </c>
      <c r="B666" s="88" t="s">
        <v>496</v>
      </c>
      <c r="C666" s="43" t="s">
        <v>419</v>
      </c>
      <c r="D666" s="103">
        <v>2210.63</v>
      </c>
      <c r="E666" s="103">
        <v>18.079999999999998</v>
      </c>
      <c r="F666" s="103">
        <v>532.22</v>
      </c>
      <c r="G666" s="103">
        <v>117.09</v>
      </c>
      <c r="H666" s="11">
        <v>175.99</v>
      </c>
      <c r="I666" s="5">
        <f>E666+F666+G666+H666+D666</f>
        <v>3054.01</v>
      </c>
      <c r="J666" s="103">
        <v>11.41</v>
      </c>
      <c r="K666" s="5">
        <f>I666+J666</f>
        <v>3065.42</v>
      </c>
      <c r="L666" s="5">
        <f>ROUND(K666*3%,2)</f>
        <v>91.96</v>
      </c>
      <c r="M666" s="15">
        <f>K666+L666</f>
        <v>3157.38</v>
      </c>
      <c r="N666" s="15">
        <f>ROUND(M666*20%,2)</f>
        <v>631.48</v>
      </c>
      <c r="O666" s="100">
        <f>M666+N666</f>
        <v>3788.86</v>
      </c>
      <c r="P666" s="75">
        <f t="shared" si="501"/>
        <v>63.15</v>
      </c>
      <c r="Q666" s="90">
        <v>59</v>
      </c>
      <c r="R666" s="79">
        <f t="shared" si="509"/>
        <v>3.21</v>
      </c>
      <c r="S666" s="80">
        <f t="shared" si="510"/>
        <v>7.49</v>
      </c>
    </row>
    <row r="667" spans="1:19" ht="15.75" x14ac:dyDescent="0.25">
      <c r="A667" s="87">
        <v>509</v>
      </c>
      <c r="B667" s="88" t="s">
        <v>497</v>
      </c>
      <c r="C667" s="43" t="s">
        <v>474</v>
      </c>
      <c r="D667" s="103">
        <v>2427.87</v>
      </c>
      <c r="E667" s="3">
        <v>21</v>
      </c>
      <c r="F667" s="3">
        <v>580.29999999999995</v>
      </c>
      <c r="G667" s="3">
        <v>127.67</v>
      </c>
      <c r="H667" s="11">
        <v>195.01</v>
      </c>
      <c r="I667" s="5">
        <f t="shared" ref="I667:I669" si="511">E667+F667+G667+H667+D667</f>
        <v>3351.85</v>
      </c>
      <c r="J667" s="103">
        <v>12.67</v>
      </c>
      <c r="K667" s="5">
        <f t="shared" ref="K667:K669" si="512">I667+J667</f>
        <v>3364.52</v>
      </c>
      <c r="L667" s="5">
        <f t="shared" ref="L667:L669" si="513">ROUND(K667*3%,2)</f>
        <v>100.94</v>
      </c>
      <c r="M667" s="15">
        <f t="shared" ref="M667:M669" si="514">K667+L667</f>
        <v>3465.46</v>
      </c>
      <c r="N667" s="15">
        <f t="shared" ref="N667:N669" si="515">ROUND(M667*20%,2)</f>
        <v>693.09</v>
      </c>
      <c r="O667" s="100">
        <f t="shared" ref="O667:O669" si="516">M667+N667</f>
        <v>4158.55</v>
      </c>
      <c r="P667" s="75">
        <f t="shared" si="501"/>
        <v>69.31</v>
      </c>
      <c r="Q667" s="90">
        <v>50</v>
      </c>
      <c r="R667" s="79">
        <f>ROUND(P667*3/Q667,2)</f>
        <v>4.16</v>
      </c>
      <c r="S667" s="80">
        <f>ROUND(451.2/Q667,2)</f>
        <v>9.02</v>
      </c>
    </row>
    <row r="668" spans="1:19" ht="15.75" x14ac:dyDescent="0.25">
      <c r="A668" s="87">
        <v>510</v>
      </c>
      <c r="B668" s="88" t="s">
        <v>498</v>
      </c>
      <c r="C668" s="43" t="s">
        <v>499</v>
      </c>
      <c r="D668" s="103">
        <v>2427.87</v>
      </c>
      <c r="E668" s="3">
        <v>21</v>
      </c>
      <c r="F668" s="3">
        <v>580.29999999999995</v>
      </c>
      <c r="G668" s="3">
        <v>127.67</v>
      </c>
      <c r="H668" s="11">
        <v>195.01</v>
      </c>
      <c r="I668" s="5">
        <f t="shared" si="511"/>
        <v>3351.85</v>
      </c>
      <c r="J668" s="103">
        <v>12.67</v>
      </c>
      <c r="K668" s="5">
        <f t="shared" si="512"/>
        <v>3364.52</v>
      </c>
      <c r="L668" s="5">
        <f t="shared" si="513"/>
        <v>100.94</v>
      </c>
      <c r="M668" s="15">
        <f t="shared" si="514"/>
        <v>3465.46</v>
      </c>
      <c r="N668" s="15">
        <f t="shared" si="515"/>
        <v>693.09</v>
      </c>
      <c r="O668" s="100">
        <f t="shared" si="516"/>
        <v>4158.55</v>
      </c>
      <c r="P668" s="75">
        <f t="shared" si="501"/>
        <v>69.31</v>
      </c>
      <c r="Q668" s="90">
        <v>50</v>
      </c>
      <c r="R668" s="79">
        <f>ROUND(P668*3/Q668,2)</f>
        <v>4.16</v>
      </c>
      <c r="S668" s="80">
        <f>ROUND(451.2/Q668,2)</f>
        <v>9.02</v>
      </c>
    </row>
    <row r="669" spans="1:19" ht="15.75" x14ac:dyDescent="0.25">
      <c r="A669" s="87">
        <v>511</v>
      </c>
      <c r="B669" s="88" t="s">
        <v>500</v>
      </c>
      <c r="C669" s="43" t="s">
        <v>499</v>
      </c>
      <c r="D669" s="103">
        <v>2427.87</v>
      </c>
      <c r="E669" s="3">
        <v>21</v>
      </c>
      <c r="F669" s="3">
        <v>580.29999999999995</v>
      </c>
      <c r="G669" s="3">
        <v>127.67</v>
      </c>
      <c r="H669" s="11">
        <v>195.01</v>
      </c>
      <c r="I669" s="5">
        <f t="shared" si="511"/>
        <v>3351.85</v>
      </c>
      <c r="J669" s="103">
        <v>12.67</v>
      </c>
      <c r="K669" s="5">
        <f t="shared" si="512"/>
        <v>3364.52</v>
      </c>
      <c r="L669" s="5">
        <f t="shared" si="513"/>
        <v>100.94</v>
      </c>
      <c r="M669" s="15">
        <f t="shared" si="514"/>
        <v>3465.46</v>
      </c>
      <c r="N669" s="15">
        <f t="shared" si="515"/>
        <v>693.09</v>
      </c>
      <c r="O669" s="100">
        <f t="shared" si="516"/>
        <v>4158.55</v>
      </c>
      <c r="P669" s="75">
        <f t="shared" si="501"/>
        <v>69.31</v>
      </c>
      <c r="Q669" s="90">
        <v>45</v>
      </c>
      <c r="R669" s="79">
        <f>ROUND(P669*3/Q669,2)</f>
        <v>4.62</v>
      </c>
      <c r="S669" s="80">
        <f>ROUND(451.2/Q669,2)</f>
        <v>10.029999999999999</v>
      </c>
    </row>
    <row r="670" spans="1:19" ht="15.75" x14ac:dyDescent="0.25">
      <c r="A670" s="87">
        <v>512</v>
      </c>
      <c r="B670" s="88" t="s">
        <v>501</v>
      </c>
      <c r="C670" s="43" t="s">
        <v>502</v>
      </c>
      <c r="D670" s="103">
        <v>2210.63</v>
      </c>
      <c r="E670" s="103">
        <v>18.079999999999998</v>
      </c>
      <c r="F670" s="103">
        <v>532.22</v>
      </c>
      <c r="G670" s="103">
        <v>117.09</v>
      </c>
      <c r="H670" s="11">
        <v>175.99</v>
      </c>
      <c r="I670" s="5">
        <f>E670+F670+G670+H670+D670</f>
        <v>3054.01</v>
      </c>
      <c r="J670" s="103">
        <v>11.41</v>
      </c>
      <c r="K670" s="5">
        <f>I670+J670</f>
        <v>3065.42</v>
      </c>
      <c r="L670" s="5">
        <f>ROUND(K670*3%,2)</f>
        <v>91.96</v>
      </c>
      <c r="M670" s="15">
        <f>K670+L670</f>
        <v>3157.38</v>
      </c>
      <c r="N670" s="15">
        <f>ROUND(M670*20%,2)</f>
        <v>631.48</v>
      </c>
      <c r="O670" s="100">
        <f>M670+N670</f>
        <v>3788.86</v>
      </c>
      <c r="P670" s="75">
        <f t="shared" si="501"/>
        <v>63.15</v>
      </c>
      <c r="Q670" s="90">
        <v>60</v>
      </c>
      <c r="R670" s="79">
        <f t="shared" ref="R670:R671" si="517">ROUND(P670*3/Q670,2)</f>
        <v>3.16</v>
      </c>
      <c r="S670" s="80">
        <f t="shared" ref="S670:S671" si="518">ROUND(441.63/Q670,2)</f>
        <v>7.36</v>
      </c>
    </row>
    <row r="671" spans="1:19" ht="15.75" x14ac:dyDescent="0.25">
      <c r="A671" s="87">
        <v>513</v>
      </c>
      <c r="B671" s="88" t="s">
        <v>503</v>
      </c>
      <c r="C671" s="43" t="s">
        <v>419</v>
      </c>
      <c r="D671" s="103">
        <v>2210.63</v>
      </c>
      <c r="E671" s="103">
        <v>18.079999999999998</v>
      </c>
      <c r="F671" s="103">
        <v>532.22</v>
      </c>
      <c r="G671" s="103">
        <v>117.09</v>
      </c>
      <c r="H671" s="11">
        <v>175.99</v>
      </c>
      <c r="I671" s="5">
        <f>E671+F671+G671+H671+D671</f>
        <v>3054.01</v>
      </c>
      <c r="J671" s="103">
        <v>11.41</v>
      </c>
      <c r="K671" s="5">
        <f>I671+J671</f>
        <v>3065.42</v>
      </c>
      <c r="L671" s="5">
        <f>ROUND(K671*3%,2)</f>
        <v>91.96</v>
      </c>
      <c r="M671" s="15">
        <f>K671+L671</f>
        <v>3157.38</v>
      </c>
      <c r="N671" s="15">
        <f>ROUND(M671*20%,2)</f>
        <v>631.48</v>
      </c>
      <c r="O671" s="100">
        <f>M671+N671</f>
        <v>3788.86</v>
      </c>
      <c r="P671" s="75">
        <f t="shared" si="501"/>
        <v>63.15</v>
      </c>
      <c r="Q671" s="90">
        <v>57</v>
      </c>
      <c r="R671" s="79">
        <f t="shared" si="517"/>
        <v>3.32</v>
      </c>
      <c r="S671" s="80">
        <f t="shared" si="518"/>
        <v>7.75</v>
      </c>
    </row>
    <row r="672" spans="1:19" ht="15.75" x14ac:dyDescent="0.25">
      <c r="A672" s="87">
        <v>514</v>
      </c>
      <c r="B672" s="88" t="s">
        <v>504</v>
      </c>
      <c r="C672" s="43" t="s">
        <v>474</v>
      </c>
      <c r="D672" s="103">
        <v>2427.87</v>
      </c>
      <c r="E672" s="3">
        <v>21</v>
      </c>
      <c r="F672" s="3">
        <v>580.29999999999995</v>
      </c>
      <c r="G672" s="3">
        <v>127.67</v>
      </c>
      <c r="H672" s="11">
        <v>195.01</v>
      </c>
      <c r="I672" s="5">
        <f t="shared" ref="I672" si="519">E672+F672+G672+H672+D672</f>
        <v>3351.85</v>
      </c>
      <c r="J672" s="103">
        <v>12.67</v>
      </c>
      <c r="K672" s="5">
        <f t="shared" ref="K672" si="520">I672+J672</f>
        <v>3364.52</v>
      </c>
      <c r="L672" s="5">
        <f t="shared" ref="L672" si="521">ROUND(K672*3%,2)</f>
        <v>100.94</v>
      </c>
      <c r="M672" s="15">
        <f t="shared" ref="M672" si="522">K672+L672</f>
        <v>3465.46</v>
      </c>
      <c r="N672" s="15">
        <f t="shared" ref="N672" si="523">ROUND(M672*20%,2)</f>
        <v>693.09</v>
      </c>
      <c r="O672" s="100">
        <f t="shared" ref="O672" si="524">M672+N672</f>
        <v>4158.55</v>
      </c>
      <c r="P672" s="75">
        <f t="shared" si="501"/>
        <v>69.31</v>
      </c>
      <c r="Q672" s="90">
        <v>80</v>
      </c>
      <c r="R672" s="79">
        <f>ROUND(P672*3/Q672,2)</f>
        <v>2.6</v>
      </c>
      <c r="S672" s="80">
        <f>ROUND(451.2/Q672,2)</f>
        <v>5.64</v>
      </c>
    </row>
    <row r="673" spans="1:19" ht="15.75" x14ac:dyDescent="0.25">
      <c r="A673" s="87">
        <v>515</v>
      </c>
      <c r="B673" s="88" t="s">
        <v>505</v>
      </c>
      <c r="C673" s="43" t="s">
        <v>419</v>
      </c>
      <c r="D673" s="103">
        <v>2210.63</v>
      </c>
      <c r="E673" s="103">
        <v>18.079999999999998</v>
      </c>
      <c r="F673" s="103">
        <v>532.22</v>
      </c>
      <c r="G673" s="103">
        <v>117.09</v>
      </c>
      <c r="H673" s="11">
        <v>175.99</v>
      </c>
      <c r="I673" s="5">
        <f>E673+F673+G673+H673+D673</f>
        <v>3054.01</v>
      </c>
      <c r="J673" s="103">
        <v>11.41</v>
      </c>
      <c r="K673" s="5">
        <f>I673+J673</f>
        <v>3065.42</v>
      </c>
      <c r="L673" s="5">
        <f>ROUND(K673*3%,2)</f>
        <v>91.96</v>
      </c>
      <c r="M673" s="15">
        <f>K673+L673</f>
        <v>3157.38</v>
      </c>
      <c r="N673" s="15">
        <f>ROUND(M673*20%,2)</f>
        <v>631.48</v>
      </c>
      <c r="O673" s="100">
        <f>M673+N673</f>
        <v>3788.86</v>
      </c>
      <c r="P673" s="75">
        <f t="shared" si="501"/>
        <v>63.15</v>
      </c>
      <c r="Q673" s="90">
        <v>60</v>
      </c>
      <c r="R673" s="79">
        <f t="shared" ref="R673:R674" si="525">ROUND(P673*3/Q673,2)</f>
        <v>3.16</v>
      </c>
      <c r="S673" s="80">
        <f t="shared" ref="S673:S674" si="526">ROUND(441.63/Q673,2)</f>
        <v>7.36</v>
      </c>
    </row>
    <row r="674" spans="1:19" ht="15.75" x14ac:dyDescent="0.25">
      <c r="A674" s="87">
        <v>516</v>
      </c>
      <c r="B674" s="88" t="s">
        <v>506</v>
      </c>
      <c r="C674" s="43" t="s">
        <v>419</v>
      </c>
      <c r="D674" s="103">
        <v>2210.63</v>
      </c>
      <c r="E674" s="103">
        <v>18.079999999999998</v>
      </c>
      <c r="F674" s="103">
        <v>532.22</v>
      </c>
      <c r="G674" s="103">
        <v>117.09</v>
      </c>
      <c r="H674" s="11">
        <v>175.99</v>
      </c>
      <c r="I674" s="5">
        <f>E674+F674+G674+H674+D674</f>
        <v>3054.01</v>
      </c>
      <c r="J674" s="103">
        <v>11.41</v>
      </c>
      <c r="K674" s="5">
        <f>I674+J674</f>
        <v>3065.42</v>
      </c>
      <c r="L674" s="5">
        <f>ROUND(K674*3%,2)</f>
        <v>91.96</v>
      </c>
      <c r="M674" s="15">
        <f>K674+L674</f>
        <v>3157.38</v>
      </c>
      <c r="N674" s="15">
        <f>ROUND(M674*20%,2)</f>
        <v>631.48</v>
      </c>
      <c r="O674" s="100">
        <f>M674+N674</f>
        <v>3788.86</v>
      </c>
      <c r="P674" s="75">
        <f t="shared" si="501"/>
        <v>63.15</v>
      </c>
      <c r="Q674" s="90">
        <v>60</v>
      </c>
      <c r="R674" s="79">
        <f t="shared" si="525"/>
        <v>3.16</v>
      </c>
      <c r="S674" s="80">
        <f t="shared" si="526"/>
        <v>7.36</v>
      </c>
    </row>
    <row r="675" spans="1:19" ht="15.75" x14ac:dyDescent="0.25">
      <c r="A675" s="87">
        <v>517</v>
      </c>
      <c r="B675" s="88" t="s">
        <v>845</v>
      </c>
      <c r="C675" s="43" t="s">
        <v>447</v>
      </c>
      <c r="D675" s="10">
        <f>2210.63*2</f>
        <v>4421.26</v>
      </c>
      <c r="E675" s="2">
        <f>18.08*2</f>
        <v>36.159999999999997</v>
      </c>
      <c r="F675" s="2">
        <f>532.22*2</f>
        <v>1064.44</v>
      </c>
      <c r="G675" s="103">
        <f>117.09*2</f>
        <v>234.18</v>
      </c>
      <c r="H675" s="11">
        <f>175.99*2</f>
        <v>351.98</v>
      </c>
      <c r="I675" s="5">
        <f t="shared" ref="I675:I681" si="527">E675+F675+G675+H675+D675</f>
        <v>6108.02</v>
      </c>
      <c r="J675" s="103">
        <f>11.41*2</f>
        <v>22.82</v>
      </c>
      <c r="K675" s="5">
        <f t="shared" ref="K675:K702" si="528">I675+J675</f>
        <v>6130.84</v>
      </c>
      <c r="L675" s="5">
        <f t="shared" ref="L675" si="529">ROUND(K675*3%,2)</f>
        <v>183.93</v>
      </c>
      <c r="M675" s="5">
        <f t="shared" ref="M675:M702" si="530">K675+L675</f>
        <v>6314.77</v>
      </c>
      <c r="N675" s="5">
        <f t="shared" ref="N675" si="531">ROUND(M675*20%,2)</f>
        <v>1262.95</v>
      </c>
      <c r="O675" s="54">
        <f t="shared" ref="O675:O702" si="532">M675+N675</f>
        <v>7577.72</v>
      </c>
      <c r="P675" s="5">
        <f>ROUND(O675/5/12,2)</f>
        <v>126.3</v>
      </c>
      <c r="Q675" s="90">
        <v>132</v>
      </c>
      <c r="R675" s="79">
        <f>ROUND(P675*3/Q675,2)</f>
        <v>2.87</v>
      </c>
      <c r="S675" s="80">
        <f>ROUND(441.63*2/136,2)</f>
        <v>6.49</v>
      </c>
    </row>
    <row r="676" spans="1:19" ht="15.75" x14ac:dyDescent="0.25">
      <c r="A676" s="87">
        <v>518</v>
      </c>
      <c r="B676" s="88" t="s">
        <v>507</v>
      </c>
      <c r="C676" s="43" t="s">
        <v>474</v>
      </c>
      <c r="D676" s="103">
        <v>2427.87</v>
      </c>
      <c r="E676" s="3">
        <v>21</v>
      </c>
      <c r="F676" s="3">
        <v>580.29999999999995</v>
      </c>
      <c r="G676" s="3">
        <v>127.67</v>
      </c>
      <c r="H676" s="11">
        <v>195.01</v>
      </c>
      <c r="I676" s="5">
        <f t="shared" si="527"/>
        <v>3351.85</v>
      </c>
      <c r="J676" s="103">
        <v>12.67</v>
      </c>
      <c r="K676" s="5">
        <f t="shared" si="528"/>
        <v>3364.52</v>
      </c>
      <c r="L676" s="5">
        <f t="shared" si="463"/>
        <v>100.94</v>
      </c>
      <c r="M676" s="15">
        <f t="shared" si="530"/>
        <v>3465.46</v>
      </c>
      <c r="N676" s="15">
        <f t="shared" si="464"/>
        <v>693.09</v>
      </c>
      <c r="O676" s="100">
        <f t="shared" si="532"/>
        <v>4158.55</v>
      </c>
      <c r="P676" s="75">
        <f t="shared" ref="P676:P681" si="533">ROUND(O676/5/12,2)</f>
        <v>69.31</v>
      </c>
      <c r="Q676" s="90">
        <v>71</v>
      </c>
      <c r="R676" s="79">
        <f>ROUND(P676*3/Q676,2)</f>
        <v>2.93</v>
      </c>
      <c r="S676" s="80">
        <f>ROUND(451.2/Q676,2)</f>
        <v>6.35</v>
      </c>
    </row>
    <row r="677" spans="1:19" ht="15.75" x14ac:dyDescent="0.25">
      <c r="A677" s="87">
        <v>519</v>
      </c>
      <c r="B677" s="88" t="s">
        <v>508</v>
      </c>
      <c r="C677" s="43" t="s">
        <v>487</v>
      </c>
      <c r="D677" s="103">
        <v>2210.63</v>
      </c>
      <c r="E677" s="103">
        <v>18.079999999999998</v>
      </c>
      <c r="F677" s="103">
        <v>532.22</v>
      </c>
      <c r="G677" s="103">
        <v>117.09</v>
      </c>
      <c r="H677" s="11">
        <v>175.99</v>
      </c>
      <c r="I677" s="5">
        <f>E677+F677+G677+H677+D677</f>
        <v>3054.01</v>
      </c>
      <c r="J677" s="103">
        <v>11.41</v>
      </c>
      <c r="K677" s="5">
        <f>I677+J677</f>
        <v>3065.42</v>
      </c>
      <c r="L677" s="5">
        <f>ROUND(K677*3%,2)</f>
        <v>91.96</v>
      </c>
      <c r="M677" s="15">
        <f>K677+L677</f>
        <v>3157.38</v>
      </c>
      <c r="N677" s="15">
        <f>ROUND(M677*20%,2)</f>
        <v>631.48</v>
      </c>
      <c r="O677" s="100">
        <f>M677+N677</f>
        <v>3788.86</v>
      </c>
      <c r="P677" s="75">
        <f t="shared" si="533"/>
        <v>63.15</v>
      </c>
      <c r="Q677" s="90">
        <v>52</v>
      </c>
      <c r="R677" s="79">
        <f t="shared" ref="R677" si="534">ROUND(P677*3/Q677,2)</f>
        <v>3.64</v>
      </c>
      <c r="S677" s="80">
        <f t="shared" ref="S677" si="535">ROUND(441.63/Q677,2)</f>
        <v>8.49</v>
      </c>
    </row>
    <row r="678" spans="1:19" ht="15.75" x14ac:dyDescent="0.25">
      <c r="A678" s="87">
        <v>520</v>
      </c>
      <c r="B678" s="88" t="s">
        <v>509</v>
      </c>
      <c r="C678" s="43" t="s">
        <v>474</v>
      </c>
      <c r="D678" s="103">
        <v>2427.87</v>
      </c>
      <c r="E678" s="3">
        <v>21</v>
      </c>
      <c r="F678" s="3">
        <v>580.29999999999995</v>
      </c>
      <c r="G678" s="3">
        <v>127.67</v>
      </c>
      <c r="H678" s="11">
        <v>195.01</v>
      </c>
      <c r="I678" s="5">
        <f t="shared" ref="I678:I679" si="536">E678+F678+G678+H678+D678</f>
        <v>3351.85</v>
      </c>
      <c r="J678" s="103">
        <v>12.67</v>
      </c>
      <c r="K678" s="5">
        <f t="shared" ref="K678:K679" si="537">I678+J678</f>
        <v>3364.52</v>
      </c>
      <c r="L678" s="5">
        <f t="shared" ref="L678:L679" si="538">ROUND(K678*3%,2)</f>
        <v>100.94</v>
      </c>
      <c r="M678" s="15">
        <f t="shared" ref="M678:M679" si="539">K678+L678</f>
        <v>3465.46</v>
      </c>
      <c r="N678" s="15">
        <f t="shared" ref="N678:N679" si="540">ROUND(M678*20%,2)</f>
        <v>693.09</v>
      </c>
      <c r="O678" s="100">
        <f t="shared" ref="O678:O679" si="541">M678+N678</f>
        <v>4158.55</v>
      </c>
      <c r="P678" s="75">
        <f t="shared" si="533"/>
        <v>69.31</v>
      </c>
      <c r="Q678" s="90">
        <v>102</v>
      </c>
      <c r="R678" s="79">
        <f>ROUND(P678*3/Q678,2)</f>
        <v>2.04</v>
      </c>
      <c r="S678" s="80">
        <f>ROUND(451.2/Q678,2)</f>
        <v>4.42</v>
      </c>
    </row>
    <row r="679" spans="1:19" ht="15.75" x14ac:dyDescent="0.25">
      <c r="A679" s="87">
        <v>521</v>
      </c>
      <c r="B679" s="88" t="s">
        <v>510</v>
      </c>
      <c r="C679" s="43" t="s">
        <v>474</v>
      </c>
      <c r="D679" s="103">
        <v>2427.87</v>
      </c>
      <c r="E679" s="3">
        <v>21</v>
      </c>
      <c r="F679" s="3">
        <v>580.29999999999995</v>
      </c>
      <c r="G679" s="3">
        <v>127.67</v>
      </c>
      <c r="H679" s="11">
        <v>195.01</v>
      </c>
      <c r="I679" s="5">
        <f t="shared" si="536"/>
        <v>3351.85</v>
      </c>
      <c r="J679" s="103">
        <v>12.67</v>
      </c>
      <c r="K679" s="5">
        <f t="shared" si="537"/>
        <v>3364.52</v>
      </c>
      <c r="L679" s="5">
        <f t="shared" si="538"/>
        <v>100.94</v>
      </c>
      <c r="M679" s="15">
        <f t="shared" si="539"/>
        <v>3465.46</v>
      </c>
      <c r="N679" s="15">
        <f t="shared" si="540"/>
        <v>693.09</v>
      </c>
      <c r="O679" s="100">
        <f t="shared" si="541"/>
        <v>4158.55</v>
      </c>
      <c r="P679" s="75">
        <f t="shared" si="533"/>
        <v>69.31</v>
      </c>
      <c r="Q679" s="90">
        <v>91</v>
      </c>
      <c r="R679" s="79">
        <f>ROUND(P679*3/Q679,2)</f>
        <v>2.2799999999999998</v>
      </c>
      <c r="S679" s="80">
        <f>ROUND(451.2/Q679,2)</f>
        <v>4.96</v>
      </c>
    </row>
    <row r="680" spans="1:19" ht="15.75" x14ac:dyDescent="0.25">
      <c r="A680" s="87">
        <v>522</v>
      </c>
      <c r="B680" s="88" t="s">
        <v>511</v>
      </c>
      <c r="C680" s="43" t="s">
        <v>100</v>
      </c>
      <c r="D680" s="103">
        <v>2210.63</v>
      </c>
      <c r="E680" s="103">
        <v>18.079999999999998</v>
      </c>
      <c r="F680" s="103">
        <v>532.22</v>
      </c>
      <c r="G680" s="103">
        <v>117.09</v>
      </c>
      <c r="H680" s="11">
        <v>175.99</v>
      </c>
      <c r="I680" s="5">
        <f>E680+F680+G680+H680+D680</f>
        <v>3054.01</v>
      </c>
      <c r="J680" s="103">
        <v>11.41</v>
      </c>
      <c r="K680" s="5">
        <f>I680+J680</f>
        <v>3065.42</v>
      </c>
      <c r="L680" s="5">
        <f>ROUND(K680*3%,2)</f>
        <v>91.96</v>
      </c>
      <c r="M680" s="15">
        <f>K680+L680</f>
        <v>3157.38</v>
      </c>
      <c r="N680" s="15">
        <f>ROUND(M680*20%,2)</f>
        <v>631.48</v>
      </c>
      <c r="O680" s="100">
        <f>M680+N680</f>
        <v>3788.86</v>
      </c>
      <c r="P680" s="75">
        <f t="shared" si="533"/>
        <v>63.15</v>
      </c>
      <c r="Q680" s="90">
        <v>70</v>
      </c>
      <c r="R680" s="79">
        <f t="shared" ref="R680:R681" si="542">ROUND(P680*3/Q680,2)</f>
        <v>2.71</v>
      </c>
      <c r="S680" s="80">
        <f t="shared" ref="S680" si="543">ROUND(441.63/Q680,2)</f>
        <v>6.31</v>
      </c>
    </row>
    <row r="681" spans="1:19" ht="15.75" customHeight="1" x14ac:dyDescent="0.25">
      <c r="A681" s="232">
        <v>523</v>
      </c>
      <c r="B681" s="226" t="s">
        <v>846</v>
      </c>
      <c r="C681" s="27" t="s">
        <v>49</v>
      </c>
      <c r="D681" s="175">
        <f>1962.25+2639</f>
        <v>4601.25</v>
      </c>
      <c r="E681" s="195">
        <f>18.08+21</f>
        <v>39.08</v>
      </c>
      <c r="F681" s="195">
        <f>532.22+580.3</f>
        <v>1112.52</v>
      </c>
      <c r="G681" s="222">
        <f>117.09+127.67</f>
        <v>244.76</v>
      </c>
      <c r="H681" s="167">
        <f>175.99+195.01</f>
        <v>371</v>
      </c>
      <c r="I681" s="169">
        <f t="shared" si="527"/>
        <v>6368.61</v>
      </c>
      <c r="J681" s="190">
        <f>11.41+12.67</f>
        <v>24.08</v>
      </c>
      <c r="K681" s="169">
        <f t="shared" si="528"/>
        <v>6392.69</v>
      </c>
      <c r="L681" s="169">
        <f t="shared" si="463"/>
        <v>191.78</v>
      </c>
      <c r="M681" s="173">
        <f t="shared" si="530"/>
        <v>6584.4699999999993</v>
      </c>
      <c r="N681" s="169">
        <f t="shared" si="464"/>
        <v>1316.89</v>
      </c>
      <c r="O681" s="185">
        <f t="shared" si="532"/>
        <v>7901.36</v>
      </c>
      <c r="P681" s="169">
        <f t="shared" si="533"/>
        <v>131.69</v>
      </c>
      <c r="Q681" s="266">
        <v>192</v>
      </c>
      <c r="R681" s="182">
        <f t="shared" si="542"/>
        <v>2.06</v>
      </c>
      <c r="S681" s="259">
        <f>ROUND((441.63+452.88)/Q681,2)</f>
        <v>4.66</v>
      </c>
    </row>
    <row r="682" spans="1:19" ht="15.75" customHeight="1" x14ac:dyDescent="0.25">
      <c r="A682" s="232"/>
      <c r="B682" s="228"/>
      <c r="C682" s="30" t="s">
        <v>416</v>
      </c>
      <c r="D682" s="177"/>
      <c r="E682" s="197"/>
      <c r="F682" s="197"/>
      <c r="G682" s="230"/>
      <c r="H682" s="168">
        <f>(E682+F682+G682)*11.7%</f>
        <v>0</v>
      </c>
      <c r="I682" s="170"/>
      <c r="J682" s="199">
        <f t="shared" si="466"/>
        <v>0</v>
      </c>
      <c r="K682" s="170"/>
      <c r="L682" s="170">
        <f t="shared" si="463"/>
        <v>0</v>
      </c>
      <c r="M682" s="174"/>
      <c r="N682" s="170">
        <f t="shared" si="464"/>
        <v>0</v>
      </c>
      <c r="O682" s="186"/>
      <c r="P682" s="170"/>
      <c r="Q682" s="267"/>
      <c r="R682" s="183"/>
      <c r="S682" s="259"/>
    </row>
    <row r="683" spans="1:19" ht="15.75" x14ac:dyDescent="0.25">
      <c r="A683" s="87">
        <v>524</v>
      </c>
      <c r="B683" s="88" t="s">
        <v>512</v>
      </c>
      <c r="C683" s="43" t="s">
        <v>513</v>
      </c>
      <c r="D683" s="103">
        <v>1475.88</v>
      </c>
      <c r="E683" s="103">
        <v>18.079999999999998</v>
      </c>
      <c r="F683" s="103">
        <v>532.22</v>
      </c>
      <c r="G683" s="103">
        <v>117.09</v>
      </c>
      <c r="H683" s="11">
        <v>175.99</v>
      </c>
      <c r="I683" s="5">
        <f t="shared" ref="I683" si="544">E683+F683+G683+H683+D683</f>
        <v>2319.2600000000002</v>
      </c>
      <c r="J683" s="103">
        <v>11.41</v>
      </c>
      <c r="K683" s="5">
        <f t="shared" ref="K683:K685" si="545">I683+J683</f>
        <v>2330.67</v>
      </c>
      <c r="L683" s="5">
        <f t="shared" si="463"/>
        <v>69.92</v>
      </c>
      <c r="M683" s="15">
        <f t="shared" ref="M683:M685" si="546">K683+L683</f>
        <v>2400.59</v>
      </c>
      <c r="N683" s="15">
        <f t="shared" si="464"/>
        <v>480.12</v>
      </c>
      <c r="O683" s="100">
        <f t="shared" ref="O683:O685" si="547">M683+N683</f>
        <v>2880.71</v>
      </c>
      <c r="P683" s="75">
        <f t="shared" ref="P683:P701" si="548">ROUND(O683/5/12,2)</f>
        <v>48.01</v>
      </c>
      <c r="Q683" s="90">
        <v>20</v>
      </c>
      <c r="R683" s="79">
        <f>ROUND(P683*3/Q683,2)</f>
        <v>7.2</v>
      </c>
      <c r="S683" s="80">
        <f t="shared" ref="S683" si="549">ROUND(441.63/Q683,2)</f>
        <v>22.08</v>
      </c>
    </row>
    <row r="684" spans="1:19" ht="15.75" x14ac:dyDescent="0.25">
      <c r="A684" s="87">
        <v>525</v>
      </c>
      <c r="B684" s="88" t="s">
        <v>514</v>
      </c>
      <c r="C684" s="43" t="s">
        <v>49</v>
      </c>
      <c r="D684" s="103">
        <v>1962.25</v>
      </c>
      <c r="E684" s="103">
        <v>18.079999999999998</v>
      </c>
      <c r="F684" s="103">
        <v>532.22</v>
      </c>
      <c r="G684" s="103">
        <v>117.09</v>
      </c>
      <c r="H684" s="11">
        <v>175.99</v>
      </c>
      <c r="I684" s="5">
        <f>E684+F684+G684+H684+D684</f>
        <v>2805.63</v>
      </c>
      <c r="J684" s="103">
        <v>11.41</v>
      </c>
      <c r="K684" s="5">
        <f t="shared" si="545"/>
        <v>2817.04</v>
      </c>
      <c r="L684" s="5">
        <f t="shared" si="463"/>
        <v>84.51</v>
      </c>
      <c r="M684" s="15">
        <f t="shared" si="546"/>
        <v>2901.55</v>
      </c>
      <c r="N684" s="15">
        <f t="shared" si="464"/>
        <v>580.30999999999995</v>
      </c>
      <c r="O684" s="100">
        <f t="shared" si="547"/>
        <v>3481.86</v>
      </c>
      <c r="P684" s="75">
        <f t="shared" si="548"/>
        <v>58.03</v>
      </c>
      <c r="Q684" s="90">
        <v>40</v>
      </c>
      <c r="R684" s="79">
        <f>ROUND(P684*3/Q684,2)</f>
        <v>4.3499999999999996</v>
      </c>
      <c r="S684" s="80">
        <f>ROUND(441.63/Q684,2)</f>
        <v>11.04</v>
      </c>
    </row>
    <row r="685" spans="1:19" ht="15.75" x14ac:dyDescent="0.25">
      <c r="A685" s="87">
        <v>526</v>
      </c>
      <c r="B685" s="88" t="s">
        <v>515</v>
      </c>
      <c r="C685" s="43" t="s">
        <v>414</v>
      </c>
      <c r="D685" s="103">
        <v>2639</v>
      </c>
      <c r="E685" s="3">
        <v>21</v>
      </c>
      <c r="F685" s="3">
        <v>580.29999999999995</v>
      </c>
      <c r="G685" s="3">
        <v>127.67</v>
      </c>
      <c r="H685" s="11">
        <v>195.01</v>
      </c>
      <c r="I685" s="5">
        <f t="shared" ref="I685" si="550">E685+F685+G685+H685+D685</f>
        <v>3562.98</v>
      </c>
      <c r="J685" s="103">
        <v>12.67</v>
      </c>
      <c r="K685" s="5">
        <f t="shared" si="545"/>
        <v>3575.65</v>
      </c>
      <c r="L685" s="5">
        <f t="shared" si="463"/>
        <v>107.27</v>
      </c>
      <c r="M685" s="15">
        <f t="shared" si="546"/>
        <v>3682.92</v>
      </c>
      <c r="N685" s="15">
        <f t="shared" si="464"/>
        <v>736.58</v>
      </c>
      <c r="O685" s="100">
        <f t="shared" si="547"/>
        <v>4419.5</v>
      </c>
      <c r="P685" s="75">
        <f t="shared" si="548"/>
        <v>73.66</v>
      </c>
      <c r="Q685" s="90">
        <v>188</v>
      </c>
      <c r="R685" s="79">
        <f>ROUND(P685*3/Q685,2)</f>
        <v>1.18</v>
      </c>
      <c r="S685" s="51">
        <f>ROUND(482.49/Q685,2)</f>
        <v>2.57</v>
      </c>
    </row>
    <row r="686" spans="1:19" ht="15.75" x14ac:dyDescent="0.25">
      <c r="A686" s="87">
        <v>527</v>
      </c>
      <c r="B686" s="88" t="s">
        <v>516</v>
      </c>
      <c r="C686" s="43" t="s">
        <v>100</v>
      </c>
      <c r="D686" s="103">
        <v>2210.63</v>
      </c>
      <c r="E686" s="103">
        <v>18.079999999999998</v>
      </c>
      <c r="F686" s="103">
        <v>532.22</v>
      </c>
      <c r="G686" s="103">
        <v>117.09</v>
      </c>
      <c r="H686" s="11">
        <v>175.99</v>
      </c>
      <c r="I686" s="5">
        <f>E686+F686+G686+H686+D686</f>
        <v>3054.01</v>
      </c>
      <c r="J686" s="103">
        <v>11.41</v>
      </c>
      <c r="K686" s="5">
        <f>I686+J686</f>
        <v>3065.42</v>
      </c>
      <c r="L686" s="5">
        <f>ROUND(K686*3%,2)</f>
        <v>91.96</v>
      </c>
      <c r="M686" s="15">
        <f>K686+L686</f>
        <v>3157.38</v>
      </c>
      <c r="N686" s="15">
        <f>ROUND(M686*20%,2)</f>
        <v>631.48</v>
      </c>
      <c r="O686" s="100">
        <f>M686+N686</f>
        <v>3788.86</v>
      </c>
      <c r="P686" s="75">
        <f t="shared" si="548"/>
        <v>63.15</v>
      </c>
      <c r="Q686" s="90">
        <v>72</v>
      </c>
      <c r="R686" s="79">
        <f t="shared" ref="R686:R690" si="551">ROUND(P686*3/Q686,2)</f>
        <v>2.63</v>
      </c>
      <c r="S686" s="80">
        <f t="shared" ref="S686" si="552">ROUND(441.63/Q686,2)</f>
        <v>6.13</v>
      </c>
    </row>
    <row r="687" spans="1:19" ht="25.5" x14ac:dyDescent="0.25">
      <c r="A687" s="87">
        <v>528</v>
      </c>
      <c r="B687" s="88" t="s">
        <v>517</v>
      </c>
      <c r="C687" s="43" t="s">
        <v>742</v>
      </c>
      <c r="D687" s="103">
        <v>2427.87</v>
      </c>
      <c r="E687" s="3">
        <v>21</v>
      </c>
      <c r="F687" s="3">
        <v>580.29999999999995</v>
      </c>
      <c r="G687" s="3">
        <v>127.67</v>
      </c>
      <c r="H687" s="11">
        <v>195.01</v>
      </c>
      <c r="I687" s="5">
        <f t="shared" ref="I687" si="553">E687+F687+G687+H687+D687</f>
        <v>3351.85</v>
      </c>
      <c r="J687" s="103">
        <v>12.67</v>
      </c>
      <c r="K687" s="5">
        <f t="shared" ref="K687" si="554">I687+J687</f>
        <v>3364.52</v>
      </c>
      <c r="L687" s="5">
        <f t="shared" ref="L687" si="555">ROUND(K687*3%,2)</f>
        <v>100.94</v>
      </c>
      <c r="M687" s="15">
        <f t="shared" ref="M687" si="556">K687+L687</f>
        <v>3465.46</v>
      </c>
      <c r="N687" s="15">
        <f t="shared" ref="N687" si="557">ROUND(M687*20%,2)</f>
        <v>693.09</v>
      </c>
      <c r="O687" s="100">
        <f t="shared" ref="O687" si="558">M687+N687</f>
        <v>4158.55</v>
      </c>
      <c r="P687" s="75">
        <f t="shared" si="548"/>
        <v>69.31</v>
      </c>
      <c r="Q687" s="90">
        <v>71</v>
      </c>
      <c r="R687" s="79">
        <f>ROUND(P687*3/Q687,2)</f>
        <v>2.93</v>
      </c>
      <c r="S687" s="80">
        <f>ROUND(451.2/Q687,2)</f>
        <v>6.35</v>
      </c>
    </row>
    <row r="688" spans="1:19" ht="15.75" x14ac:dyDescent="0.25">
      <c r="A688" s="87">
        <v>529</v>
      </c>
      <c r="B688" s="88" t="s">
        <v>518</v>
      </c>
      <c r="C688" s="43" t="s">
        <v>419</v>
      </c>
      <c r="D688" s="103">
        <v>2210.63</v>
      </c>
      <c r="E688" s="103">
        <v>18.079999999999998</v>
      </c>
      <c r="F688" s="103">
        <v>532.22</v>
      </c>
      <c r="G688" s="103">
        <v>117.09</v>
      </c>
      <c r="H688" s="11">
        <v>175.99</v>
      </c>
      <c r="I688" s="5">
        <f>E688+F688+G688+H688+D688</f>
        <v>3054.01</v>
      </c>
      <c r="J688" s="103">
        <v>11.41</v>
      </c>
      <c r="K688" s="5">
        <f>I688+J688</f>
        <v>3065.42</v>
      </c>
      <c r="L688" s="5">
        <f>ROUND(K688*3%,2)</f>
        <v>91.96</v>
      </c>
      <c r="M688" s="15">
        <f>K688+L688</f>
        <v>3157.38</v>
      </c>
      <c r="N688" s="15">
        <f>ROUND(M688*20%,2)</f>
        <v>631.48</v>
      </c>
      <c r="O688" s="100">
        <f>M688+N688</f>
        <v>3788.86</v>
      </c>
      <c r="P688" s="75">
        <f t="shared" si="548"/>
        <v>63.15</v>
      </c>
      <c r="Q688" s="90">
        <v>79</v>
      </c>
      <c r="R688" s="79">
        <f t="shared" si="551"/>
        <v>2.4</v>
      </c>
      <c r="S688" s="80">
        <f t="shared" ref="S688:S690" si="559">ROUND(441.63/Q688,2)</f>
        <v>5.59</v>
      </c>
    </row>
    <row r="689" spans="1:19" ht="15.75" x14ac:dyDescent="0.25">
      <c r="A689" s="87">
        <v>530</v>
      </c>
      <c r="B689" s="88" t="s">
        <v>519</v>
      </c>
      <c r="C689" s="43" t="s">
        <v>100</v>
      </c>
      <c r="D689" s="103">
        <v>2210.63</v>
      </c>
      <c r="E689" s="103">
        <v>18.079999999999998</v>
      </c>
      <c r="F689" s="103">
        <v>532.22</v>
      </c>
      <c r="G689" s="103">
        <v>117.09</v>
      </c>
      <c r="H689" s="11">
        <v>175.99</v>
      </c>
      <c r="I689" s="5">
        <f>E689+F689+G689+H689+D689</f>
        <v>3054.01</v>
      </c>
      <c r="J689" s="103">
        <v>11.41</v>
      </c>
      <c r="K689" s="5">
        <f>I689+J689</f>
        <v>3065.42</v>
      </c>
      <c r="L689" s="5">
        <f>ROUND(K689*3%,2)</f>
        <v>91.96</v>
      </c>
      <c r="M689" s="15">
        <f>K689+L689</f>
        <v>3157.38</v>
      </c>
      <c r="N689" s="15">
        <f>ROUND(M689*20%,2)</f>
        <v>631.48</v>
      </c>
      <c r="O689" s="100">
        <f>M689+N689</f>
        <v>3788.86</v>
      </c>
      <c r="P689" s="75">
        <f t="shared" si="548"/>
        <v>63.15</v>
      </c>
      <c r="Q689" s="90">
        <v>70</v>
      </c>
      <c r="R689" s="79">
        <f t="shared" si="551"/>
        <v>2.71</v>
      </c>
      <c r="S689" s="80">
        <f t="shared" si="559"/>
        <v>6.31</v>
      </c>
    </row>
    <row r="690" spans="1:19" ht="15.75" x14ac:dyDescent="0.25">
      <c r="A690" s="87">
        <v>531</v>
      </c>
      <c r="B690" s="88" t="s">
        <v>520</v>
      </c>
      <c r="C690" s="43" t="s">
        <v>419</v>
      </c>
      <c r="D690" s="103">
        <v>2210.63</v>
      </c>
      <c r="E690" s="103">
        <v>18.079999999999998</v>
      </c>
      <c r="F690" s="103">
        <v>532.22</v>
      </c>
      <c r="G690" s="103">
        <v>117.09</v>
      </c>
      <c r="H690" s="11">
        <v>175.99</v>
      </c>
      <c r="I690" s="5">
        <f>E690+F690+G690+H690+D690</f>
        <v>3054.01</v>
      </c>
      <c r="J690" s="103">
        <v>11.41</v>
      </c>
      <c r="K690" s="5">
        <f>I690+J690</f>
        <v>3065.42</v>
      </c>
      <c r="L690" s="5">
        <f>ROUND(K690*3%,2)</f>
        <v>91.96</v>
      </c>
      <c r="M690" s="15">
        <f>K690+L690</f>
        <v>3157.38</v>
      </c>
      <c r="N690" s="15">
        <f>ROUND(M690*20%,2)</f>
        <v>631.48</v>
      </c>
      <c r="O690" s="100">
        <f>M690+N690</f>
        <v>3788.86</v>
      </c>
      <c r="P690" s="75">
        <f t="shared" si="548"/>
        <v>63.15</v>
      </c>
      <c r="Q690" s="90">
        <v>62</v>
      </c>
      <c r="R690" s="79">
        <f t="shared" si="551"/>
        <v>3.06</v>
      </c>
      <c r="S690" s="80">
        <f t="shared" si="559"/>
        <v>7.12</v>
      </c>
    </row>
    <row r="691" spans="1:19" ht="15.75" x14ac:dyDescent="0.25">
      <c r="A691" s="87">
        <v>532</v>
      </c>
      <c r="B691" s="88" t="s">
        <v>521</v>
      </c>
      <c r="C691" s="43" t="s">
        <v>474</v>
      </c>
      <c r="D691" s="103">
        <v>2427.87</v>
      </c>
      <c r="E691" s="3">
        <v>21</v>
      </c>
      <c r="F691" s="3">
        <v>580.29999999999995</v>
      </c>
      <c r="G691" s="3">
        <v>127.67</v>
      </c>
      <c r="H691" s="11">
        <v>195.01</v>
      </c>
      <c r="I691" s="5">
        <f t="shared" ref="I691:I692" si="560">E691+F691+G691+H691+D691</f>
        <v>3351.85</v>
      </c>
      <c r="J691" s="103">
        <v>12.67</v>
      </c>
      <c r="K691" s="5">
        <f t="shared" ref="K691:K692" si="561">I691+J691</f>
        <v>3364.52</v>
      </c>
      <c r="L691" s="5">
        <f t="shared" ref="L691:L692" si="562">ROUND(K691*3%,2)</f>
        <v>100.94</v>
      </c>
      <c r="M691" s="15">
        <f t="shared" ref="M691:M692" si="563">K691+L691</f>
        <v>3465.46</v>
      </c>
      <c r="N691" s="15">
        <f t="shared" ref="N691:N692" si="564">ROUND(M691*20%,2)</f>
        <v>693.09</v>
      </c>
      <c r="O691" s="100">
        <f t="shared" ref="O691:O692" si="565">M691+N691</f>
        <v>4158.55</v>
      </c>
      <c r="P691" s="75">
        <f t="shared" si="548"/>
        <v>69.31</v>
      </c>
      <c r="Q691" s="90">
        <v>106</v>
      </c>
      <c r="R691" s="79">
        <f>ROUND(P691*3/Q691,2)</f>
        <v>1.96</v>
      </c>
      <c r="S691" s="80">
        <f>ROUND(451.2/Q691,2)</f>
        <v>4.26</v>
      </c>
    </row>
    <row r="692" spans="1:19" ht="15.75" x14ac:dyDescent="0.25">
      <c r="A692" s="87">
        <v>533</v>
      </c>
      <c r="B692" s="88" t="s">
        <v>522</v>
      </c>
      <c r="C692" s="43" t="s">
        <v>437</v>
      </c>
      <c r="D692" s="103">
        <v>2427.87</v>
      </c>
      <c r="E692" s="3">
        <v>21</v>
      </c>
      <c r="F692" s="3">
        <v>580.29999999999995</v>
      </c>
      <c r="G692" s="3">
        <v>127.67</v>
      </c>
      <c r="H692" s="11">
        <v>195.01</v>
      </c>
      <c r="I692" s="5">
        <f t="shared" si="560"/>
        <v>3351.85</v>
      </c>
      <c r="J692" s="103">
        <v>12.67</v>
      </c>
      <c r="K692" s="5">
        <f t="shared" si="561"/>
        <v>3364.52</v>
      </c>
      <c r="L692" s="5">
        <f t="shared" si="562"/>
        <v>100.94</v>
      </c>
      <c r="M692" s="15">
        <f t="shared" si="563"/>
        <v>3465.46</v>
      </c>
      <c r="N692" s="15">
        <f t="shared" si="564"/>
        <v>693.09</v>
      </c>
      <c r="O692" s="100">
        <f t="shared" si="565"/>
        <v>4158.55</v>
      </c>
      <c r="P692" s="75">
        <f t="shared" si="548"/>
        <v>69.31</v>
      </c>
      <c r="Q692" s="90">
        <v>111</v>
      </c>
      <c r="R692" s="79">
        <f>ROUND(P692*3/Q692,2)</f>
        <v>1.87</v>
      </c>
      <c r="S692" s="80">
        <f>ROUND(451.2/Q692,2)</f>
        <v>4.0599999999999996</v>
      </c>
    </row>
    <row r="693" spans="1:19" ht="16.5" thickBot="1" x14ac:dyDescent="0.3">
      <c r="A693" s="23">
        <v>534</v>
      </c>
      <c r="B693" s="46" t="s">
        <v>523</v>
      </c>
      <c r="C693" s="56" t="s">
        <v>524</v>
      </c>
      <c r="D693" s="57">
        <v>2210.63</v>
      </c>
      <c r="E693" s="57">
        <v>18.079999999999998</v>
      </c>
      <c r="F693" s="57">
        <v>532.22</v>
      </c>
      <c r="G693" s="57">
        <v>117.09</v>
      </c>
      <c r="H693" s="58">
        <v>175.99</v>
      </c>
      <c r="I693" s="59">
        <f>E693+F693+G693+H693+D693</f>
        <v>3054.01</v>
      </c>
      <c r="J693" s="57">
        <v>11.41</v>
      </c>
      <c r="K693" s="59">
        <f>I693+J693</f>
        <v>3065.42</v>
      </c>
      <c r="L693" s="59">
        <f>ROUND(K693*3%,2)</f>
        <v>91.96</v>
      </c>
      <c r="M693" s="60">
        <f>K693+L693</f>
        <v>3157.38</v>
      </c>
      <c r="N693" s="60">
        <f>ROUND(M693*20%,2)</f>
        <v>631.48</v>
      </c>
      <c r="O693" s="61">
        <f>M693+N693</f>
        <v>3788.86</v>
      </c>
      <c r="P693" s="109">
        <f t="shared" si="548"/>
        <v>63.15</v>
      </c>
      <c r="Q693" s="70">
        <v>115</v>
      </c>
      <c r="R693" s="110">
        <f t="shared" ref="R693" si="566">ROUND(P693*3/Q693,2)</f>
        <v>1.65</v>
      </c>
      <c r="S693" s="146">
        <f t="shared" ref="S693" si="567">ROUND(441.63/Q693,2)</f>
        <v>3.84</v>
      </c>
    </row>
    <row r="694" spans="1:19" ht="15.75" x14ac:dyDescent="0.25">
      <c r="A694" s="115">
        <v>535</v>
      </c>
      <c r="B694" s="155" t="s">
        <v>525</v>
      </c>
      <c r="C694" s="148" t="s">
        <v>437</v>
      </c>
      <c r="D694" s="118">
        <v>2427.87</v>
      </c>
      <c r="E694" s="149">
        <v>21</v>
      </c>
      <c r="F694" s="149">
        <v>580.29999999999995</v>
      </c>
      <c r="G694" s="149">
        <v>127.67</v>
      </c>
      <c r="H694" s="119">
        <v>195.01</v>
      </c>
      <c r="I694" s="120">
        <f t="shared" ref="I694:I695" si="568">E694+F694+G694+H694+D694</f>
        <v>3351.85</v>
      </c>
      <c r="J694" s="118">
        <v>12.67</v>
      </c>
      <c r="K694" s="120">
        <f t="shared" ref="K694:K695" si="569">I694+J694</f>
        <v>3364.52</v>
      </c>
      <c r="L694" s="120">
        <f t="shared" ref="L694:L695" si="570">ROUND(K694*3%,2)</f>
        <v>100.94</v>
      </c>
      <c r="M694" s="121">
        <f t="shared" ref="M694:M695" si="571">K694+L694</f>
        <v>3465.46</v>
      </c>
      <c r="N694" s="121">
        <f t="shared" ref="N694:N695" si="572">ROUND(M694*20%,2)</f>
        <v>693.09</v>
      </c>
      <c r="O694" s="122">
        <f t="shared" ref="O694:O695" si="573">M694+N694</f>
        <v>4158.55</v>
      </c>
      <c r="P694" s="121">
        <f t="shared" si="548"/>
        <v>69.31</v>
      </c>
      <c r="Q694" s="160">
        <v>110</v>
      </c>
      <c r="R694" s="124">
        <f>ROUND(P694*3/Q694,2)</f>
        <v>1.89</v>
      </c>
      <c r="S694" s="151">
        <f>ROUND(451.2/Q694,2)</f>
        <v>4.0999999999999996</v>
      </c>
    </row>
    <row r="695" spans="1:19" ht="15.75" x14ac:dyDescent="0.25">
      <c r="A695" s="87">
        <v>536</v>
      </c>
      <c r="B695" s="88" t="s">
        <v>526</v>
      </c>
      <c r="C695" s="43" t="s">
        <v>437</v>
      </c>
      <c r="D695" s="103">
        <v>2427.87</v>
      </c>
      <c r="E695" s="3">
        <v>21</v>
      </c>
      <c r="F695" s="3">
        <v>580.29999999999995</v>
      </c>
      <c r="G695" s="3">
        <v>127.67</v>
      </c>
      <c r="H695" s="11">
        <v>195.01</v>
      </c>
      <c r="I695" s="5">
        <f t="shared" si="568"/>
        <v>3351.85</v>
      </c>
      <c r="J695" s="103">
        <v>12.67</v>
      </c>
      <c r="K695" s="5">
        <f t="shared" si="569"/>
        <v>3364.52</v>
      </c>
      <c r="L695" s="5">
        <f t="shared" si="570"/>
        <v>100.94</v>
      </c>
      <c r="M695" s="15">
        <f t="shared" si="571"/>
        <v>3465.46</v>
      </c>
      <c r="N695" s="15">
        <f t="shared" si="572"/>
        <v>693.09</v>
      </c>
      <c r="O695" s="100">
        <f t="shared" si="573"/>
        <v>4158.55</v>
      </c>
      <c r="P695" s="75">
        <f t="shared" si="548"/>
        <v>69.31</v>
      </c>
      <c r="Q695" s="90">
        <v>113</v>
      </c>
      <c r="R695" s="79">
        <f>ROUND(P695*3/Q695,2)</f>
        <v>1.84</v>
      </c>
      <c r="S695" s="80">
        <f>ROUND(451.2/Q695,2)</f>
        <v>3.99</v>
      </c>
    </row>
    <row r="696" spans="1:19" ht="15.75" x14ac:dyDescent="0.25">
      <c r="A696" s="87">
        <v>537</v>
      </c>
      <c r="B696" s="88" t="s">
        <v>527</v>
      </c>
      <c r="C696" s="43" t="s">
        <v>495</v>
      </c>
      <c r="D696" s="103">
        <v>2210.63</v>
      </c>
      <c r="E696" s="103">
        <v>18.079999999999998</v>
      </c>
      <c r="F696" s="103">
        <v>532.22</v>
      </c>
      <c r="G696" s="103">
        <v>117.09</v>
      </c>
      <c r="H696" s="11">
        <v>175.99</v>
      </c>
      <c r="I696" s="5">
        <f>E696+F696+G696+H696+D696</f>
        <v>3054.01</v>
      </c>
      <c r="J696" s="103">
        <v>11.41</v>
      </c>
      <c r="K696" s="5">
        <f>I696+J696</f>
        <v>3065.42</v>
      </c>
      <c r="L696" s="5">
        <f>ROUND(K696*3%,2)</f>
        <v>91.96</v>
      </c>
      <c r="M696" s="15">
        <f>K696+L696</f>
        <v>3157.38</v>
      </c>
      <c r="N696" s="15">
        <f>ROUND(M696*20%,2)</f>
        <v>631.48</v>
      </c>
      <c r="O696" s="100">
        <f>M696+N696</f>
        <v>3788.86</v>
      </c>
      <c r="P696" s="75">
        <f t="shared" si="548"/>
        <v>63.15</v>
      </c>
      <c r="Q696" s="90">
        <v>101</v>
      </c>
      <c r="R696" s="79">
        <f t="shared" ref="R696:R697" si="574">ROUND(P696*3/Q696,2)</f>
        <v>1.88</v>
      </c>
      <c r="S696" s="80">
        <f t="shared" ref="S696:S697" si="575">ROUND(441.63/Q696,2)</f>
        <v>4.37</v>
      </c>
    </row>
    <row r="697" spans="1:19" ht="15.75" x14ac:dyDescent="0.25">
      <c r="A697" s="87">
        <v>538</v>
      </c>
      <c r="B697" s="88" t="s">
        <v>528</v>
      </c>
      <c r="C697" s="43" t="s">
        <v>419</v>
      </c>
      <c r="D697" s="103">
        <v>2210.63</v>
      </c>
      <c r="E697" s="103">
        <v>18.079999999999998</v>
      </c>
      <c r="F697" s="103">
        <v>532.22</v>
      </c>
      <c r="G697" s="103">
        <v>117.09</v>
      </c>
      <c r="H697" s="11">
        <v>175.99</v>
      </c>
      <c r="I697" s="5">
        <f>E697+F697+G697+H697+D697</f>
        <v>3054.01</v>
      </c>
      <c r="J697" s="103">
        <v>11.41</v>
      </c>
      <c r="K697" s="5">
        <f>I697+J697</f>
        <v>3065.42</v>
      </c>
      <c r="L697" s="5">
        <f>ROUND(K697*3%,2)</f>
        <v>91.96</v>
      </c>
      <c r="M697" s="15">
        <f>K697+L697</f>
        <v>3157.38</v>
      </c>
      <c r="N697" s="15">
        <f>ROUND(M697*20%,2)</f>
        <v>631.48</v>
      </c>
      <c r="O697" s="100">
        <f>M697+N697</f>
        <v>3788.86</v>
      </c>
      <c r="P697" s="75">
        <f t="shared" si="548"/>
        <v>63.15</v>
      </c>
      <c r="Q697" s="90">
        <v>64</v>
      </c>
      <c r="R697" s="79">
        <f t="shared" si="574"/>
        <v>2.96</v>
      </c>
      <c r="S697" s="80">
        <f t="shared" si="575"/>
        <v>6.9</v>
      </c>
    </row>
    <row r="698" spans="1:19" ht="15.75" x14ac:dyDescent="0.25">
      <c r="A698" s="87">
        <v>539</v>
      </c>
      <c r="B698" s="88" t="s">
        <v>529</v>
      </c>
      <c r="C698" s="43" t="s">
        <v>437</v>
      </c>
      <c r="D698" s="103">
        <v>2427.87</v>
      </c>
      <c r="E698" s="3">
        <v>21</v>
      </c>
      <c r="F698" s="3">
        <v>580.29999999999995</v>
      </c>
      <c r="G698" s="3">
        <v>127.67</v>
      </c>
      <c r="H698" s="11">
        <v>195.01</v>
      </c>
      <c r="I698" s="5">
        <f t="shared" ref="I698:I700" si="576">E698+F698+G698+H698+D698</f>
        <v>3351.85</v>
      </c>
      <c r="J698" s="103">
        <v>12.67</v>
      </c>
      <c r="K698" s="5">
        <f t="shared" ref="K698:K700" si="577">I698+J698</f>
        <v>3364.52</v>
      </c>
      <c r="L698" s="5">
        <f t="shared" ref="L698:L700" si="578">ROUND(K698*3%,2)</f>
        <v>100.94</v>
      </c>
      <c r="M698" s="15">
        <f t="shared" ref="M698:M700" si="579">K698+L698</f>
        <v>3465.46</v>
      </c>
      <c r="N698" s="15">
        <f t="shared" ref="N698:N700" si="580">ROUND(M698*20%,2)</f>
        <v>693.09</v>
      </c>
      <c r="O698" s="100">
        <f t="shared" ref="O698:O700" si="581">M698+N698</f>
        <v>4158.55</v>
      </c>
      <c r="P698" s="75">
        <f t="shared" si="548"/>
        <v>69.31</v>
      </c>
      <c r="Q698" s="90">
        <v>111</v>
      </c>
      <c r="R698" s="79">
        <f>ROUND(P698*3/Q698,2)</f>
        <v>1.87</v>
      </c>
      <c r="S698" s="80">
        <f>ROUND(451.2/Q698,2)</f>
        <v>4.0599999999999996</v>
      </c>
    </row>
    <row r="699" spans="1:19" ht="15.75" x14ac:dyDescent="0.25">
      <c r="A699" s="87">
        <v>540</v>
      </c>
      <c r="B699" s="88" t="s">
        <v>530</v>
      </c>
      <c r="C699" s="43" t="s">
        <v>437</v>
      </c>
      <c r="D699" s="103">
        <v>2427.87</v>
      </c>
      <c r="E699" s="3">
        <v>21</v>
      </c>
      <c r="F699" s="3">
        <v>580.29999999999995</v>
      </c>
      <c r="G699" s="3">
        <v>127.67</v>
      </c>
      <c r="H699" s="11">
        <v>195.01</v>
      </c>
      <c r="I699" s="5">
        <f t="shared" si="576"/>
        <v>3351.85</v>
      </c>
      <c r="J699" s="103">
        <v>12.67</v>
      </c>
      <c r="K699" s="5">
        <f t="shared" si="577"/>
        <v>3364.52</v>
      </c>
      <c r="L699" s="5">
        <f t="shared" si="578"/>
        <v>100.94</v>
      </c>
      <c r="M699" s="15">
        <f t="shared" si="579"/>
        <v>3465.46</v>
      </c>
      <c r="N699" s="15">
        <f t="shared" si="580"/>
        <v>693.09</v>
      </c>
      <c r="O699" s="100">
        <f t="shared" si="581"/>
        <v>4158.55</v>
      </c>
      <c r="P699" s="75">
        <f t="shared" si="548"/>
        <v>69.31</v>
      </c>
      <c r="Q699" s="90">
        <v>110</v>
      </c>
      <c r="R699" s="79">
        <f>ROUND(P699*3/Q699,2)</f>
        <v>1.89</v>
      </c>
      <c r="S699" s="80">
        <f>ROUND(451.2/Q699,2)</f>
        <v>4.0999999999999996</v>
      </c>
    </row>
    <row r="700" spans="1:19" ht="15.75" x14ac:dyDescent="0.25">
      <c r="A700" s="87">
        <v>541</v>
      </c>
      <c r="B700" s="88" t="s">
        <v>531</v>
      </c>
      <c r="C700" s="43" t="s">
        <v>474</v>
      </c>
      <c r="D700" s="103">
        <v>2427.87</v>
      </c>
      <c r="E700" s="3">
        <v>21</v>
      </c>
      <c r="F700" s="3">
        <v>580.29999999999995</v>
      </c>
      <c r="G700" s="3">
        <v>127.67</v>
      </c>
      <c r="H700" s="11">
        <v>195.01</v>
      </c>
      <c r="I700" s="5">
        <f t="shared" si="576"/>
        <v>3351.85</v>
      </c>
      <c r="J700" s="103">
        <v>12.67</v>
      </c>
      <c r="K700" s="5">
        <f t="shared" si="577"/>
        <v>3364.52</v>
      </c>
      <c r="L700" s="5">
        <f t="shared" si="578"/>
        <v>100.94</v>
      </c>
      <c r="M700" s="15">
        <f t="shared" si="579"/>
        <v>3465.46</v>
      </c>
      <c r="N700" s="15">
        <f t="shared" si="580"/>
        <v>693.09</v>
      </c>
      <c r="O700" s="100">
        <f t="shared" si="581"/>
        <v>4158.55</v>
      </c>
      <c r="P700" s="75">
        <f t="shared" si="548"/>
        <v>69.31</v>
      </c>
      <c r="Q700" s="90">
        <v>109</v>
      </c>
      <c r="R700" s="79">
        <f>ROUND(P700*3/Q700,2)</f>
        <v>1.91</v>
      </c>
      <c r="S700" s="80">
        <f>ROUND(451.2/Q700,2)</f>
        <v>4.1399999999999997</v>
      </c>
    </row>
    <row r="701" spans="1:19" ht="15.75" x14ac:dyDescent="0.25">
      <c r="A701" s="87">
        <v>542</v>
      </c>
      <c r="B701" s="88" t="s">
        <v>532</v>
      </c>
      <c r="C701" s="43" t="s">
        <v>100</v>
      </c>
      <c r="D701" s="103">
        <v>2210.63</v>
      </c>
      <c r="E701" s="103">
        <v>18.079999999999998</v>
      </c>
      <c r="F701" s="103">
        <v>532.22</v>
      </c>
      <c r="G701" s="103">
        <v>117.09</v>
      </c>
      <c r="H701" s="11">
        <v>175.99</v>
      </c>
      <c r="I701" s="5">
        <f>E701+F701+G701+H701+D701</f>
        <v>3054.01</v>
      </c>
      <c r="J701" s="103">
        <v>11.41</v>
      </c>
      <c r="K701" s="5">
        <f>I701+J701</f>
        <v>3065.42</v>
      </c>
      <c r="L701" s="5">
        <f>ROUND(K701*3%,2)</f>
        <v>91.96</v>
      </c>
      <c r="M701" s="15">
        <f>K701+L701</f>
        <v>3157.38</v>
      </c>
      <c r="N701" s="15">
        <f>ROUND(M701*20%,2)</f>
        <v>631.48</v>
      </c>
      <c r="O701" s="100">
        <f>M701+N701</f>
        <v>3788.86</v>
      </c>
      <c r="P701" s="75">
        <f t="shared" si="548"/>
        <v>63.15</v>
      </c>
      <c r="Q701" s="90">
        <v>72</v>
      </c>
      <c r="R701" s="79">
        <f t="shared" ref="R701:R702" si="582">ROUND(P701*3/Q701,2)</f>
        <v>2.63</v>
      </c>
      <c r="S701" s="80">
        <f t="shared" ref="S701" si="583">ROUND(441.63/Q701,2)</f>
        <v>6.13</v>
      </c>
    </row>
    <row r="702" spans="1:19" ht="15.75" customHeight="1" x14ac:dyDescent="0.25">
      <c r="A702" s="232">
        <v>543</v>
      </c>
      <c r="B702" s="226" t="s">
        <v>847</v>
      </c>
      <c r="C702" s="27" t="s">
        <v>533</v>
      </c>
      <c r="D702" s="175">
        <f>1475.88+1962.25</f>
        <v>3438.13</v>
      </c>
      <c r="E702" s="195">
        <f>18.08*2</f>
        <v>36.159999999999997</v>
      </c>
      <c r="F702" s="195">
        <f>532.22*2</f>
        <v>1064.44</v>
      </c>
      <c r="G702" s="222">
        <f>117.09*2</f>
        <v>234.18</v>
      </c>
      <c r="H702" s="167">
        <f>175.99*2</f>
        <v>351.98</v>
      </c>
      <c r="I702" s="169">
        <f>E702+F702+G702+H702+D702</f>
        <v>5124.8900000000003</v>
      </c>
      <c r="J702" s="167">
        <f>11.41*2</f>
        <v>22.82</v>
      </c>
      <c r="K702" s="169">
        <f t="shared" si="528"/>
        <v>5147.71</v>
      </c>
      <c r="L702" s="169">
        <f>ROUND(K702*3%,2)</f>
        <v>154.43</v>
      </c>
      <c r="M702" s="173">
        <f t="shared" si="530"/>
        <v>5302.14</v>
      </c>
      <c r="N702" s="169">
        <f>ROUND(M702*20%,2)</f>
        <v>1060.43</v>
      </c>
      <c r="O702" s="185">
        <f t="shared" si="532"/>
        <v>6362.5700000000006</v>
      </c>
      <c r="P702" s="169">
        <f>ROUND(O702/5/12,2)</f>
        <v>106.04</v>
      </c>
      <c r="Q702" s="266">
        <v>72</v>
      </c>
      <c r="R702" s="182">
        <f t="shared" si="582"/>
        <v>4.42</v>
      </c>
      <c r="S702" s="259">
        <f>ROUND((441.63+467.97)/Q702,2)</f>
        <v>12.63</v>
      </c>
    </row>
    <row r="703" spans="1:19" ht="15.75" customHeight="1" x14ac:dyDescent="0.25">
      <c r="A703" s="232"/>
      <c r="B703" s="228"/>
      <c r="C703" s="30" t="s">
        <v>485</v>
      </c>
      <c r="D703" s="177"/>
      <c r="E703" s="197"/>
      <c r="F703" s="197"/>
      <c r="G703" s="230"/>
      <c r="H703" s="168"/>
      <c r="I703" s="170"/>
      <c r="J703" s="168"/>
      <c r="K703" s="170"/>
      <c r="L703" s="170"/>
      <c r="M703" s="174"/>
      <c r="N703" s="170"/>
      <c r="O703" s="186"/>
      <c r="P703" s="170"/>
      <c r="Q703" s="267"/>
      <c r="R703" s="183"/>
      <c r="S703" s="259"/>
    </row>
    <row r="704" spans="1:19" ht="15.75" x14ac:dyDescent="0.25">
      <c r="A704" s="87">
        <v>544</v>
      </c>
      <c r="B704" s="88" t="s">
        <v>534</v>
      </c>
      <c r="C704" s="43" t="s">
        <v>495</v>
      </c>
      <c r="D704" s="103">
        <v>2210.63</v>
      </c>
      <c r="E704" s="103">
        <v>18.079999999999998</v>
      </c>
      <c r="F704" s="103">
        <v>532.22</v>
      </c>
      <c r="G704" s="103">
        <v>117.09</v>
      </c>
      <c r="H704" s="11">
        <v>175.99</v>
      </c>
      <c r="I704" s="5">
        <f>E704+F704+G704+H704+D704</f>
        <v>3054.01</v>
      </c>
      <c r="J704" s="103">
        <v>11.41</v>
      </c>
      <c r="K704" s="5">
        <f>I704+J704</f>
        <v>3065.42</v>
      </c>
      <c r="L704" s="5">
        <f>ROUND(K704*3%,2)</f>
        <v>91.96</v>
      </c>
      <c r="M704" s="15">
        <f>K704+L704</f>
        <v>3157.38</v>
      </c>
      <c r="N704" s="15">
        <f>ROUND(M704*20%,2)</f>
        <v>631.48</v>
      </c>
      <c r="O704" s="100">
        <f>M704+N704</f>
        <v>3788.86</v>
      </c>
      <c r="P704" s="75">
        <f>ROUND(O704/5/12,2)</f>
        <v>63.15</v>
      </c>
      <c r="Q704" s="90">
        <v>100</v>
      </c>
      <c r="R704" s="79">
        <f t="shared" ref="R704" si="584">ROUND(P704*3/Q704,2)</f>
        <v>1.89</v>
      </c>
      <c r="S704" s="80">
        <f t="shared" ref="S704" si="585">ROUND(441.63/Q704,2)</f>
        <v>4.42</v>
      </c>
    </row>
    <row r="705" spans="1:19" ht="15.75" x14ac:dyDescent="0.25">
      <c r="A705" s="87">
        <v>545</v>
      </c>
      <c r="B705" s="88" t="s">
        <v>535</v>
      </c>
      <c r="C705" s="43" t="s">
        <v>437</v>
      </c>
      <c r="D705" s="103">
        <v>2427.87</v>
      </c>
      <c r="E705" s="3">
        <v>21</v>
      </c>
      <c r="F705" s="3">
        <v>580.29999999999995</v>
      </c>
      <c r="G705" s="3">
        <v>127.67</v>
      </c>
      <c r="H705" s="11">
        <v>195.01</v>
      </c>
      <c r="I705" s="5">
        <f t="shared" ref="I705" si="586">E705+F705+G705+H705+D705</f>
        <v>3351.85</v>
      </c>
      <c r="J705" s="103">
        <v>12.67</v>
      </c>
      <c r="K705" s="5">
        <f t="shared" ref="K705" si="587">I705+J705</f>
        <v>3364.52</v>
      </c>
      <c r="L705" s="5">
        <f t="shared" ref="L705" si="588">ROUND(K705*3%,2)</f>
        <v>100.94</v>
      </c>
      <c r="M705" s="15">
        <f t="shared" ref="M705" si="589">K705+L705</f>
        <v>3465.46</v>
      </c>
      <c r="N705" s="15">
        <f t="shared" ref="N705" si="590">ROUND(M705*20%,2)</f>
        <v>693.09</v>
      </c>
      <c r="O705" s="100">
        <f t="shared" ref="O705" si="591">M705+N705</f>
        <v>4158.55</v>
      </c>
      <c r="P705" s="75">
        <f>ROUND(O705/5/12,2)</f>
        <v>69.31</v>
      </c>
      <c r="Q705" s="90">
        <v>101</v>
      </c>
      <c r="R705" s="79">
        <f>ROUND(P705*3/Q705,2)</f>
        <v>2.06</v>
      </c>
      <c r="S705" s="80">
        <f>ROUND(451.2/Q705,2)</f>
        <v>4.47</v>
      </c>
    </row>
    <row r="706" spans="1:19" ht="15.75" x14ac:dyDescent="0.25">
      <c r="A706" s="87">
        <v>546</v>
      </c>
      <c r="B706" s="88" t="s">
        <v>536</v>
      </c>
      <c r="C706" s="43" t="s">
        <v>100</v>
      </c>
      <c r="D706" s="103">
        <v>2210.63</v>
      </c>
      <c r="E706" s="103">
        <v>18.079999999999998</v>
      </c>
      <c r="F706" s="103">
        <v>532.22</v>
      </c>
      <c r="G706" s="103">
        <v>117.09</v>
      </c>
      <c r="H706" s="11">
        <v>175.99</v>
      </c>
      <c r="I706" s="5">
        <f>E706+F706+G706+H706+D706</f>
        <v>3054.01</v>
      </c>
      <c r="J706" s="103">
        <v>11.41</v>
      </c>
      <c r="K706" s="5">
        <f>I706+J706</f>
        <v>3065.42</v>
      </c>
      <c r="L706" s="5">
        <f>ROUND(K706*3%,2)</f>
        <v>91.96</v>
      </c>
      <c r="M706" s="15">
        <f>K706+L706</f>
        <v>3157.38</v>
      </c>
      <c r="N706" s="15">
        <f>ROUND(M706*20%,2)</f>
        <v>631.48</v>
      </c>
      <c r="O706" s="100">
        <f>M706+N706</f>
        <v>3788.86</v>
      </c>
      <c r="P706" s="75">
        <f>ROUND(O706/5/12,2)</f>
        <v>63.15</v>
      </c>
      <c r="Q706" s="90">
        <v>106</v>
      </c>
      <c r="R706" s="79">
        <f t="shared" ref="R706" si="592">ROUND(P706*3/Q706,2)</f>
        <v>1.79</v>
      </c>
      <c r="S706" s="80">
        <f t="shared" ref="S706" si="593">ROUND(441.63/Q706,2)</f>
        <v>4.17</v>
      </c>
    </row>
    <row r="707" spans="1:19" ht="15.75" x14ac:dyDescent="0.25">
      <c r="A707" s="87">
        <v>547</v>
      </c>
      <c r="B707" s="88" t="s">
        <v>537</v>
      </c>
      <c r="C707" s="43" t="s">
        <v>437</v>
      </c>
      <c r="D707" s="103">
        <v>2427.87</v>
      </c>
      <c r="E707" s="3">
        <v>21</v>
      </c>
      <c r="F707" s="3">
        <v>580.29999999999995</v>
      </c>
      <c r="G707" s="3">
        <v>127.67</v>
      </c>
      <c r="H707" s="11">
        <v>195.01</v>
      </c>
      <c r="I707" s="5">
        <f t="shared" ref="I707" si="594">E707+F707+G707+H707+D707</f>
        <v>3351.85</v>
      </c>
      <c r="J707" s="103">
        <v>12.67</v>
      </c>
      <c r="K707" s="5">
        <f t="shared" ref="K707:K758" si="595">I707+J707</f>
        <v>3364.52</v>
      </c>
      <c r="L707" s="5">
        <f t="shared" ref="L707" si="596">ROUND(K707*3%,2)</f>
        <v>100.94</v>
      </c>
      <c r="M707" s="15">
        <f t="shared" ref="M707:M758" si="597">K707+L707</f>
        <v>3465.46</v>
      </c>
      <c r="N707" s="15">
        <f t="shared" ref="N707" si="598">ROUND(M707*20%,2)</f>
        <v>693.09</v>
      </c>
      <c r="O707" s="100">
        <f t="shared" ref="O707:O758" si="599">M707+N707</f>
        <v>4158.55</v>
      </c>
      <c r="P707" s="75">
        <f>ROUND(O707/5/12,2)</f>
        <v>69.31</v>
      </c>
      <c r="Q707" s="90">
        <v>104</v>
      </c>
      <c r="R707" s="79">
        <f>ROUND(P707*3/Q707,2)</f>
        <v>2</v>
      </c>
      <c r="S707" s="80">
        <f>ROUND(451.2/Q707,2)</f>
        <v>4.34</v>
      </c>
    </row>
    <row r="708" spans="1:19" ht="15" customHeight="1" x14ac:dyDescent="0.25">
      <c r="A708" s="232">
        <v>548</v>
      </c>
      <c r="B708" s="226" t="s">
        <v>848</v>
      </c>
      <c r="C708" s="27" t="s">
        <v>49</v>
      </c>
      <c r="D708" s="175">
        <f>1962.25*2</f>
        <v>3924.5</v>
      </c>
      <c r="E708" s="195">
        <f>18.08*2</f>
        <v>36.159999999999997</v>
      </c>
      <c r="F708" s="195">
        <f>532.22*2</f>
        <v>1064.44</v>
      </c>
      <c r="G708" s="222">
        <f>117.09*2</f>
        <v>234.18</v>
      </c>
      <c r="H708" s="167">
        <f>175.99*2</f>
        <v>351.98</v>
      </c>
      <c r="I708" s="169">
        <f>E708+F708+G708+H708+D708</f>
        <v>5611.26</v>
      </c>
      <c r="J708" s="190">
        <f>11.41*2</f>
        <v>22.82</v>
      </c>
      <c r="K708" s="169">
        <f t="shared" si="595"/>
        <v>5634.08</v>
      </c>
      <c r="L708" s="169">
        <f>ROUND(K708*3%,2)</f>
        <v>169.02</v>
      </c>
      <c r="M708" s="173">
        <f t="shared" si="597"/>
        <v>5803.1</v>
      </c>
      <c r="N708" s="169">
        <f>ROUND(M708*20%,2)</f>
        <v>1160.6199999999999</v>
      </c>
      <c r="O708" s="185">
        <f t="shared" si="599"/>
        <v>6963.72</v>
      </c>
      <c r="P708" s="169">
        <f>ROUND(O708/5/12,2)</f>
        <v>116.06</v>
      </c>
      <c r="Q708" s="266">
        <v>160</v>
      </c>
      <c r="R708" s="182">
        <f t="shared" ref="R708:R718" si="600">ROUND(P708*3/Q708,2)</f>
        <v>2.1800000000000002</v>
      </c>
      <c r="S708" s="259">
        <f>ROUND((441.63+469.47)/Q708,2)</f>
        <v>5.69</v>
      </c>
    </row>
    <row r="709" spans="1:19" ht="15" customHeight="1" x14ac:dyDescent="0.25">
      <c r="A709" s="232"/>
      <c r="B709" s="228"/>
      <c r="C709" s="30" t="s">
        <v>538</v>
      </c>
      <c r="D709" s="177"/>
      <c r="E709" s="197"/>
      <c r="F709" s="197"/>
      <c r="G709" s="230"/>
      <c r="H709" s="168"/>
      <c r="I709" s="170"/>
      <c r="J709" s="199"/>
      <c r="K709" s="170"/>
      <c r="L709" s="170"/>
      <c r="M709" s="174"/>
      <c r="N709" s="170"/>
      <c r="O709" s="186"/>
      <c r="P709" s="170"/>
      <c r="Q709" s="267"/>
      <c r="R709" s="183"/>
      <c r="S709" s="259"/>
    </row>
    <row r="710" spans="1:19" ht="15.75" x14ac:dyDescent="0.25">
      <c r="A710" s="87">
        <v>549</v>
      </c>
      <c r="B710" s="88" t="s">
        <v>539</v>
      </c>
      <c r="C710" s="43" t="s">
        <v>100</v>
      </c>
      <c r="D710" s="103">
        <v>2210.63</v>
      </c>
      <c r="E710" s="103">
        <v>18.079999999999998</v>
      </c>
      <c r="F710" s="103">
        <v>532.22</v>
      </c>
      <c r="G710" s="103">
        <v>117.09</v>
      </c>
      <c r="H710" s="11">
        <v>175.99</v>
      </c>
      <c r="I710" s="5">
        <f>E710+F710+G710+H710+D710</f>
        <v>3054.01</v>
      </c>
      <c r="J710" s="103">
        <v>11.41</v>
      </c>
      <c r="K710" s="5">
        <f>I710+J710</f>
        <v>3065.42</v>
      </c>
      <c r="L710" s="5">
        <f>ROUND(K710*3%,2)</f>
        <v>91.96</v>
      </c>
      <c r="M710" s="15">
        <f>K710+L710</f>
        <v>3157.38</v>
      </c>
      <c r="N710" s="15">
        <f>ROUND(M710*20%,2)</f>
        <v>631.48</v>
      </c>
      <c r="O710" s="100">
        <f>M710+N710</f>
        <v>3788.86</v>
      </c>
      <c r="P710" s="75">
        <f t="shared" ref="P710:P723" si="601">ROUND(O710/5/12,2)</f>
        <v>63.15</v>
      </c>
      <c r="Q710" s="90">
        <v>107</v>
      </c>
      <c r="R710" s="79">
        <f t="shared" si="600"/>
        <v>1.77</v>
      </c>
      <c r="S710" s="80">
        <f t="shared" ref="S710:S711" si="602">ROUND(441.63/Q710,2)</f>
        <v>4.13</v>
      </c>
    </row>
    <row r="711" spans="1:19" ht="15.75" x14ac:dyDescent="0.25">
      <c r="A711" s="87">
        <v>550</v>
      </c>
      <c r="B711" s="88" t="s">
        <v>540</v>
      </c>
      <c r="C711" s="43" t="s">
        <v>419</v>
      </c>
      <c r="D711" s="103">
        <v>2210.63</v>
      </c>
      <c r="E711" s="103">
        <v>18.079999999999998</v>
      </c>
      <c r="F711" s="103">
        <v>532.22</v>
      </c>
      <c r="G711" s="103">
        <v>117.09</v>
      </c>
      <c r="H711" s="11">
        <v>175.99</v>
      </c>
      <c r="I711" s="5">
        <f>E711+F711+G711+H711+D711</f>
        <v>3054.01</v>
      </c>
      <c r="J711" s="103">
        <v>11.41</v>
      </c>
      <c r="K711" s="5">
        <f>I711+J711</f>
        <v>3065.42</v>
      </c>
      <c r="L711" s="5">
        <f>ROUND(K711*3%,2)</f>
        <v>91.96</v>
      </c>
      <c r="M711" s="15">
        <f>K711+L711</f>
        <v>3157.38</v>
      </c>
      <c r="N711" s="15">
        <f>ROUND(M711*20%,2)</f>
        <v>631.48</v>
      </c>
      <c r="O711" s="100">
        <f>M711+N711</f>
        <v>3788.86</v>
      </c>
      <c r="P711" s="75">
        <f t="shared" si="601"/>
        <v>63.15</v>
      </c>
      <c r="Q711" s="90">
        <v>119</v>
      </c>
      <c r="R711" s="79">
        <f t="shared" si="600"/>
        <v>1.59</v>
      </c>
      <c r="S711" s="80">
        <f t="shared" si="602"/>
        <v>3.71</v>
      </c>
    </row>
    <row r="712" spans="1:19" ht="15.75" x14ac:dyDescent="0.25">
      <c r="A712" s="87">
        <v>551</v>
      </c>
      <c r="B712" s="88" t="s">
        <v>541</v>
      </c>
      <c r="C712" s="43" t="s">
        <v>474</v>
      </c>
      <c r="D712" s="103">
        <v>2427.87</v>
      </c>
      <c r="E712" s="3">
        <v>21</v>
      </c>
      <c r="F712" s="3">
        <v>580.29999999999995</v>
      </c>
      <c r="G712" s="3">
        <v>127.67</v>
      </c>
      <c r="H712" s="11">
        <v>195.01</v>
      </c>
      <c r="I712" s="5">
        <f t="shared" ref="I712:I716" si="603">E712+F712+G712+H712+D712</f>
        <v>3351.85</v>
      </c>
      <c r="J712" s="103">
        <v>12.67</v>
      </c>
      <c r="K712" s="5">
        <f t="shared" ref="K712:K716" si="604">I712+J712</f>
        <v>3364.52</v>
      </c>
      <c r="L712" s="5">
        <f t="shared" ref="L712:L720" si="605">ROUND(K712*3%,2)</f>
        <v>100.94</v>
      </c>
      <c r="M712" s="15">
        <f t="shared" ref="M712:M716" si="606">K712+L712</f>
        <v>3465.46</v>
      </c>
      <c r="N712" s="15">
        <f t="shared" ref="N712:N720" si="607">ROUND(M712*20%,2)</f>
        <v>693.09</v>
      </c>
      <c r="O712" s="100">
        <f t="shared" ref="O712:O716" si="608">M712+N712</f>
        <v>4158.55</v>
      </c>
      <c r="P712" s="75">
        <f t="shared" si="601"/>
        <v>69.31</v>
      </c>
      <c r="Q712" s="90">
        <v>80</v>
      </c>
      <c r="R712" s="79">
        <f t="shared" si="600"/>
        <v>2.6</v>
      </c>
      <c r="S712" s="80">
        <f>ROUND(451.2/Q712,2)</f>
        <v>5.64</v>
      </c>
    </row>
    <row r="713" spans="1:19" ht="15.75" x14ac:dyDescent="0.25">
      <c r="A713" s="87">
        <v>552</v>
      </c>
      <c r="B713" s="88" t="s">
        <v>850</v>
      </c>
      <c r="C713" s="43" t="s">
        <v>542</v>
      </c>
      <c r="D713" s="103">
        <v>2427.87</v>
      </c>
      <c r="E713" s="3">
        <v>21</v>
      </c>
      <c r="F713" s="3">
        <v>580.29999999999995</v>
      </c>
      <c r="G713" s="3">
        <v>127.67</v>
      </c>
      <c r="H713" s="11">
        <v>195.01</v>
      </c>
      <c r="I713" s="5">
        <f t="shared" si="603"/>
        <v>3351.85</v>
      </c>
      <c r="J713" s="103">
        <v>12.67</v>
      </c>
      <c r="K713" s="5">
        <f t="shared" si="604"/>
        <v>3364.52</v>
      </c>
      <c r="L713" s="5">
        <f t="shared" si="605"/>
        <v>100.94</v>
      </c>
      <c r="M713" s="15">
        <f t="shared" si="606"/>
        <v>3465.46</v>
      </c>
      <c r="N713" s="15">
        <f t="shared" si="607"/>
        <v>693.09</v>
      </c>
      <c r="O713" s="100">
        <f t="shared" si="608"/>
        <v>4158.55</v>
      </c>
      <c r="P713" s="75">
        <f t="shared" si="601"/>
        <v>69.31</v>
      </c>
      <c r="Q713" s="90">
        <v>91</v>
      </c>
      <c r="R713" s="79">
        <f t="shared" si="600"/>
        <v>2.2799999999999998</v>
      </c>
      <c r="S713" s="80">
        <f>ROUND(451.2/Q713,2)</f>
        <v>4.96</v>
      </c>
    </row>
    <row r="714" spans="1:19" ht="15.75" x14ac:dyDescent="0.25">
      <c r="A714" s="87">
        <v>553</v>
      </c>
      <c r="B714" s="88" t="s">
        <v>849</v>
      </c>
      <c r="C714" s="43" t="s">
        <v>474</v>
      </c>
      <c r="D714" s="103">
        <v>2427.87</v>
      </c>
      <c r="E714" s="3">
        <v>21</v>
      </c>
      <c r="F714" s="3">
        <v>580.29999999999995</v>
      </c>
      <c r="G714" s="3">
        <v>127.67</v>
      </c>
      <c r="H714" s="11">
        <v>195.01</v>
      </c>
      <c r="I714" s="5">
        <f t="shared" si="603"/>
        <v>3351.85</v>
      </c>
      <c r="J714" s="103">
        <v>12.67</v>
      </c>
      <c r="K714" s="5">
        <f t="shared" si="604"/>
        <v>3364.52</v>
      </c>
      <c r="L714" s="5">
        <f t="shared" si="605"/>
        <v>100.94</v>
      </c>
      <c r="M714" s="15">
        <f t="shared" si="606"/>
        <v>3465.46</v>
      </c>
      <c r="N714" s="15">
        <f t="shared" si="607"/>
        <v>693.09</v>
      </c>
      <c r="O714" s="100">
        <f t="shared" si="608"/>
        <v>4158.55</v>
      </c>
      <c r="P714" s="75">
        <f t="shared" si="601"/>
        <v>69.31</v>
      </c>
      <c r="Q714" s="90">
        <v>150</v>
      </c>
      <c r="R714" s="79">
        <f t="shared" si="600"/>
        <v>1.39</v>
      </c>
      <c r="S714" s="80">
        <f>ROUND(451.2/Q714,2)</f>
        <v>3.01</v>
      </c>
    </row>
    <row r="715" spans="1:19" ht="15.75" x14ac:dyDescent="0.25">
      <c r="A715" s="87">
        <v>554</v>
      </c>
      <c r="B715" s="88" t="s">
        <v>543</v>
      </c>
      <c r="C715" s="43" t="s">
        <v>422</v>
      </c>
      <c r="D715" s="103">
        <v>1475.88</v>
      </c>
      <c r="E715" s="103">
        <v>18.079999999999998</v>
      </c>
      <c r="F715" s="103">
        <v>532.22</v>
      </c>
      <c r="G715" s="103">
        <v>117.09</v>
      </c>
      <c r="H715" s="11">
        <v>175.99</v>
      </c>
      <c r="I715" s="5">
        <f t="shared" si="603"/>
        <v>2319.2600000000002</v>
      </c>
      <c r="J715" s="103">
        <v>11.41</v>
      </c>
      <c r="K715" s="5">
        <f t="shared" si="604"/>
        <v>2330.67</v>
      </c>
      <c r="L715" s="5">
        <f t="shared" si="605"/>
        <v>69.92</v>
      </c>
      <c r="M715" s="15">
        <f t="shared" si="606"/>
        <v>2400.59</v>
      </c>
      <c r="N715" s="15">
        <f t="shared" si="607"/>
        <v>480.12</v>
      </c>
      <c r="O715" s="100">
        <f t="shared" si="608"/>
        <v>2880.71</v>
      </c>
      <c r="P715" s="75">
        <f t="shared" si="601"/>
        <v>48.01</v>
      </c>
      <c r="Q715" s="90">
        <v>15</v>
      </c>
      <c r="R715" s="79">
        <f t="shared" si="600"/>
        <v>9.6</v>
      </c>
      <c r="S715" s="80">
        <f t="shared" ref="S715:S716" si="609">ROUND(441.63/Q715,2)</f>
        <v>29.44</v>
      </c>
    </row>
    <row r="716" spans="1:19" ht="15.75" x14ac:dyDescent="0.25">
      <c r="A716" s="87">
        <v>555</v>
      </c>
      <c r="B716" s="88" t="s">
        <v>544</v>
      </c>
      <c r="C716" s="43" t="s">
        <v>422</v>
      </c>
      <c r="D716" s="103">
        <v>1475.88</v>
      </c>
      <c r="E716" s="103">
        <v>18.079999999999998</v>
      </c>
      <c r="F716" s="103">
        <v>532.22</v>
      </c>
      <c r="G716" s="103">
        <v>117.09</v>
      </c>
      <c r="H716" s="11">
        <v>175.99</v>
      </c>
      <c r="I716" s="5">
        <f t="shared" si="603"/>
        <v>2319.2600000000002</v>
      </c>
      <c r="J716" s="103">
        <v>11.41</v>
      </c>
      <c r="K716" s="5">
        <f t="shared" si="604"/>
        <v>2330.67</v>
      </c>
      <c r="L716" s="5">
        <f t="shared" si="605"/>
        <v>69.92</v>
      </c>
      <c r="M716" s="15">
        <f t="shared" si="606"/>
        <v>2400.59</v>
      </c>
      <c r="N716" s="15">
        <f t="shared" si="607"/>
        <v>480.12</v>
      </c>
      <c r="O716" s="100">
        <f t="shared" si="608"/>
        <v>2880.71</v>
      </c>
      <c r="P716" s="75">
        <f t="shared" si="601"/>
        <v>48.01</v>
      </c>
      <c r="Q716" s="90">
        <v>12</v>
      </c>
      <c r="R716" s="79">
        <f t="shared" si="600"/>
        <v>12</v>
      </c>
      <c r="S716" s="80">
        <f t="shared" si="609"/>
        <v>36.799999999999997</v>
      </c>
    </row>
    <row r="717" spans="1:19" ht="15.75" x14ac:dyDescent="0.25">
      <c r="A717" s="87">
        <v>556</v>
      </c>
      <c r="B717" s="88" t="s">
        <v>545</v>
      </c>
      <c r="C717" s="43" t="s">
        <v>49</v>
      </c>
      <c r="D717" s="103">
        <v>1962.25</v>
      </c>
      <c r="E717" s="103">
        <v>18.079999999999998</v>
      </c>
      <c r="F717" s="103">
        <v>532.22</v>
      </c>
      <c r="G717" s="103">
        <v>117.09</v>
      </c>
      <c r="H717" s="11">
        <v>175.99</v>
      </c>
      <c r="I717" s="5">
        <f>E717+F717+G717+H717+D717</f>
        <v>2805.63</v>
      </c>
      <c r="J717" s="103">
        <v>11.41</v>
      </c>
      <c r="K717" s="5">
        <f t="shared" si="595"/>
        <v>2817.04</v>
      </c>
      <c r="L717" s="5">
        <f t="shared" si="605"/>
        <v>84.51</v>
      </c>
      <c r="M717" s="15">
        <f t="shared" si="597"/>
        <v>2901.55</v>
      </c>
      <c r="N717" s="15">
        <f t="shared" si="607"/>
        <v>580.30999999999995</v>
      </c>
      <c r="O717" s="100">
        <f t="shared" si="599"/>
        <v>3481.86</v>
      </c>
      <c r="P717" s="75">
        <f t="shared" si="601"/>
        <v>58.03</v>
      </c>
      <c r="Q717" s="90">
        <v>58</v>
      </c>
      <c r="R717" s="79">
        <f t="shared" si="600"/>
        <v>3</v>
      </c>
      <c r="S717" s="80">
        <f>ROUND(441.63/Q717,2)</f>
        <v>7.61</v>
      </c>
    </row>
    <row r="718" spans="1:19" ht="15.75" x14ac:dyDescent="0.25">
      <c r="A718" s="87">
        <v>557</v>
      </c>
      <c r="B718" s="88" t="s">
        <v>546</v>
      </c>
      <c r="C718" s="43" t="s">
        <v>419</v>
      </c>
      <c r="D718" s="103">
        <v>2210.63</v>
      </c>
      <c r="E718" s="103">
        <v>18.079999999999998</v>
      </c>
      <c r="F718" s="103">
        <v>532.22</v>
      </c>
      <c r="G718" s="103">
        <v>117.09</v>
      </c>
      <c r="H718" s="11">
        <v>175.99</v>
      </c>
      <c r="I718" s="5">
        <f>E718+F718+G718+H718+D718</f>
        <v>3054.01</v>
      </c>
      <c r="J718" s="103">
        <v>11.41</v>
      </c>
      <c r="K718" s="5">
        <f>I718+J718</f>
        <v>3065.42</v>
      </c>
      <c r="L718" s="5">
        <f>ROUND(K718*3%,2)</f>
        <v>91.96</v>
      </c>
      <c r="M718" s="15">
        <f>K718+L718</f>
        <v>3157.38</v>
      </c>
      <c r="N718" s="15">
        <f>ROUND(M718*20%,2)</f>
        <v>631.48</v>
      </c>
      <c r="O718" s="100">
        <f>M718+N718</f>
        <v>3788.86</v>
      </c>
      <c r="P718" s="75">
        <f t="shared" si="601"/>
        <v>63.15</v>
      </c>
      <c r="Q718" s="90">
        <v>60</v>
      </c>
      <c r="R718" s="79">
        <f t="shared" si="600"/>
        <v>3.16</v>
      </c>
      <c r="S718" s="80">
        <f t="shared" ref="S718:S719" si="610">ROUND(441.63/Q718,2)</f>
        <v>7.36</v>
      </c>
    </row>
    <row r="719" spans="1:19" ht="15.75" x14ac:dyDescent="0.25">
      <c r="A719" s="87">
        <v>558</v>
      </c>
      <c r="B719" s="88" t="s">
        <v>547</v>
      </c>
      <c r="C719" s="43" t="s">
        <v>422</v>
      </c>
      <c r="D719" s="103">
        <v>1475.88</v>
      </c>
      <c r="E719" s="103">
        <v>18.079999999999998</v>
      </c>
      <c r="F719" s="103">
        <v>532.22</v>
      </c>
      <c r="G719" s="103">
        <v>117.09</v>
      </c>
      <c r="H719" s="11">
        <v>175.99</v>
      </c>
      <c r="I719" s="5">
        <f t="shared" ref="I719:I724" si="611">E719+F719+G719+H719+D719</f>
        <v>2319.2600000000002</v>
      </c>
      <c r="J719" s="103">
        <v>11.41</v>
      </c>
      <c r="K719" s="5">
        <f t="shared" ref="K719" si="612">I719+J719</f>
        <v>2330.67</v>
      </c>
      <c r="L719" s="5">
        <f t="shared" ref="L719" si="613">ROUND(K719*3%,2)</f>
        <v>69.92</v>
      </c>
      <c r="M719" s="15">
        <f t="shared" ref="M719" si="614">K719+L719</f>
        <v>2400.59</v>
      </c>
      <c r="N719" s="15">
        <f t="shared" ref="N719" si="615">ROUND(M719*20%,2)</f>
        <v>480.12</v>
      </c>
      <c r="O719" s="100">
        <f t="shared" ref="O719" si="616">M719+N719</f>
        <v>2880.71</v>
      </c>
      <c r="P719" s="75">
        <f t="shared" si="601"/>
        <v>48.01</v>
      </c>
      <c r="Q719" s="90">
        <v>4</v>
      </c>
      <c r="R719" s="79">
        <f>ROUND(P719*3/Q719,2)</f>
        <v>36.01</v>
      </c>
      <c r="S719" s="80">
        <f t="shared" si="610"/>
        <v>110.41</v>
      </c>
    </row>
    <row r="720" spans="1:19" ht="15.75" x14ac:dyDescent="0.25">
      <c r="A720" s="87">
        <v>559</v>
      </c>
      <c r="B720" s="88" t="s">
        <v>548</v>
      </c>
      <c r="C720" s="43" t="s">
        <v>437</v>
      </c>
      <c r="D720" s="103">
        <v>2427.87</v>
      </c>
      <c r="E720" s="3">
        <v>21</v>
      </c>
      <c r="F720" s="3">
        <v>580.29999999999995</v>
      </c>
      <c r="G720" s="3">
        <v>127.67</v>
      </c>
      <c r="H720" s="11">
        <v>195.01</v>
      </c>
      <c r="I720" s="5">
        <f t="shared" si="611"/>
        <v>3351.85</v>
      </c>
      <c r="J720" s="103">
        <v>12.67</v>
      </c>
      <c r="K720" s="5">
        <f t="shared" si="595"/>
        <v>3364.52</v>
      </c>
      <c r="L720" s="5">
        <f t="shared" si="605"/>
        <v>100.94</v>
      </c>
      <c r="M720" s="15">
        <f t="shared" si="597"/>
        <v>3465.46</v>
      </c>
      <c r="N720" s="15">
        <f t="shared" si="607"/>
        <v>693.09</v>
      </c>
      <c r="O720" s="100">
        <f t="shared" si="599"/>
        <v>4158.55</v>
      </c>
      <c r="P720" s="75">
        <f t="shared" si="601"/>
        <v>69.31</v>
      </c>
      <c r="Q720" s="90">
        <v>70</v>
      </c>
      <c r="R720" s="79">
        <f>ROUND(P720*3/Q720,2)</f>
        <v>2.97</v>
      </c>
      <c r="S720" s="80">
        <f>ROUND(451.2/Q720,2)</f>
        <v>6.45</v>
      </c>
    </row>
    <row r="721" spans="1:19" ht="15.75" x14ac:dyDescent="0.25">
      <c r="A721" s="87">
        <v>560</v>
      </c>
      <c r="B721" s="88" t="s">
        <v>549</v>
      </c>
      <c r="C721" s="43" t="s">
        <v>419</v>
      </c>
      <c r="D721" s="103">
        <v>2210.63</v>
      </c>
      <c r="E721" s="103">
        <v>18.079999999999998</v>
      </c>
      <c r="F721" s="103">
        <v>532.22</v>
      </c>
      <c r="G721" s="103">
        <v>117.09</v>
      </c>
      <c r="H721" s="11">
        <v>175.99</v>
      </c>
      <c r="I721" s="5">
        <f>E721+F721+G721+H721+D721</f>
        <v>3054.01</v>
      </c>
      <c r="J721" s="103">
        <v>11.41</v>
      </c>
      <c r="K721" s="5">
        <f>I721+J721</f>
        <v>3065.42</v>
      </c>
      <c r="L721" s="5">
        <f>ROUND(K721*3%,2)</f>
        <v>91.96</v>
      </c>
      <c r="M721" s="15">
        <f>K721+L721</f>
        <v>3157.38</v>
      </c>
      <c r="N721" s="15">
        <f>ROUND(M721*20%,2)</f>
        <v>631.48</v>
      </c>
      <c r="O721" s="100">
        <f>M721+N721</f>
        <v>3788.86</v>
      </c>
      <c r="P721" s="75">
        <f t="shared" si="601"/>
        <v>63.15</v>
      </c>
      <c r="Q721" s="90">
        <v>60</v>
      </c>
      <c r="R721" s="79">
        <f t="shared" ref="R721:R722" si="617">ROUND(P721*3/Q721,2)</f>
        <v>3.16</v>
      </c>
      <c r="S721" s="80">
        <f t="shared" ref="S721:S723" si="618">ROUND(441.63/Q721,2)</f>
        <v>7.36</v>
      </c>
    </row>
    <row r="722" spans="1:19" ht="15.75" x14ac:dyDescent="0.25">
      <c r="A722" s="87">
        <v>561</v>
      </c>
      <c r="B722" s="88" t="s">
        <v>550</v>
      </c>
      <c r="C722" s="43" t="s">
        <v>419</v>
      </c>
      <c r="D722" s="103">
        <v>2210.63</v>
      </c>
      <c r="E722" s="103">
        <v>18.079999999999998</v>
      </c>
      <c r="F722" s="103">
        <v>532.22</v>
      </c>
      <c r="G722" s="103">
        <v>117.09</v>
      </c>
      <c r="H722" s="11">
        <v>175.99</v>
      </c>
      <c r="I722" s="5">
        <f>E722+F722+G722+H722+D722</f>
        <v>3054.01</v>
      </c>
      <c r="J722" s="103">
        <v>11.41</v>
      </c>
      <c r="K722" s="5">
        <f>I722+J722</f>
        <v>3065.42</v>
      </c>
      <c r="L722" s="5">
        <f>ROUND(K722*3%,2)</f>
        <v>91.96</v>
      </c>
      <c r="M722" s="15">
        <f>K722+L722</f>
        <v>3157.38</v>
      </c>
      <c r="N722" s="15">
        <f>ROUND(M722*20%,2)</f>
        <v>631.48</v>
      </c>
      <c r="O722" s="100">
        <f>M722+N722</f>
        <v>3788.86</v>
      </c>
      <c r="P722" s="75">
        <f t="shared" si="601"/>
        <v>63.15</v>
      </c>
      <c r="Q722" s="90">
        <v>47</v>
      </c>
      <c r="R722" s="79">
        <f t="shared" si="617"/>
        <v>4.03</v>
      </c>
      <c r="S722" s="80">
        <f t="shared" si="618"/>
        <v>9.4</v>
      </c>
    </row>
    <row r="723" spans="1:19" ht="15.75" x14ac:dyDescent="0.25">
      <c r="A723" s="87">
        <v>562</v>
      </c>
      <c r="B723" s="88" t="s">
        <v>852</v>
      </c>
      <c r="C723" s="43" t="s">
        <v>100</v>
      </c>
      <c r="D723" s="103">
        <v>2210.63</v>
      </c>
      <c r="E723" s="103">
        <v>18.079999999999998</v>
      </c>
      <c r="F723" s="103">
        <v>532.22</v>
      </c>
      <c r="G723" s="103">
        <v>117.09</v>
      </c>
      <c r="H723" s="11">
        <v>175.99</v>
      </c>
      <c r="I723" s="5">
        <f>E723+F723+G723+H723+D723</f>
        <v>3054.01</v>
      </c>
      <c r="J723" s="103">
        <v>11.41</v>
      </c>
      <c r="K723" s="5">
        <f>I723+J723</f>
        <v>3065.42</v>
      </c>
      <c r="L723" s="5">
        <f>ROUND(K723*3%,2)</f>
        <v>91.96</v>
      </c>
      <c r="M723" s="15">
        <f>K723+L723</f>
        <v>3157.38</v>
      </c>
      <c r="N723" s="15">
        <f>ROUND(M723*20%,2)</f>
        <v>631.48</v>
      </c>
      <c r="O723" s="100">
        <f>M723+N723</f>
        <v>3788.86</v>
      </c>
      <c r="P723" s="75">
        <f t="shared" si="601"/>
        <v>63.15</v>
      </c>
      <c r="Q723" s="90">
        <v>75</v>
      </c>
      <c r="R723" s="79">
        <f>ROUND(P723*3/Q723,2)</f>
        <v>2.5299999999999998</v>
      </c>
      <c r="S723" s="80">
        <f t="shared" si="618"/>
        <v>5.89</v>
      </c>
    </row>
    <row r="724" spans="1:19" ht="15" customHeight="1" x14ac:dyDescent="0.25">
      <c r="A724" s="232">
        <v>563</v>
      </c>
      <c r="B724" s="226" t="s">
        <v>851</v>
      </c>
      <c r="C724" s="27" t="s">
        <v>422</v>
      </c>
      <c r="D724" s="175">
        <f>1475.88+2210.63</f>
        <v>3686.51</v>
      </c>
      <c r="E724" s="195">
        <f>18.08*2</f>
        <v>36.159999999999997</v>
      </c>
      <c r="F724" s="195">
        <f>532.22*2</f>
        <v>1064.44</v>
      </c>
      <c r="G724" s="222">
        <f>117.09*2</f>
        <v>234.18</v>
      </c>
      <c r="H724" s="167">
        <f>175.99*2</f>
        <v>351.98</v>
      </c>
      <c r="I724" s="169">
        <f t="shared" si="611"/>
        <v>5373.27</v>
      </c>
      <c r="J724" s="190">
        <f>11.41*2</f>
        <v>22.82</v>
      </c>
      <c r="K724" s="169">
        <f t="shared" si="595"/>
        <v>5396.09</v>
      </c>
      <c r="L724" s="169">
        <f>ROUND(K724*3%,2)</f>
        <v>161.88</v>
      </c>
      <c r="M724" s="173">
        <f t="shared" si="597"/>
        <v>5557.97</v>
      </c>
      <c r="N724" s="169">
        <f>ROUND(M724*20%,2)</f>
        <v>1111.5899999999999</v>
      </c>
      <c r="O724" s="185">
        <f t="shared" si="599"/>
        <v>6669.56</v>
      </c>
      <c r="P724" s="169">
        <f>ROUND(O724/5/12,2)</f>
        <v>111.16</v>
      </c>
      <c r="Q724" s="266">
        <v>97</v>
      </c>
      <c r="R724" s="182">
        <f t="shared" ref="R724" si="619">ROUND(P724*3/Q724,2)</f>
        <v>3.44</v>
      </c>
      <c r="S724" s="259">
        <f>ROUND(441.63*2/Q724,2)</f>
        <v>9.11</v>
      </c>
    </row>
    <row r="725" spans="1:19" ht="15" customHeight="1" x14ac:dyDescent="0.25">
      <c r="A725" s="232"/>
      <c r="B725" s="228"/>
      <c r="C725" s="30" t="s">
        <v>419</v>
      </c>
      <c r="D725" s="177"/>
      <c r="E725" s="197"/>
      <c r="F725" s="197"/>
      <c r="G725" s="230"/>
      <c r="H725" s="168"/>
      <c r="I725" s="170"/>
      <c r="J725" s="199"/>
      <c r="K725" s="170"/>
      <c r="L725" s="170"/>
      <c r="M725" s="174"/>
      <c r="N725" s="170"/>
      <c r="O725" s="186"/>
      <c r="P725" s="170"/>
      <c r="Q725" s="267"/>
      <c r="R725" s="183"/>
      <c r="S725" s="259"/>
    </row>
    <row r="726" spans="1:19" ht="19.5" customHeight="1" x14ac:dyDescent="0.25">
      <c r="A726" s="87">
        <v>564</v>
      </c>
      <c r="B726" s="88" t="s">
        <v>551</v>
      </c>
      <c r="C726" s="43" t="s">
        <v>474</v>
      </c>
      <c r="D726" s="103">
        <v>2427.87</v>
      </c>
      <c r="E726" s="3">
        <v>21</v>
      </c>
      <c r="F726" s="3">
        <v>580.29999999999995</v>
      </c>
      <c r="G726" s="3">
        <v>127.67</v>
      </c>
      <c r="H726" s="11">
        <v>195.01</v>
      </c>
      <c r="I726" s="5">
        <f t="shared" ref="I726:I728" si="620">E726+F726+G726+H726+D726</f>
        <v>3351.85</v>
      </c>
      <c r="J726" s="103">
        <v>12.67</v>
      </c>
      <c r="K726" s="5">
        <f t="shared" ref="K726:K728" si="621">I726+J726</f>
        <v>3364.52</v>
      </c>
      <c r="L726" s="5">
        <f t="shared" ref="L726:L727" si="622">ROUND(K726*3%,2)</f>
        <v>100.94</v>
      </c>
      <c r="M726" s="15">
        <f t="shared" ref="M726:M728" si="623">K726+L726</f>
        <v>3465.46</v>
      </c>
      <c r="N726" s="15">
        <f t="shared" ref="N726:N727" si="624">ROUND(M726*20%,2)</f>
        <v>693.09</v>
      </c>
      <c r="O726" s="100">
        <f t="shared" ref="O726:O728" si="625">M726+N726</f>
        <v>4158.55</v>
      </c>
      <c r="P726" s="75">
        <f>ROUND(O726/5/12,2)</f>
        <v>69.31</v>
      </c>
      <c r="Q726" s="90">
        <v>154</v>
      </c>
      <c r="R726" s="79">
        <f>ROUND(P726*3/Q726,2)</f>
        <v>1.35</v>
      </c>
      <c r="S726" s="80">
        <f>ROUND(451.2/Q726,2)</f>
        <v>2.93</v>
      </c>
    </row>
    <row r="727" spans="1:19" ht="19.5" customHeight="1" x14ac:dyDescent="0.25">
      <c r="A727" s="87">
        <v>565</v>
      </c>
      <c r="B727" s="88" t="s">
        <v>552</v>
      </c>
      <c r="C727" s="43" t="s">
        <v>499</v>
      </c>
      <c r="D727" s="103">
        <v>2427.87</v>
      </c>
      <c r="E727" s="3">
        <v>21</v>
      </c>
      <c r="F727" s="3">
        <v>580.29999999999995</v>
      </c>
      <c r="G727" s="3">
        <v>127.67</v>
      </c>
      <c r="H727" s="11">
        <v>195.01</v>
      </c>
      <c r="I727" s="5">
        <f t="shared" si="620"/>
        <v>3351.85</v>
      </c>
      <c r="J727" s="103">
        <v>12.67</v>
      </c>
      <c r="K727" s="5">
        <f t="shared" si="621"/>
        <v>3364.52</v>
      </c>
      <c r="L727" s="5">
        <f t="shared" si="622"/>
        <v>100.94</v>
      </c>
      <c r="M727" s="15">
        <f t="shared" si="623"/>
        <v>3465.46</v>
      </c>
      <c r="N727" s="15">
        <f t="shared" si="624"/>
        <v>693.09</v>
      </c>
      <c r="O727" s="100">
        <f t="shared" si="625"/>
        <v>4158.55</v>
      </c>
      <c r="P727" s="75">
        <f>ROUND(O727/5/12,2)</f>
        <v>69.31</v>
      </c>
      <c r="Q727" s="90">
        <v>109</v>
      </c>
      <c r="R727" s="79">
        <f>ROUND(P727*3/Q727,2)</f>
        <v>1.91</v>
      </c>
      <c r="S727" s="80">
        <f>ROUND(451.2/Q727,2)</f>
        <v>4.1399999999999997</v>
      </c>
    </row>
    <row r="728" spans="1:19" x14ac:dyDescent="0.25">
      <c r="A728" s="220">
        <v>566</v>
      </c>
      <c r="B728" s="226" t="s">
        <v>853</v>
      </c>
      <c r="C728" s="27" t="s">
        <v>422</v>
      </c>
      <c r="D728" s="175">
        <f>1475.88+2210.63</f>
        <v>3686.51</v>
      </c>
      <c r="E728" s="195">
        <f>18.08*2</f>
        <v>36.159999999999997</v>
      </c>
      <c r="F728" s="195">
        <f>532.22*2</f>
        <v>1064.44</v>
      </c>
      <c r="G728" s="222">
        <f>117.09*2</f>
        <v>234.18</v>
      </c>
      <c r="H728" s="167">
        <f>175.99*2</f>
        <v>351.98</v>
      </c>
      <c r="I728" s="169">
        <f t="shared" si="620"/>
        <v>5373.27</v>
      </c>
      <c r="J728" s="190">
        <f>11.41*2</f>
        <v>22.82</v>
      </c>
      <c r="K728" s="169">
        <f t="shared" si="621"/>
        <v>5396.09</v>
      </c>
      <c r="L728" s="169">
        <f>ROUND(K728*3%,2)</f>
        <v>161.88</v>
      </c>
      <c r="M728" s="173">
        <f t="shared" si="623"/>
        <v>5557.97</v>
      </c>
      <c r="N728" s="169">
        <f>ROUND(M728*20%,2)</f>
        <v>1111.5899999999999</v>
      </c>
      <c r="O728" s="185">
        <f t="shared" si="625"/>
        <v>6669.56</v>
      </c>
      <c r="P728" s="169">
        <f>ROUND(O728/5/12,2)</f>
        <v>111.16</v>
      </c>
      <c r="Q728" s="266">
        <f>36+36</f>
        <v>72</v>
      </c>
      <c r="R728" s="182">
        <f t="shared" ref="R728" si="626">ROUND(P728*3/Q728,2)</f>
        <v>4.63</v>
      </c>
      <c r="S728" s="259">
        <f>ROUND(441.63*2/Q728,2)</f>
        <v>12.27</v>
      </c>
    </row>
    <row r="729" spans="1:19" x14ac:dyDescent="0.25">
      <c r="A729" s="223"/>
      <c r="B729" s="228"/>
      <c r="C729" s="30" t="s">
        <v>100</v>
      </c>
      <c r="D729" s="177"/>
      <c r="E729" s="197"/>
      <c r="F729" s="197"/>
      <c r="G729" s="230"/>
      <c r="H729" s="168"/>
      <c r="I729" s="170"/>
      <c r="J729" s="199"/>
      <c r="K729" s="170"/>
      <c r="L729" s="170"/>
      <c r="M729" s="174"/>
      <c r="N729" s="170"/>
      <c r="O729" s="186"/>
      <c r="P729" s="170"/>
      <c r="Q729" s="267"/>
      <c r="R729" s="183"/>
      <c r="S729" s="259"/>
    </row>
    <row r="730" spans="1:19" ht="17.25" customHeight="1" x14ac:dyDescent="0.25">
      <c r="A730" s="87">
        <v>567</v>
      </c>
      <c r="B730" s="88" t="s">
        <v>553</v>
      </c>
      <c r="C730" s="43" t="s">
        <v>554</v>
      </c>
      <c r="D730" s="103">
        <v>2427.87</v>
      </c>
      <c r="E730" s="3">
        <v>21</v>
      </c>
      <c r="F730" s="3">
        <v>580.29999999999995</v>
      </c>
      <c r="G730" s="3">
        <v>127.67</v>
      </c>
      <c r="H730" s="11">
        <v>195.01</v>
      </c>
      <c r="I730" s="5">
        <f t="shared" ref="I730:I732" si="627">E730+F730+G730+H730+D730</f>
        <v>3351.85</v>
      </c>
      <c r="J730" s="103">
        <v>12.67</v>
      </c>
      <c r="K730" s="5">
        <f t="shared" ref="K730:K732" si="628">I730+J730</f>
        <v>3364.52</v>
      </c>
      <c r="L730" s="5">
        <f t="shared" ref="L730:L732" si="629">ROUND(K730*3%,2)</f>
        <v>100.94</v>
      </c>
      <c r="M730" s="15">
        <f t="shared" ref="M730:M732" si="630">K730+L730</f>
        <v>3465.46</v>
      </c>
      <c r="N730" s="15">
        <f t="shared" ref="N730:N732" si="631">ROUND(M730*20%,2)</f>
        <v>693.09</v>
      </c>
      <c r="O730" s="100">
        <f t="shared" ref="O730:O732" si="632">M730+N730</f>
        <v>4158.55</v>
      </c>
      <c r="P730" s="75">
        <f>ROUND(O730/5/12,2)</f>
        <v>69.31</v>
      </c>
      <c r="Q730" s="90">
        <v>101</v>
      </c>
      <c r="R730" s="79">
        <f>ROUND(P730*3/Q730,2)</f>
        <v>2.06</v>
      </c>
      <c r="S730" s="80">
        <f>ROUND(451.2/Q730,2)</f>
        <v>4.47</v>
      </c>
    </row>
    <row r="731" spans="1:19" ht="17.25" customHeight="1" x14ac:dyDescent="0.25">
      <c r="A731" s="87">
        <v>568</v>
      </c>
      <c r="B731" s="88" t="s">
        <v>555</v>
      </c>
      <c r="C731" s="43" t="s">
        <v>437</v>
      </c>
      <c r="D731" s="103">
        <v>2427.87</v>
      </c>
      <c r="E731" s="3">
        <v>21</v>
      </c>
      <c r="F731" s="3">
        <v>580.29999999999995</v>
      </c>
      <c r="G731" s="3">
        <v>127.67</v>
      </c>
      <c r="H731" s="11">
        <v>195.01</v>
      </c>
      <c r="I731" s="5">
        <f t="shared" si="627"/>
        <v>3351.85</v>
      </c>
      <c r="J731" s="103">
        <v>12.67</v>
      </c>
      <c r="K731" s="5">
        <f t="shared" si="628"/>
        <v>3364.52</v>
      </c>
      <c r="L731" s="5">
        <f t="shared" si="629"/>
        <v>100.94</v>
      </c>
      <c r="M731" s="15">
        <f t="shared" si="630"/>
        <v>3465.46</v>
      </c>
      <c r="N731" s="15">
        <f t="shared" si="631"/>
        <v>693.09</v>
      </c>
      <c r="O731" s="100">
        <f t="shared" si="632"/>
        <v>4158.55</v>
      </c>
      <c r="P731" s="75">
        <f>ROUND(O731/5/12,2)</f>
        <v>69.31</v>
      </c>
      <c r="Q731" s="90">
        <v>68</v>
      </c>
      <c r="R731" s="79">
        <f>ROUND(P731*3/Q731,2)</f>
        <v>3.06</v>
      </c>
      <c r="S731" s="80">
        <f>ROUND(451.2/Q731,2)</f>
        <v>6.64</v>
      </c>
    </row>
    <row r="732" spans="1:19" ht="17.25" customHeight="1" x14ac:dyDescent="0.25">
      <c r="A732" s="87">
        <v>569</v>
      </c>
      <c r="B732" s="88" t="s">
        <v>556</v>
      </c>
      <c r="C732" s="43" t="s">
        <v>557</v>
      </c>
      <c r="D732" s="103">
        <v>1475.88</v>
      </c>
      <c r="E732" s="103">
        <v>18.079999999999998</v>
      </c>
      <c r="F732" s="103">
        <v>532.22</v>
      </c>
      <c r="G732" s="103">
        <v>117.09</v>
      </c>
      <c r="H732" s="11">
        <v>175.99</v>
      </c>
      <c r="I732" s="5">
        <f t="shared" si="627"/>
        <v>2319.2600000000002</v>
      </c>
      <c r="J732" s="103">
        <v>11.41</v>
      </c>
      <c r="K732" s="5">
        <f t="shared" si="628"/>
        <v>2330.67</v>
      </c>
      <c r="L732" s="5">
        <f t="shared" si="629"/>
        <v>69.92</v>
      </c>
      <c r="M732" s="15">
        <f t="shared" si="630"/>
        <v>2400.59</v>
      </c>
      <c r="N732" s="15">
        <f t="shared" si="631"/>
        <v>480.12</v>
      </c>
      <c r="O732" s="100">
        <f t="shared" si="632"/>
        <v>2880.71</v>
      </c>
      <c r="P732" s="75">
        <f>ROUND(O732/5/12,2)</f>
        <v>48.01</v>
      </c>
      <c r="Q732" s="90">
        <v>23</v>
      </c>
      <c r="R732" s="79">
        <f>ROUND(P732*3/Q732,2)</f>
        <v>6.26</v>
      </c>
      <c r="S732" s="80">
        <f t="shared" ref="S732" si="633">ROUND(441.63/Q732,2)</f>
        <v>19.2</v>
      </c>
    </row>
    <row r="733" spans="1:19" ht="15.75" customHeight="1" x14ac:dyDescent="0.25">
      <c r="A733" s="220">
        <v>570</v>
      </c>
      <c r="B733" s="226" t="s">
        <v>854</v>
      </c>
      <c r="C733" s="27" t="s">
        <v>558</v>
      </c>
      <c r="D733" s="175">
        <f>2210.63+2427.87</f>
        <v>4638.5</v>
      </c>
      <c r="E733" s="195">
        <f>18.08+21</f>
        <v>39.08</v>
      </c>
      <c r="F733" s="195">
        <f>532.22+580.3</f>
        <v>1112.52</v>
      </c>
      <c r="G733" s="222">
        <f>117.09+127.67</f>
        <v>244.76</v>
      </c>
      <c r="H733" s="167">
        <f>175.99+195.01</f>
        <v>371</v>
      </c>
      <c r="I733" s="169">
        <f>E733+F733+G733+H733+D733</f>
        <v>6405.86</v>
      </c>
      <c r="J733" s="190">
        <f>11.41+12.67</f>
        <v>24.08</v>
      </c>
      <c r="K733" s="169">
        <f t="shared" si="595"/>
        <v>6429.94</v>
      </c>
      <c r="L733" s="169">
        <f>ROUND(K733*3%,2)</f>
        <v>192.9</v>
      </c>
      <c r="M733" s="173">
        <f t="shared" si="597"/>
        <v>6622.8399999999992</v>
      </c>
      <c r="N733" s="169">
        <f>ROUND(M733*20%,2)</f>
        <v>1324.57</v>
      </c>
      <c r="O733" s="185">
        <f t="shared" si="599"/>
        <v>7947.4099999999989</v>
      </c>
      <c r="P733" s="169">
        <f>ROUND(O733/5/12,2)</f>
        <v>132.46</v>
      </c>
      <c r="Q733" s="266">
        <v>199</v>
      </c>
      <c r="R733" s="182">
        <f t="shared" ref="R733" si="634">ROUND(P733*3/Q733,2)</f>
        <v>2</v>
      </c>
      <c r="S733" s="259">
        <f>ROUND((441.63+451.2)/Q733,2)</f>
        <v>4.49</v>
      </c>
    </row>
    <row r="734" spans="1:19" ht="15.75" customHeight="1" x14ac:dyDescent="0.25">
      <c r="A734" s="223"/>
      <c r="B734" s="228"/>
      <c r="C734" s="30" t="s">
        <v>100</v>
      </c>
      <c r="D734" s="177"/>
      <c r="E734" s="197"/>
      <c r="F734" s="197"/>
      <c r="G734" s="230"/>
      <c r="H734" s="168"/>
      <c r="I734" s="170"/>
      <c r="J734" s="199"/>
      <c r="K734" s="170"/>
      <c r="L734" s="170"/>
      <c r="M734" s="174"/>
      <c r="N734" s="170"/>
      <c r="O734" s="186"/>
      <c r="P734" s="170"/>
      <c r="Q734" s="267"/>
      <c r="R734" s="183"/>
      <c r="S734" s="259"/>
    </row>
    <row r="735" spans="1:19" ht="19.5" customHeight="1" x14ac:dyDescent="0.25">
      <c r="A735" s="87">
        <v>571</v>
      </c>
      <c r="B735" s="88" t="s">
        <v>874</v>
      </c>
      <c r="C735" s="43" t="s">
        <v>559</v>
      </c>
      <c r="D735" s="103">
        <v>2427.87</v>
      </c>
      <c r="E735" s="3">
        <v>21</v>
      </c>
      <c r="F735" s="3">
        <v>580.29999999999995</v>
      </c>
      <c r="G735" s="3">
        <v>127.67</v>
      </c>
      <c r="H735" s="11">
        <v>195.01</v>
      </c>
      <c r="I735" s="5">
        <f t="shared" ref="I735:I736" si="635">E735+F735+G735+H735+D735</f>
        <v>3351.85</v>
      </c>
      <c r="J735" s="103">
        <v>12.67</v>
      </c>
      <c r="K735" s="5">
        <f t="shared" ref="K735:K736" si="636">I735+J735</f>
        <v>3364.52</v>
      </c>
      <c r="L735" s="5">
        <f t="shared" ref="L735:L736" si="637">ROUND(K735*3%,2)</f>
        <v>100.94</v>
      </c>
      <c r="M735" s="15">
        <f t="shared" ref="M735:M736" si="638">K735+L735</f>
        <v>3465.46</v>
      </c>
      <c r="N735" s="15">
        <f t="shared" ref="N735:N736" si="639">ROUND(M735*20%,2)</f>
        <v>693.09</v>
      </c>
      <c r="O735" s="100">
        <f t="shared" ref="O735:O736" si="640">M735+N735</f>
        <v>4158.55</v>
      </c>
      <c r="P735" s="75">
        <f t="shared" ref="P735:P744" si="641">ROUND(O735/5/12,2)</f>
        <v>69.31</v>
      </c>
      <c r="Q735" s="90">
        <v>81</v>
      </c>
      <c r="R735" s="79">
        <f t="shared" ref="R735:R745" si="642">ROUND(P735*3/Q735,2)</f>
        <v>2.57</v>
      </c>
      <c r="S735" s="80">
        <f>ROUND(451.2/Q735,2)</f>
        <v>5.57</v>
      </c>
    </row>
    <row r="736" spans="1:19" ht="19.5" customHeight="1" x14ac:dyDescent="0.25">
      <c r="A736" s="87">
        <v>572</v>
      </c>
      <c r="B736" s="88" t="s">
        <v>873</v>
      </c>
      <c r="C736" s="43" t="s">
        <v>474</v>
      </c>
      <c r="D736" s="103">
        <v>2427.87</v>
      </c>
      <c r="E736" s="3">
        <v>21</v>
      </c>
      <c r="F736" s="3">
        <v>580.29999999999995</v>
      </c>
      <c r="G736" s="3">
        <v>127.67</v>
      </c>
      <c r="H736" s="11">
        <v>195.01</v>
      </c>
      <c r="I736" s="5">
        <f t="shared" si="635"/>
        <v>3351.85</v>
      </c>
      <c r="J736" s="103">
        <v>12.67</v>
      </c>
      <c r="K736" s="5">
        <f t="shared" si="636"/>
        <v>3364.52</v>
      </c>
      <c r="L736" s="5">
        <f t="shared" si="637"/>
        <v>100.94</v>
      </c>
      <c r="M736" s="15">
        <f t="shared" si="638"/>
        <v>3465.46</v>
      </c>
      <c r="N736" s="15">
        <f t="shared" si="639"/>
        <v>693.09</v>
      </c>
      <c r="O736" s="100">
        <f t="shared" si="640"/>
        <v>4158.55</v>
      </c>
      <c r="P736" s="75">
        <f t="shared" si="641"/>
        <v>69.31</v>
      </c>
      <c r="Q736" s="90">
        <v>108</v>
      </c>
      <c r="R736" s="79">
        <f t="shared" si="642"/>
        <v>1.93</v>
      </c>
      <c r="S736" s="80">
        <f>ROUND(451.2/Q736,2)</f>
        <v>4.18</v>
      </c>
    </row>
    <row r="737" spans="1:19" ht="25.5" x14ac:dyDescent="0.25">
      <c r="A737" s="87">
        <v>573</v>
      </c>
      <c r="B737" s="88" t="s">
        <v>560</v>
      </c>
      <c r="C737" s="43" t="s">
        <v>743</v>
      </c>
      <c r="D737" s="103">
        <v>2210.63</v>
      </c>
      <c r="E737" s="103">
        <v>18.079999999999998</v>
      </c>
      <c r="F737" s="103">
        <v>532.22</v>
      </c>
      <c r="G737" s="103">
        <v>117.09</v>
      </c>
      <c r="H737" s="11">
        <v>175.99</v>
      </c>
      <c r="I737" s="5">
        <f>E737+F737+G737+H737+D737</f>
        <v>3054.01</v>
      </c>
      <c r="J737" s="103">
        <v>11.41</v>
      </c>
      <c r="K737" s="5">
        <f>I737+J737</f>
        <v>3065.42</v>
      </c>
      <c r="L737" s="5">
        <f>ROUND(K737*3%,2)</f>
        <v>91.96</v>
      </c>
      <c r="M737" s="15">
        <f>K737+L737</f>
        <v>3157.38</v>
      </c>
      <c r="N737" s="15">
        <f>ROUND(M737*20%,2)</f>
        <v>631.48</v>
      </c>
      <c r="O737" s="100">
        <f>M737+N737</f>
        <v>3788.86</v>
      </c>
      <c r="P737" s="75">
        <f t="shared" si="641"/>
        <v>63.15</v>
      </c>
      <c r="Q737" s="90">
        <v>54</v>
      </c>
      <c r="R737" s="79">
        <f t="shared" si="642"/>
        <v>3.51</v>
      </c>
      <c r="S737" s="80">
        <f t="shared" ref="S737:S741" si="643">ROUND(441.63/Q737,2)</f>
        <v>8.18</v>
      </c>
    </row>
    <row r="738" spans="1:19" ht="18.75" customHeight="1" x14ac:dyDescent="0.25">
      <c r="A738" s="87">
        <v>574</v>
      </c>
      <c r="B738" s="88" t="s">
        <v>561</v>
      </c>
      <c r="C738" s="43" t="s">
        <v>100</v>
      </c>
      <c r="D738" s="103">
        <v>2210.63</v>
      </c>
      <c r="E738" s="103">
        <v>18.079999999999998</v>
      </c>
      <c r="F738" s="103">
        <v>532.22</v>
      </c>
      <c r="G738" s="103">
        <v>117.09</v>
      </c>
      <c r="H738" s="11">
        <v>175.99</v>
      </c>
      <c r="I738" s="5">
        <f>E738+F738+G738+H738+D738</f>
        <v>3054.01</v>
      </c>
      <c r="J738" s="103">
        <v>11.41</v>
      </c>
      <c r="K738" s="5">
        <f>I738+J738</f>
        <v>3065.42</v>
      </c>
      <c r="L738" s="5">
        <f>ROUND(K738*3%,2)</f>
        <v>91.96</v>
      </c>
      <c r="M738" s="15">
        <f>K738+L738</f>
        <v>3157.38</v>
      </c>
      <c r="N738" s="15">
        <f>ROUND(M738*20%,2)</f>
        <v>631.48</v>
      </c>
      <c r="O738" s="100">
        <f>M738+N738</f>
        <v>3788.86</v>
      </c>
      <c r="P738" s="75">
        <f t="shared" si="641"/>
        <v>63.15</v>
      </c>
      <c r="Q738" s="90">
        <v>39</v>
      </c>
      <c r="R738" s="79">
        <f t="shared" si="642"/>
        <v>4.8600000000000003</v>
      </c>
      <c r="S738" s="80">
        <f t="shared" si="643"/>
        <v>11.32</v>
      </c>
    </row>
    <row r="739" spans="1:19" ht="18.75" customHeight="1" x14ac:dyDescent="0.25">
      <c r="A739" s="87">
        <v>575</v>
      </c>
      <c r="B739" s="88" t="s">
        <v>562</v>
      </c>
      <c r="C739" s="43" t="s">
        <v>422</v>
      </c>
      <c r="D739" s="103">
        <v>1475.88</v>
      </c>
      <c r="E739" s="103">
        <v>18.079999999999998</v>
      </c>
      <c r="F739" s="103">
        <v>532.22</v>
      </c>
      <c r="G739" s="103">
        <v>117.09</v>
      </c>
      <c r="H739" s="11">
        <v>175.99</v>
      </c>
      <c r="I739" s="5">
        <f t="shared" ref="I739" si="644">E739+F739+G739+H739+D739</f>
        <v>2319.2600000000002</v>
      </c>
      <c r="J739" s="103">
        <v>11.41</v>
      </c>
      <c r="K739" s="5">
        <f t="shared" ref="K739" si="645">I739+J739</f>
        <v>2330.67</v>
      </c>
      <c r="L739" s="5">
        <f t="shared" ref="L739" si="646">ROUND(K739*3%,2)</f>
        <v>69.92</v>
      </c>
      <c r="M739" s="15">
        <f t="shared" ref="M739" si="647">K739+L739</f>
        <v>2400.59</v>
      </c>
      <c r="N739" s="15">
        <f t="shared" ref="N739" si="648">ROUND(M739*20%,2)</f>
        <v>480.12</v>
      </c>
      <c r="O739" s="100">
        <f t="shared" ref="O739" si="649">M739+N739</f>
        <v>2880.71</v>
      </c>
      <c r="P739" s="75">
        <f t="shared" si="641"/>
        <v>48.01</v>
      </c>
      <c r="Q739" s="90">
        <v>12</v>
      </c>
      <c r="R739" s="79">
        <f t="shared" si="642"/>
        <v>12</v>
      </c>
      <c r="S739" s="80">
        <f t="shared" si="643"/>
        <v>36.799999999999997</v>
      </c>
    </row>
    <row r="740" spans="1:19" ht="18.75" customHeight="1" x14ac:dyDescent="0.25">
      <c r="A740" s="87">
        <v>576</v>
      </c>
      <c r="B740" s="88" t="s">
        <v>563</v>
      </c>
      <c r="C740" s="43" t="s">
        <v>419</v>
      </c>
      <c r="D740" s="103">
        <v>2210.63</v>
      </c>
      <c r="E740" s="103">
        <v>18.079999999999998</v>
      </c>
      <c r="F740" s="103">
        <v>532.22</v>
      </c>
      <c r="G740" s="103">
        <v>117.09</v>
      </c>
      <c r="H740" s="11">
        <v>175.99</v>
      </c>
      <c r="I740" s="5">
        <f>E740+F740+G740+H740+D740</f>
        <v>3054.01</v>
      </c>
      <c r="J740" s="103">
        <v>11.41</v>
      </c>
      <c r="K740" s="5">
        <f>I740+J740</f>
        <v>3065.42</v>
      </c>
      <c r="L740" s="5">
        <f>ROUND(K740*3%,2)</f>
        <v>91.96</v>
      </c>
      <c r="M740" s="15">
        <f>K740+L740</f>
        <v>3157.38</v>
      </c>
      <c r="N740" s="15">
        <f>ROUND(M740*20%,2)</f>
        <v>631.48</v>
      </c>
      <c r="O740" s="100">
        <f>M740+N740</f>
        <v>3788.86</v>
      </c>
      <c r="P740" s="75">
        <f t="shared" si="641"/>
        <v>63.15</v>
      </c>
      <c r="Q740" s="90">
        <v>119</v>
      </c>
      <c r="R740" s="79">
        <f t="shared" si="642"/>
        <v>1.59</v>
      </c>
      <c r="S740" s="80">
        <f t="shared" si="643"/>
        <v>3.71</v>
      </c>
    </row>
    <row r="741" spans="1:19" ht="18.75" customHeight="1" x14ac:dyDescent="0.25">
      <c r="A741" s="87">
        <v>577</v>
      </c>
      <c r="B741" s="88" t="s">
        <v>564</v>
      </c>
      <c r="C741" s="43" t="s">
        <v>422</v>
      </c>
      <c r="D741" s="103">
        <v>1475.88</v>
      </c>
      <c r="E741" s="103">
        <v>18.079999999999998</v>
      </c>
      <c r="F741" s="103">
        <v>532.22</v>
      </c>
      <c r="G741" s="103">
        <v>117.09</v>
      </c>
      <c r="H741" s="11">
        <v>175.99</v>
      </c>
      <c r="I741" s="5">
        <f t="shared" ref="I741" si="650">E741+F741+G741+H741+D741</f>
        <v>2319.2600000000002</v>
      </c>
      <c r="J741" s="103">
        <v>11.41</v>
      </c>
      <c r="K741" s="5">
        <f t="shared" ref="K741" si="651">I741+J741</f>
        <v>2330.67</v>
      </c>
      <c r="L741" s="5">
        <f t="shared" ref="L741:L744" si="652">ROUND(K741*3%,2)</f>
        <v>69.92</v>
      </c>
      <c r="M741" s="15">
        <f t="shared" ref="M741" si="653">K741+L741</f>
        <v>2400.59</v>
      </c>
      <c r="N741" s="15">
        <f t="shared" ref="N741:N744" si="654">ROUND(M741*20%,2)</f>
        <v>480.12</v>
      </c>
      <c r="O741" s="100">
        <f t="shared" ref="O741" si="655">M741+N741</f>
        <v>2880.71</v>
      </c>
      <c r="P741" s="75">
        <f t="shared" si="641"/>
        <v>48.01</v>
      </c>
      <c r="Q741" s="90">
        <v>11</v>
      </c>
      <c r="R741" s="79">
        <f t="shared" si="642"/>
        <v>13.09</v>
      </c>
      <c r="S741" s="80">
        <f t="shared" si="643"/>
        <v>40.15</v>
      </c>
    </row>
    <row r="742" spans="1:19" ht="18.75" customHeight="1" x14ac:dyDescent="0.25">
      <c r="A742" s="87">
        <v>578</v>
      </c>
      <c r="B742" s="88" t="s">
        <v>565</v>
      </c>
      <c r="C742" s="43" t="s">
        <v>489</v>
      </c>
      <c r="D742" s="103">
        <v>1962.25</v>
      </c>
      <c r="E742" s="103">
        <v>18.079999999999998</v>
      </c>
      <c r="F742" s="103">
        <v>532.22</v>
      </c>
      <c r="G742" s="103">
        <v>117.09</v>
      </c>
      <c r="H742" s="11">
        <v>175.99</v>
      </c>
      <c r="I742" s="5">
        <f>E742+F742+G742+H742+D742</f>
        <v>2805.63</v>
      </c>
      <c r="J742" s="103">
        <v>11.41</v>
      </c>
      <c r="K742" s="5">
        <f t="shared" si="595"/>
        <v>2817.04</v>
      </c>
      <c r="L742" s="5">
        <f t="shared" si="652"/>
        <v>84.51</v>
      </c>
      <c r="M742" s="15">
        <f t="shared" si="597"/>
        <v>2901.55</v>
      </c>
      <c r="N742" s="15">
        <f t="shared" si="654"/>
        <v>580.30999999999995</v>
      </c>
      <c r="O742" s="100">
        <f t="shared" si="599"/>
        <v>3481.86</v>
      </c>
      <c r="P742" s="75">
        <f t="shared" si="641"/>
        <v>58.03</v>
      </c>
      <c r="Q742" s="90">
        <v>38</v>
      </c>
      <c r="R742" s="79">
        <f t="shared" si="642"/>
        <v>4.58</v>
      </c>
      <c r="S742" s="80">
        <f>ROUND(441.63/Q742,2)</f>
        <v>11.62</v>
      </c>
    </row>
    <row r="743" spans="1:19" ht="18.75" customHeight="1" x14ac:dyDescent="0.25">
      <c r="A743" s="87">
        <v>579</v>
      </c>
      <c r="B743" s="88" t="s">
        <v>566</v>
      </c>
      <c r="C743" s="43" t="s">
        <v>489</v>
      </c>
      <c r="D743" s="103">
        <v>1962.25</v>
      </c>
      <c r="E743" s="103">
        <v>18.079999999999998</v>
      </c>
      <c r="F743" s="103">
        <v>532.22</v>
      </c>
      <c r="G743" s="103">
        <v>117.09</v>
      </c>
      <c r="H743" s="11">
        <v>175.99</v>
      </c>
      <c r="I743" s="5">
        <f>E743+F743+G743+H743+D743</f>
        <v>2805.63</v>
      </c>
      <c r="J743" s="103">
        <v>11.41</v>
      </c>
      <c r="K743" s="5">
        <f t="shared" si="595"/>
        <v>2817.04</v>
      </c>
      <c r="L743" s="5">
        <f t="shared" si="652"/>
        <v>84.51</v>
      </c>
      <c r="M743" s="15">
        <f t="shared" si="597"/>
        <v>2901.55</v>
      </c>
      <c r="N743" s="15">
        <f t="shared" si="654"/>
        <v>580.30999999999995</v>
      </c>
      <c r="O743" s="100">
        <f t="shared" si="599"/>
        <v>3481.86</v>
      </c>
      <c r="P743" s="75">
        <f t="shared" si="641"/>
        <v>58.03</v>
      </c>
      <c r="Q743" s="90">
        <v>45</v>
      </c>
      <c r="R743" s="79">
        <f t="shared" si="642"/>
        <v>3.87</v>
      </c>
      <c r="S743" s="80">
        <f>ROUND(441.63/Q743,2)</f>
        <v>9.81</v>
      </c>
    </row>
    <row r="744" spans="1:19" ht="18.75" customHeight="1" x14ac:dyDescent="0.25">
      <c r="A744" s="87">
        <v>580</v>
      </c>
      <c r="B744" s="88" t="s">
        <v>567</v>
      </c>
      <c r="C744" s="43" t="s">
        <v>568</v>
      </c>
      <c r="D744" s="103">
        <v>1962.25</v>
      </c>
      <c r="E744" s="103">
        <v>18.079999999999998</v>
      </c>
      <c r="F744" s="103">
        <v>532.22</v>
      </c>
      <c r="G744" s="103">
        <v>117.09</v>
      </c>
      <c r="H744" s="11">
        <v>175.99</v>
      </c>
      <c r="I744" s="5">
        <f>E744+F744+G744+H744+D744</f>
        <v>2805.63</v>
      </c>
      <c r="J744" s="103">
        <v>11.41</v>
      </c>
      <c r="K744" s="5">
        <f t="shared" si="595"/>
        <v>2817.04</v>
      </c>
      <c r="L744" s="5">
        <f t="shared" si="652"/>
        <v>84.51</v>
      </c>
      <c r="M744" s="15">
        <f t="shared" si="597"/>
        <v>2901.55</v>
      </c>
      <c r="N744" s="15">
        <f t="shared" si="654"/>
        <v>580.30999999999995</v>
      </c>
      <c r="O744" s="100">
        <f t="shared" si="599"/>
        <v>3481.86</v>
      </c>
      <c r="P744" s="75">
        <f t="shared" si="641"/>
        <v>58.03</v>
      </c>
      <c r="Q744" s="90">
        <v>45</v>
      </c>
      <c r="R744" s="79">
        <f t="shared" si="642"/>
        <v>3.87</v>
      </c>
      <c r="S744" s="80">
        <f>ROUND(441.63/Q744,2)</f>
        <v>9.81</v>
      </c>
    </row>
    <row r="745" spans="1:19" ht="15.75" customHeight="1" x14ac:dyDescent="0.25">
      <c r="A745" s="232">
        <v>581</v>
      </c>
      <c r="B745" s="226" t="s">
        <v>855</v>
      </c>
      <c r="C745" s="27" t="s">
        <v>419</v>
      </c>
      <c r="D745" s="175">
        <f>1962.25+2210.63*2+2427.87</f>
        <v>8811.380000000001</v>
      </c>
      <c r="E745" s="195">
        <f>18.08*3+21</f>
        <v>75.239999999999995</v>
      </c>
      <c r="F745" s="195">
        <f>532.22*3+580.3</f>
        <v>2176.96</v>
      </c>
      <c r="G745" s="222">
        <f>117.09*3+127.67</f>
        <v>478.94</v>
      </c>
      <c r="H745" s="167">
        <f>175.99*3+195.01</f>
        <v>722.98</v>
      </c>
      <c r="I745" s="169">
        <f t="shared" ref="I745" si="656">E745+F745+G745+H745+D745</f>
        <v>12265.5</v>
      </c>
      <c r="J745" s="190">
        <f>11.41*3+12.67</f>
        <v>46.900000000000006</v>
      </c>
      <c r="K745" s="169">
        <f t="shared" si="595"/>
        <v>12312.4</v>
      </c>
      <c r="L745" s="169">
        <f>ROUND(K745*3%,2)</f>
        <v>369.37</v>
      </c>
      <c r="M745" s="173">
        <f t="shared" si="597"/>
        <v>12681.77</v>
      </c>
      <c r="N745" s="173">
        <f>ROUND(M745*20%,2)</f>
        <v>2536.35</v>
      </c>
      <c r="O745" s="178">
        <f t="shared" si="599"/>
        <v>15218.12</v>
      </c>
      <c r="P745" s="173">
        <f>ROUND(O745/5/12,2)</f>
        <v>253.64</v>
      </c>
      <c r="Q745" s="266">
        <v>299</v>
      </c>
      <c r="R745" s="182">
        <f t="shared" si="642"/>
        <v>2.54</v>
      </c>
      <c r="S745" s="259">
        <f>ROUND((441.63*3+451.2)/Q745,2)</f>
        <v>5.94</v>
      </c>
    </row>
    <row r="746" spans="1:19" ht="15.75" customHeight="1" x14ac:dyDescent="0.25">
      <c r="A746" s="232"/>
      <c r="B746" s="227"/>
      <c r="C746" s="29" t="s">
        <v>489</v>
      </c>
      <c r="D746" s="176"/>
      <c r="E746" s="196"/>
      <c r="F746" s="196"/>
      <c r="G746" s="229"/>
      <c r="H746" s="171"/>
      <c r="I746" s="172"/>
      <c r="J746" s="200"/>
      <c r="K746" s="172"/>
      <c r="L746" s="172"/>
      <c r="M746" s="191"/>
      <c r="N746" s="191"/>
      <c r="O746" s="187">
        <f t="shared" si="599"/>
        <v>0</v>
      </c>
      <c r="P746" s="191"/>
      <c r="Q746" s="268"/>
      <c r="R746" s="189"/>
      <c r="S746" s="259">
        <f t="shared" ref="S746:S748" si="657">443.34*1/55</f>
        <v>8.0607272727272719</v>
      </c>
    </row>
    <row r="747" spans="1:19" ht="15.75" customHeight="1" x14ac:dyDescent="0.25">
      <c r="A747" s="232"/>
      <c r="B747" s="227"/>
      <c r="C747" s="29" t="s">
        <v>419</v>
      </c>
      <c r="D747" s="176"/>
      <c r="E747" s="196"/>
      <c r="F747" s="196"/>
      <c r="G747" s="229"/>
      <c r="H747" s="171"/>
      <c r="I747" s="172"/>
      <c r="J747" s="200"/>
      <c r="K747" s="172"/>
      <c r="L747" s="172"/>
      <c r="M747" s="191"/>
      <c r="N747" s="191"/>
      <c r="O747" s="187">
        <f t="shared" si="599"/>
        <v>0</v>
      </c>
      <c r="P747" s="191"/>
      <c r="Q747" s="268"/>
      <c r="R747" s="189"/>
      <c r="S747" s="259">
        <f t="shared" si="657"/>
        <v>8.0607272727272719</v>
      </c>
    </row>
    <row r="748" spans="1:19" ht="15.75" customHeight="1" x14ac:dyDescent="0.25">
      <c r="A748" s="232"/>
      <c r="B748" s="228"/>
      <c r="C748" s="30" t="s">
        <v>437</v>
      </c>
      <c r="D748" s="177"/>
      <c r="E748" s="197"/>
      <c r="F748" s="197"/>
      <c r="G748" s="230"/>
      <c r="H748" s="168"/>
      <c r="I748" s="170"/>
      <c r="J748" s="199"/>
      <c r="K748" s="170"/>
      <c r="L748" s="170"/>
      <c r="M748" s="174"/>
      <c r="N748" s="174"/>
      <c r="O748" s="179">
        <f t="shared" si="599"/>
        <v>0</v>
      </c>
      <c r="P748" s="174"/>
      <c r="Q748" s="267"/>
      <c r="R748" s="183"/>
      <c r="S748" s="259">
        <f t="shared" si="657"/>
        <v>8.0607272727272719</v>
      </c>
    </row>
    <row r="749" spans="1:19" ht="15.75" x14ac:dyDescent="0.25">
      <c r="A749" s="87">
        <v>582</v>
      </c>
      <c r="B749" s="88" t="s">
        <v>569</v>
      </c>
      <c r="C749" s="43" t="s">
        <v>419</v>
      </c>
      <c r="D749" s="103">
        <v>2210.63</v>
      </c>
      <c r="E749" s="103">
        <v>18.079999999999998</v>
      </c>
      <c r="F749" s="103">
        <v>532.22</v>
      </c>
      <c r="G749" s="103">
        <v>117.09</v>
      </c>
      <c r="H749" s="11">
        <v>175.99</v>
      </c>
      <c r="I749" s="5">
        <f t="shared" ref="I749:I788" si="658">E749+F749+G749+H749+D749</f>
        <v>3054.01</v>
      </c>
      <c r="J749" s="103">
        <v>11.41</v>
      </c>
      <c r="K749" s="5">
        <f>I749+J749</f>
        <v>3065.42</v>
      </c>
      <c r="L749" s="5">
        <f>ROUND(K749*3%,2)</f>
        <v>91.96</v>
      </c>
      <c r="M749" s="15">
        <f>K749+L749</f>
        <v>3157.38</v>
      </c>
      <c r="N749" s="15">
        <f>ROUND(M749*20%,2)</f>
        <v>631.48</v>
      </c>
      <c r="O749" s="100">
        <f>M749+N749</f>
        <v>3788.86</v>
      </c>
      <c r="P749" s="75">
        <f t="shared" ref="P749:P787" si="659">ROUND(O749/5/12,2)</f>
        <v>63.15</v>
      </c>
      <c r="Q749" s="90">
        <v>60</v>
      </c>
      <c r="R749" s="79">
        <f t="shared" ref="R749:R788" si="660">ROUND(P749*3/Q749,2)</f>
        <v>3.16</v>
      </c>
      <c r="S749" s="80">
        <f>ROUND(441.63/Q749,2)</f>
        <v>7.36</v>
      </c>
    </row>
    <row r="750" spans="1:19" ht="15.75" x14ac:dyDescent="0.25">
      <c r="A750" s="87">
        <v>583</v>
      </c>
      <c r="B750" s="88" t="s">
        <v>570</v>
      </c>
      <c r="C750" s="43" t="s">
        <v>489</v>
      </c>
      <c r="D750" s="103">
        <v>1962.25</v>
      </c>
      <c r="E750" s="103">
        <v>18.079999999999998</v>
      </c>
      <c r="F750" s="103">
        <v>532.22</v>
      </c>
      <c r="G750" s="103">
        <v>117.09</v>
      </c>
      <c r="H750" s="11">
        <v>175.99</v>
      </c>
      <c r="I750" s="5">
        <f t="shared" si="658"/>
        <v>2805.63</v>
      </c>
      <c r="J750" s="103">
        <v>11.41</v>
      </c>
      <c r="K750" s="5">
        <f t="shared" ref="K750" si="661">I750+J750</f>
        <v>2817.04</v>
      </c>
      <c r="L750" s="5">
        <f t="shared" ref="L750" si="662">ROUND(K750*3%,2)</f>
        <v>84.51</v>
      </c>
      <c r="M750" s="15">
        <f t="shared" ref="M750" si="663">K750+L750</f>
        <v>2901.55</v>
      </c>
      <c r="N750" s="15">
        <f t="shared" ref="N750" si="664">ROUND(M750*20%,2)</f>
        <v>580.30999999999995</v>
      </c>
      <c r="O750" s="100">
        <f t="shared" si="599"/>
        <v>3481.86</v>
      </c>
      <c r="P750" s="75">
        <f t="shared" si="659"/>
        <v>58.03</v>
      </c>
      <c r="Q750" s="90">
        <v>36</v>
      </c>
      <c r="R750" s="79">
        <f t="shared" si="660"/>
        <v>4.84</v>
      </c>
      <c r="S750" s="80">
        <f>ROUND(441.63/Q750,2)</f>
        <v>12.27</v>
      </c>
    </row>
    <row r="751" spans="1:19" ht="15.75" x14ac:dyDescent="0.25">
      <c r="A751" s="87">
        <v>584</v>
      </c>
      <c r="B751" s="88" t="s">
        <v>571</v>
      </c>
      <c r="C751" s="43" t="s">
        <v>419</v>
      </c>
      <c r="D751" s="103">
        <v>2210.63</v>
      </c>
      <c r="E751" s="103">
        <v>18.079999999999998</v>
      </c>
      <c r="F751" s="103">
        <v>532.22</v>
      </c>
      <c r="G751" s="103">
        <v>117.09</v>
      </c>
      <c r="H751" s="11">
        <v>175.99</v>
      </c>
      <c r="I751" s="5">
        <f t="shared" si="658"/>
        <v>3054.01</v>
      </c>
      <c r="J751" s="103">
        <v>11.41</v>
      </c>
      <c r="K751" s="5">
        <f>I751+J751</f>
        <v>3065.42</v>
      </c>
      <c r="L751" s="5">
        <f>ROUND(K751*3%,2)</f>
        <v>91.96</v>
      </c>
      <c r="M751" s="15">
        <f>K751+L751</f>
        <v>3157.38</v>
      </c>
      <c r="N751" s="15">
        <f>ROUND(M751*20%,2)</f>
        <v>631.48</v>
      </c>
      <c r="O751" s="100">
        <f>M751+N751</f>
        <v>3788.86</v>
      </c>
      <c r="P751" s="75">
        <f t="shared" si="659"/>
        <v>63.15</v>
      </c>
      <c r="Q751" s="90">
        <v>107</v>
      </c>
      <c r="R751" s="79">
        <f t="shared" si="660"/>
        <v>1.77</v>
      </c>
      <c r="S751" s="80">
        <f t="shared" ref="S751" si="665">ROUND(441.63/Q751,2)</f>
        <v>4.13</v>
      </c>
    </row>
    <row r="752" spans="1:19" ht="15.75" x14ac:dyDescent="0.25">
      <c r="A752" s="87">
        <v>585</v>
      </c>
      <c r="B752" s="88" t="s">
        <v>572</v>
      </c>
      <c r="C752" s="43" t="s">
        <v>573</v>
      </c>
      <c r="D752" s="103">
        <v>2210.63</v>
      </c>
      <c r="E752" s="103">
        <v>18.079999999999998</v>
      </c>
      <c r="F752" s="103">
        <v>532.22</v>
      </c>
      <c r="G752" s="103">
        <v>117.09</v>
      </c>
      <c r="H752" s="11">
        <v>175.99</v>
      </c>
      <c r="I752" s="5">
        <f t="shared" si="658"/>
        <v>3054.01</v>
      </c>
      <c r="J752" s="103">
        <v>11.41</v>
      </c>
      <c r="K752" s="5">
        <f>I752+J752</f>
        <v>3065.42</v>
      </c>
      <c r="L752" s="5">
        <f>ROUND(K752*3%,2)</f>
        <v>91.96</v>
      </c>
      <c r="M752" s="15">
        <f>K752+L752</f>
        <v>3157.38</v>
      </c>
      <c r="N752" s="15">
        <f>ROUND(M752*20%,2)</f>
        <v>631.48</v>
      </c>
      <c r="O752" s="100">
        <f>M752+N752</f>
        <v>3788.86</v>
      </c>
      <c r="P752" s="75">
        <f t="shared" si="659"/>
        <v>63.15</v>
      </c>
      <c r="Q752" s="90">
        <v>110</v>
      </c>
      <c r="R752" s="79">
        <f t="shared" si="660"/>
        <v>1.72</v>
      </c>
      <c r="S752" s="80">
        <f>ROUND(441.63/Q752,2)</f>
        <v>4.01</v>
      </c>
    </row>
    <row r="753" spans="1:19" ht="15.75" x14ac:dyDescent="0.25">
      <c r="A753" s="87">
        <v>586</v>
      </c>
      <c r="B753" s="88" t="s">
        <v>574</v>
      </c>
      <c r="C753" s="43" t="s">
        <v>568</v>
      </c>
      <c r="D753" s="103">
        <v>1962.25</v>
      </c>
      <c r="E753" s="103">
        <v>18.079999999999998</v>
      </c>
      <c r="F753" s="103">
        <v>532.22</v>
      </c>
      <c r="G753" s="103">
        <v>117.09</v>
      </c>
      <c r="H753" s="11">
        <v>175.99</v>
      </c>
      <c r="I753" s="5">
        <f t="shared" si="658"/>
        <v>2805.63</v>
      </c>
      <c r="J753" s="103">
        <v>11.41</v>
      </c>
      <c r="K753" s="5">
        <f t="shared" si="595"/>
        <v>2817.04</v>
      </c>
      <c r="L753" s="5">
        <f t="shared" ref="L753:L787" si="666">ROUND(K753*3%,2)</f>
        <v>84.51</v>
      </c>
      <c r="M753" s="15">
        <f t="shared" si="597"/>
        <v>2901.55</v>
      </c>
      <c r="N753" s="15">
        <f t="shared" ref="N753:N787" si="667">ROUND(M753*20%,2)</f>
        <v>580.30999999999995</v>
      </c>
      <c r="O753" s="100">
        <f t="shared" si="599"/>
        <v>3481.86</v>
      </c>
      <c r="P753" s="75">
        <f t="shared" si="659"/>
        <v>58.03</v>
      </c>
      <c r="Q753" s="90">
        <v>13</v>
      </c>
      <c r="R753" s="79">
        <f t="shared" si="660"/>
        <v>13.39</v>
      </c>
      <c r="S753" s="80">
        <f>ROUND(441.63/Q753,2)</f>
        <v>33.97</v>
      </c>
    </row>
    <row r="754" spans="1:19" ht="15.75" x14ac:dyDescent="0.25">
      <c r="A754" s="87">
        <v>587</v>
      </c>
      <c r="B754" s="88" t="s">
        <v>575</v>
      </c>
      <c r="C754" s="43" t="s">
        <v>49</v>
      </c>
      <c r="D754" s="103">
        <v>1962.25</v>
      </c>
      <c r="E754" s="103">
        <v>18.079999999999998</v>
      </c>
      <c r="F754" s="103">
        <v>532.22</v>
      </c>
      <c r="G754" s="103">
        <v>117.09</v>
      </c>
      <c r="H754" s="11">
        <v>175.99</v>
      </c>
      <c r="I754" s="5">
        <f t="shared" si="658"/>
        <v>2805.63</v>
      </c>
      <c r="J754" s="103">
        <v>11.41</v>
      </c>
      <c r="K754" s="5">
        <f t="shared" si="595"/>
        <v>2817.04</v>
      </c>
      <c r="L754" s="5">
        <f t="shared" si="666"/>
        <v>84.51</v>
      </c>
      <c r="M754" s="15">
        <f t="shared" si="597"/>
        <v>2901.55</v>
      </c>
      <c r="N754" s="15">
        <f t="shared" si="667"/>
        <v>580.30999999999995</v>
      </c>
      <c r="O754" s="100">
        <f t="shared" si="599"/>
        <v>3481.86</v>
      </c>
      <c r="P754" s="75">
        <f t="shared" si="659"/>
        <v>58.03</v>
      </c>
      <c r="Q754" s="90">
        <v>40</v>
      </c>
      <c r="R754" s="79">
        <f t="shared" si="660"/>
        <v>4.3499999999999996</v>
      </c>
      <c r="S754" s="80">
        <f>ROUND(441.63/Q754,2)</f>
        <v>11.04</v>
      </c>
    </row>
    <row r="755" spans="1:19" ht="25.5" x14ac:dyDescent="0.25">
      <c r="A755" s="87">
        <v>588</v>
      </c>
      <c r="B755" s="88" t="s">
        <v>856</v>
      </c>
      <c r="C755" s="43" t="s">
        <v>744</v>
      </c>
      <c r="D755" s="10">
        <f>1962.25*2</f>
        <v>3924.5</v>
      </c>
      <c r="E755" s="2">
        <f>18.08*2</f>
        <v>36.159999999999997</v>
      </c>
      <c r="F755" s="2">
        <f>532.22*2</f>
        <v>1064.44</v>
      </c>
      <c r="G755" s="14">
        <f>117.09*2</f>
        <v>234.18</v>
      </c>
      <c r="H755" s="11">
        <f>175.99*2</f>
        <v>351.98</v>
      </c>
      <c r="I755" s="5">
        <f t="shared" si="658"/>
        <v>5611.26</v>
      </c>
      <c r="J755" s="103">
        <f>11.41*2</f>
        <v>22.82</v>
      </c>
      <c r="K755" s="5">
        <f t="shared" si="595"/>
        <v>5634.08</v>
      </c>
      <c r="L755" s="5">
        <f t="shared" si="666"/>
        <v>169.02</v>
      </c>
      <c r="M755" s="15">
        <f t="shared" si="597"/>
        <v>5803.1</v>
      </c>
      <c r="N755" s="5">
        <f t="shared" si="667"/>
        <v>1160.6199999999999</v>
      </c>
      <c r="O755" s="54">
        <f t="shared" si="599"/>
        <v>6963.72</v>
      </c>
      <c r="P755" s="5">
        <f t="shared" si="659"/>
        <v>116.06</v>
      </c>
      <c r="Q755" s="90">
        <v>72</v>
      </c>
      <c r="R755" s="79">
        <f t="shared" si="660"/>
        <v>4.84</v>
      </c>
      <c r="S755" s="80">
        <f>ROUND(441.63*2/Q755,2)</f>
        <v>12.27</v>
      </c>
    </row>
    <row r="756" spans="1:19" ht="15.75" x14ac:dyDescent="0.25">
      <c r="A756" s="87">
        <v>589</v>
      </c>
      <c r="B756" s="88" t="s">
        <v>576</v>
      </c>
      <c r="C756" s="43" t="s">
        <v>474</v>
      </c>
      <c r="D756" s="103">
        <v>2427.87</v>
      </c>
      <c r="E756" s="3">
        <v>21</v>
      </c>
      <c r="F756" s="3">
        <v>580.29999999999995</v>
      </c>
      <c r="G756" s="3">
        <v>127.67</v>
      </c>
      <c r="H756" s="11">
        <v>195.01</v>
      </c>
      <c r="I756" s="5">
        <f t="shared" si="658"/>
        <v>3351.85</v>
      </c>
      <c r="J756" s="103">
        <v>12.67</v>
      </c>
      <c r="K756" s="5">
        <f t="shared" si="595"/>
        <v>3364.52</v>
      </c>
      <c r="L756" s="5">
        <f t="shared" si="666"/>
        <v>100.94</v>
      </c>
      <c r="M756" s="15">
        <f t="shared" si="597"/>
        <v>3465.46</v>
      </c>
      <c r="N756" s="15">
        <f t="shared" si="667"/>
        <v>693.09</v>
      </c>
      <c r="O756" s="100">
        <f t="shared" si="599"/>
        <v>4158.55</v>
      </c>
      <c r="P756" s="75">
        <f t="shared" si="659"/>
        <v>69.31</v>
      </c>
      <c r="Q756" s="90">
        <v>134</v>
      </c>
      <c r="R756" s="79">
        <f t="shared" si="660"/>
        <v>1.55</v>
      </c>
      <c r="S756" s="80">
        <f>ROUND(451.2/Q756,2)</f>
        <v>3.37</v>
      </c>
    </row>
    <row r="757" spans="1:19" ht="15.75" x14ac:dyDescent="0.25">
      <c r="A757" s="87">
        <v>590</v>
      </c>
      <c r="B757" s="88" t="s">
        <v>577</v>
      </c>
      <c r="C757" s="43" t="s">
        <v>474</v>
      </c>
      <c r="D757" s="103">
        <v>2427.87</v>
      </c>
      <c r="E757" s="3">
        <v>21</v>
      </c>
      <c r="F757" s="3">
        <v>580.29999999999995</v>
      </c>
      <c r="G757" s="3">
        <v>127.67</v>
      </c>
      <c r="H757" s="11">
        <v>195.01</v>
      </c>
      <c r="I757" s="5">
        <f t="shared" si="658"/>
        <v>3351.85</v>
      </c>
      <c r="J757" s="103">
        <v>12.67</v>
      </c>
      <c r="K757" s="5">
        <f t="shared" si="595"/>
        <v>3364.52</v>
      </c>
      <c r="L757" s="5">
        <f t="shared" si="666"/>
        <v>100.94</v>
      </c>
      <c r="M757" s="15">
        <f t="shared" si="597"/>
        <v>3465.46</v>
      </c>
      <c r="N757" s="15">
        <f t="shared" si="667"/>
        <v>693.09</v>
      </c>
      <c r="O757" s="100">
        <f t="shared" si="599"/>
        <v>4158.55</v>
      </c>
      <c r="P757" s="75">
        <f t="shared" si="659"/>
        <v>69.31</v>
      </c>
      <c r="Q757" s="90">
        <v>115</v>
      </c>
      <c r="R757" s="79">
        <f t="shared" si="660"/>
        <v>1.81</v>
      </c>
      <c r="S757" s="80">
        <f>ROUND(451.2/Q757,2)</f>
        <v>3.92</v>
      </c>
    </row>
    <row r="758" spans="1:19" ht="15.75" x14ac:dyDescent="0.25">
      <c r="A758" s="87">
        <v>591</v>
      </c>
      <c r="B758" s="88" t="s">
        <v>578</v>
      </c>
      <c r="C758" s="43" t="s">
        <v>489</v>
      </c>
      <c r="D758" s="103">
        <v>1962.25</v>
      </c>
      <c r="E758" s="103">
        <v>18.079999999999998</v>
      </c>
      <c r="F758" s="103">
        <v>532.22</v>
      </c>
      <c r="G758" s="103">
        <v>117.09</v>
      </c>
      <c r="H758" s="11">
        <v>175.99</v>
      </c>
      <c r="I758" s="5">
        <f>E758+F758+G758+H758+D758</f>
        <v>2805.63</v>
      </c>
      <c r="J758" s="103">
        <v>11.41</v>
      </c>
      <c r="K758" s="5">
        <f t="shared" si="595"/>
        <v>2817.04</v>
      </c>
      <c r="L758" s="5">
        <f t="shared" si="666"/>
        <v>84.51</v>
      </c>
      <c r="M758" s="15">
        <f t="shared" si="597"/>
        <v>2901.55</v>
      </c>
      <c r="N758" s="15">
        <f t="shared" si="667"/>
        <v>580.30999999999995</v>
      </c>
      <c r="O758" s="100">
        <f t="shared" si="599"/>
        <v>3481.86</v>
      </c>
      <c r="P758" s="75">
        <f t="shared" si="659"/>
        <v>58.03</v>
      </c>
      <c r="Q758" s="90">
        <v>30</v>
      </c>
      <c r="R758" s="79">
        <f t="shared" si="660"/>
        <v>5.8</v>
      </c>
      <c r="S758" s="80">
        <f>ROUND(441.63/Q758,2)</f>
        <v>14.72</v>
      </c>
    </row>
    <row r="759" spans="1:19" ht="15.75" x14ac:dyDescent="0.25">
      <c r="A759" s="87">
        <v>592</v>
      </c>
      <c r="B759" s="88" t="s">
        <v>579</v>
      </c>
      <c r="C759" s="43" t="s">
        <v>100</v>
      </c>
      <c r="D759" s="103">
        <v>2210.63</v>
      </c>
      <c r="E759" s="103">
        <v>18.079999999999998</v>
      </c>
      <c r="F759" s="103">
        <v>532.22</v>
      </c>
      <c r="G759" s="103">
        <v>117.09</v>
      </c>
      <c r="H759" s="11">
        <v>175.99</v>
      </c>
      <c r="I759" s="5">
        <f>E759+F759+G759+H759+D759</f>
        <v>3054.01</v>
      </c>
      <c r="J759" s="103">
        <v>11.41</v>
      </c>
      <c r="K759" s="5">
        <f>I759+J759</f>
        <v>3065.42</v>
      </c>
      <c r="L759" s="5">
        <f>ROUND(K759*3%,2)</f>
        <v>91.96</v>
      </c>
      <c r="M759" s="15">
        <f>K759+L759</f>
        <v>3157.38</v>
      </c>
      <c r="N759" s="15">
        <f>ROUND(M759*20%,2)</f>
        <v>631.48</v>
      </c>
      <c r="O759" s="100">
        <f>M759+N759</f>
        <v>3788.86</v>
      </c>
      <c r="P759" s="75">
        <f t="shared" si="659"/>
        <v>63.15</v>
      </c>
      <c r="Q759" s="90">
        <v>57</v>
      </c>
      <c r="R759" s="79">
        <f t="shared" si="660"/>
        <v>3.32</v>
      </c>
      <c r="S759" s="80">
        <f t="shared" ref="S759:S767" si="668">ROUND(441.63/Q759,2)</f>
        <v>7.75</v>
      </c>
    </row>
    <row r="760" spans="1:19" ht="15.75" x14ac:dyDescent="0.25">
      <c r="A760" s="87">
        <v>593</v>
      </c>
      <c r="B760" s="88" t="s">
        <v>580</v>
      </c>
      <c r="C760" s="43" t="s">
        <v>100</v>
      </c>
      <c r="D760" s="103">
        <v>2210.63</v>
      </c>
      <c r="E760" s="103">
        <v>18.079999999999998</v>
      </c>
      <c r="F760" s="103">
        <v>532.22</v>
      </c>
      <c r="G760" s="103">
        <v>117.09</v>
      </c>
      <c r="H760" s="11">
        <v>175.99</v>
      </c>
      <c r="I760" s="5">
        <f>E760+F760+G760+H760+D760</f>
        <v>3054.01</v>
      </c>
      <c r="J760" s="103">
        <v>11.41</v>
      </c>
      <c r="K760" s="5">
        <f>I760+J760</f>
        <v>3065.42</v>
      </c>
      <c r="L760" s="5">
        <f>ROUND(K760*3%,2)</f>
        <v>91.96</v>
      </c>
      <c r="M760" s="15">
        <f>K760+L760</f>
        <v>3157.38</v>
      </c>
      <c r="N760" s="15">
        <f>ROUND(M760*20%,2)</f>
        <v>631.48</v>
      </c>
      <c r="O760" s="100">
        <f>M760+N760</f>
        <v>3788.86</v>
      </c>
      <c r="P760" s="75">
        <f t="shared" si="659"/>
        <v>63.15</v>
      </c>
      <c r="Q760" s="90">
        <v>72</v>
      </c>
      <c r="R760" s="79">
        <f t="shared" si="660"/>
        <v>2.63</v>
      </c>
      <c r="S760" s="80">
        <f t="shared" si="668"/>
        <v>6.13</v>
      </c>
    </row>
    <row r="761" spans="1:19" ht="18" customHeight="1" x14ac:dyDescent="0.25">
      <c r="A761" s="87">
        <v>594</v>
      </c>
      <c r="B761" s="88" t="s">
        <v>581</v>
      </c>
      <c r="C761" s="43" t="s">
        <v>100</v>
      </c>
      <c r="D761" s="103">
        <v>2210.63</v>
      </c>
      <c r="E761" s="103">
        <v>18.079999999999998</v>
      </c>
      <c r="F761" s="103">
        <v>532.22</v>
      </c>
      <c r="G761" s="103">
        <v>117.09</v>
      </c>
      <c r="H761" s="11">
        <v>175.99</v>
      </c>
      <c r="I761" s="5">
        <f>E761+F761+G761+H761+D761</f>
        <v>3054.01</v>
      </c>
      <c r="J761" s="103">
        <v>11.41</v>
      </c>
      <c r="K761" s="5">
        <f>I761+J761</f>
        <v>3065.42</v>
      </c>
      <c r="L761" s="5">
        <f>ROUND(K761*3%,2)</f>
        <v>91.96</v>
      </c>
      <c r="M761" s="15">
        <f>K761+L761</f>
        <v>3157.38</v>
      </c>
      <c r="N761" s="15">
        <f>ROUND(M761*20%,2)</f>
        <v>631.48</v>
      </c>
      <c r="O761" s="100">
        <f>M761+N761</f>
        <v>3788.86</v>
      </c>
      <c r="P761" s="75">
        <f t="shared" si="659"/>
        <v>63.15</v>
      </c>
      <c r="Q761" s="90">
        <v>48</v>
      </c>
      <c r="R761" s="79">
        <f t="shared" si="660"/>
        <v>3.95</v>
      </c>
      <c r="S761" s="80">
        <f t="shared" si="668"/>
        <v>9.1999999999999993</v>
      </c>
    </row>
    <row r="762" spans="1:19" ht="18" customHeight="1" x14ac:dyDescent="0.25">
      <c r="A762" s="87">
        <v>595</v>
      </c>
      <c r="B762" s="88" t="s">
        <v>582</v>
      </c>
      <c r="C762" s="43" t="s">
        <v>422</v>
      </c>
      <c r="D762" s="103">
        <v>1475.88</v>
      </c>
      <c r="E762" s="103">
        <v>18.079999999999998</v>
      </c>
      <c r="F762" s="103">
        <v>532.22</v>
      </c>
      <c r="G762" s="103">
        <v>117.09</v>
      </c>
      <c r="H762" s="11">
        <v>175.99</v>
      </c>
      <c r="I762" s="5">
        <f t="shared" ref="I762:I766" si="669">E762+F762+G762+H762+D762</f>
        <v>2319.2600000000002</v>
      </c>
      <c r="J762" s="103">
        <v>11.41</v>
      </c>
      <c r="K762" s="5">
        <f t="shared" ref="K762:K766" si="670">I762+J762</f>
        <v>2330.67</v>
      </c>
      <c r="L762" s="5">
        <f t="shared" ref="L762:L766" si="671">ROUND(K762*3%,2)</f>
        <v>69.92</v>
      </c>
      <c r="M762" s="15">
        <f t="shared" ref="M762:M766" si="672">K762+L762</f>
        <v>2400.59</v>
      </c>
      <c r="N762" s="15">
        <f t="shared" ref="N762:N766" si="673">ROUND(M762*20%,2)</f>
        <v>480.12</v>
      </c>
      <c r="O762" s="100">
        <f t="shared" ref="O762:O766" si="674">M762+N762</f>
        <v>2880.71</v>
      </c>
      <c r="P762" s="75">
        <f t="shared" si="659"/>
        <v>48.01</v>
      </c>
      <c r="Q762" s="90">
        <v>28</v>
      </c>
      <c r="R762" s="79">
        <f t="shared" si="660"/>
        <v>5.14</v>
      </c>
      <c r="S762" s="80">
        <f t="shared" si="668"/>
        <v>15.77</v>
      </c>
    </row>
    <row r="763" spans="1:19" ht="18" customHeight="1" x14ac:dyDescent="0.25">
      <c r="A763" s="87">
        <v>596</v>
      </c>
      <c r="B763" s="88" t="s">
        <v>583</v>
      </c>
      <c r="C763" s="43" t="s">
        <v>422</v>
      </c>
      <c r="D763" s="103">
        <v>1475.88</v>
      </c>
      <c r="E763" s="103">
        <v>18.079999999999998</v>
      </c>
      <c r="F763" s="103">
        <v>532.22</v>
      </c>
      <c r="G763" s="103">
        <v>117.09</v>
      </c>
      <c r="H763" s="11">
        <v>175.99</v>
      </c>
      <c r="I763" s="5">
        <f t="shared" si="669"/>
        <v>2319.2600000000002</v>
      </c>
      <c r="J763" s="103">
        <v>11.41</v>
      </c>
      <c r="K763" s="5">
        <f t="shared" si="670"/>
        <v>2330.67</v>
      </c>
      <c r="L763" s="5">
        <f t="shared" si="671"/>
        <v>69.92</v>
      </c>
      <c r="M763" s="15">
        <f t="shared" si="672"/>
        <v>2400.59</v>
      </c>
      <c r="N763" s="15">
        <f t="shared" si="673"/>
        <v>480.12</v>
      </c>
      <c r="O763" s="100">
        <f t="shared" si="674"/>
        <v>2880.71</v>
      </c>
      <c r="P763" s="75">
        <f t="shared" si="659"/>
        <v>48.01</v>
      </c>
      <c r="Q763" s="90">
        <v>25</v>
      </c>
      <c r="R763" s="79">
        <f t="shared" si="660"/>
        <v>5.76</v>
      </c>
      <c r="S763" s="80">
        <f t="shared" si="668"/>
        <v>17.670000000000002</v>
      </c>
    </row>
    <row r="764" spans="1:19" ht="18" customHeight="1" x14ac:dyDescent="0.25">
      <c r="A764" s="87">
        <v>597</v>
      </c>
      <c r="B764" s="88" t="s">
        <v>584</v>
      </c>
      <c r="C764" s="43" t="s">
        <v>485</v>
      </c>
      <c r="D764" s="103">
        <v>1475.88</v>
      </c>
      <c r="E764" s="103">
        <v>18.079999999999998</v>
      </c>
      <c r="F764" s="103">
        <v>532.22</v>
      </c>
      <c r="G764" s="103">
        <v>117.09</v>
      </c>
      <c r="H764" s="11">
        <v>175.99</v>
      </c>
      <c r="I764" s="5">
        <f t="shared" si="669"/>
        <v>2319.2600000000002</v>
      </c>
      <c r="J764" s="103">
        <v>11.41</v>
      </c>
      <c r="K764" s="5">
        <f t="shared" si="670"/>
        <v>2330.67</v>
      </c>
      <c r="L764" s="5">
        <f t="shared" si="671"/>
        <v>69.92</v>
      </c>
      <c r="M764" s="15">
        <f t="shared" si="672"/>
        <v>2400.59</v>
      </c>
      <c r="N764" s="15">
        <f t="shared" si="673"/>
        <v>480.12</v>
      </c>
      <c r="O764" s="100">
        <f t="shared" si="674"/>
        <v>2880.71</v>
      </c>
      <c r="P764" s="75">
        <f t="shared" si="659"/>
        <v>48.01</v>
      </c>
      <c r="Q764" s="90">
        <v>16</v>
      </c>
      <c r="R764" s="79">
        <f t="shared" si="660"/>
        <v>9</v>
      </c>
      <c r="S764" s="80">
        <f t="shared" si="668"/>
        <v>27.6</v>
      </c>
    </row>
    <row r="765" spans="1:19" ht="18" customHeight="1" x14ac:dyDescent="0.25">
      <c r="A765" s="87">
        <v>598</v>
      </c>
      <c r="B765" s="88" t="s">
        <v>585</v>
      </c>
      <c r="C765" s="43" t="s">
        <v>485</v>
      </c>
      <c r="D765" s="103">
        <v>1475.88</v>
      </c>
      <c r="E765" s="103">
        <v>18.079999999999998</v>
      </c>
      <c r="F765" s="103">
        <v>532.22</v>
      </c>
      <c r="G765" s="103">
        <v>117.09</v>
      </c>
      <c r="H765" s="11">
        <v>175.99</v>
      </c>
      <c r="I765" s="5">
        <f t="shared" si="669"/>
        <v>2319.2600000000002</v>
      </c>
      <c r="J765" s="103">
        <v>11.41</v>
      </c>
      <c r="K765" s="5">
        <f t="shared" si="670"/>
        <v>2330.67</v>
      </c>
      <c r="L765" s="5">
        <f t="shared" si="671"/>
        <v>69.92</v>
      </c>
      <c r="M765" s="15">
        <f t="shared" si="672"/>
        <v>2400.59</v>
      </c>
      <c r="N765" s="15">
        <f t="shared" si="673"/>
        <v>480.12</v>
      </c>
      <c r="O765" s="100">
        <f t="shared" si="674"/>
        <v>2880.71</v>
      </c>
      <c r="P765" s="75">
        <f t="shared" si="659"/>
        <v>48.01</v>
      </c>
      <c r="Q765" s="90">
        <v>8</v>
      </c>
      <c r="R765" s="79">
        <f t="shared" si="660"/>
        <v>18</v>
      </c>
      <c r="S765" s="80">
        <f t="shared" si="668"/>
        <v>55.2</v>
      </c>
    </row>
    <row r="766" spans="1:19" ht="18" customHeight="1" x14ac:dyDescent="0.25">
      <c r="A766" s="87">
        <v>599</v>
      </c>
      <c r="B766" s="88" t="s">
        <v>586</v>
      </c>
      <c r="C766" s="43" t="s">
        <v>422</v>
      </c>
      <c r="D766" s="103">
        <v>1475.88</v>
      </c>
      <c r="E766" s="103">
        <v>18.079999999999998</v>
      </c>
      <c r="F766" s="103">
        <v>532.22</v>
      </c>
      <c r="G766" s="103">
        <v>117.09</v>
      </c>
      <c r="H766" s="11">
        <v>175.99</v>
      </c>
      <c r="I766" s="5">
        <f t="shared" si="669"/>
        <v>2319.2600000000002</v>
      </c>
      <c r="J766" s="103">
        <v>11.41</v>
      </c>
      <c r="K766" s="5">
        <f t="shared" si="670"/>
        <v>2330.67</v>
      </c>
      <c r="L766" s="5">
        <f t="shared" si="671"/>
        <v>69.92</v>
      </c>
      <c r="M766" s="15">
        <f t="shared" si="672"/>
        <v>2400.59</v>
      </c>
      <c r="N766" s="15">
        <f t="shared" si="673"/>
        <v>480.12</v>
      </c>
      <c r="O766" s="100">
        <f t="shared" si="674"/>
        <v>2880.71</v>
      </c>
      <c r="P766" s="75">
        <f t="shared" si="659"/>
        <v>48.01</v>
      </c>
      <c r="Q766" s="90">
        <v>7</v>
      </c>
      <c r="R766" s="79">
        <f t="shared" si="660"/>
        <v>20.58</v>
      </c>
      <c r="S766" s="80">
        <f t="shared" si="668"/>
        <v>63.09</v>
      </c>
    </row>
    <row r="767" spans="1:19" ht="18" customHeight="1" x14ac:dyDescent="0.25">
      <c r="A767" s="87">
        <v>600</v>
      </c>
      <c r="B767" s="88" t="s">
        <v>857</v>
      </c>
      <c r="C767" s="43" t="s">
        <v>419</v>
      </c>
      <c r="D767" s="103">
        <v>2210.63</v>
      </c>
      <c r="E767" s="103">
        <v>18.079999999999998</v>
      </c>
      <c r="F767" s="103">
        <v>532.22</v>
      </c>
      <c r="G767" s="103">
        <v>117.09</v>
      </c>
      <c r="H767" s="11">
        <v>175.99</v>
      </c>
      <c r="I767" s="5">
        <f>E767+F767+G767+H767+D767</f>
        <v>3054.01</v>
      </c>
      <c r="J767" s="103">
        <v>11.41</v>
      </c>
      <c r="K767" s="5">
        <f>I767+J767</f>
        <v>3065.42</v>
      </c>
      <c r="L767" s="5">
        <f>ROUND(K767*3%,2)</f>
        <v>91.96</v>
      </c>
      <c r="M767" s="15">
        <f>K767+L767</f>
        <v>3157.38</v>
      </c>
      <c r="N767" s="15">
        <f>ROUND(M767*20%,2)</f>
        <v>631.48</v>
      </c>
      <c r="O767" s="100">
        <f>M767+N767</f>
        <v>3788.86</v>
      </c>
      <c r="P767" s="75">
        <f t="shared" si="659"/>
        <v>63.15</v>
      </c>
      <c r="Q767" s="90">
        <v>46</v>
      </c>
      <c r="R767" s="79">
        <f t="shared" si="660"/>
        <v>4.12</v>
      </c>
      <c r="S767" s="80">
        <f t="shared" si="668"/>
        <v>9.6</v>
      </c>
    </row>
    <row r="768" spans="1:19" ht="18" customHeight="1" x14ac:dyDescent="0.25">
      <c r="A768" s="87">
        <v>601</v>
      </c>
      <c r="B768" s="88" t="s">
        <v>587</v>
      </c>
      <c r="C768" s="43" t="s">
        <v>100</v>
      </c>
      <c r="D768" s="103">
        <v>2210.63</v>
      </c>
      <c r="E768" s="103">
        <v>18.079999999999998</v>
      </c>
      <c r="F768" s="103">
        <v>532.22</v>
      </c>
      <c r="G768" s="103">
        <v>117.09</v>
      </c>
      <c r="H768" s="11">
        <v>175.99</v>
      </c>
      <c r="I768" s="5">
        <f>E768+F768+G768+H768+D768</f>
        <v>3054.01</v>
      </c>
      <c r="J768" s="103">
        <v>11.41</v>
      </c>
      <c r="K768" s="5">
        <f>I768+J768</f>
        <v>3065.42</v>
      </c>
      <c r="L768" s="5">
        <f>ROUND(K768*3%,2)</f>
        <v>91.96</v>
      </c>
      <c r="M768" s="15">
        <f>K768+L768</f>
        <v>3157.38</v>
      </c>
      <c r="N768" s="15">
        <f>ROUND(M768*20%,2)</f>
        <v>631.48</v>
      </c>
      <c r="O768" s="100">
        <f>M768+N768</f>
        <v>3788.86</v>
      </c>
      <c r="P768" s="75">
        <f t="shared" si="659"/>
        <v>63.15</v>
      </c>
      <c r="Q768" s="90">
        <v>39</v>
      </c>
      <c r="R768" s="79">
        <f t="shared" si="660"/>
        <v>4.8600000000000003</v>
      </c>
      <c r="S768" s="80">
        <f>ROUND(441.63/Q768,2)</f>
        <v>11.32</v>
      </c>
    </row>
    <row r="769" spans="1:19" ht="18" customHeight="1" x14ac:dyDescent="0.25">
      <c r="A769" s="87">
        <v>602</v>
      </c>
      <c r="B769" s="88" t="s">
        <v>588</v>
      </c>
      <c r="C769" s="43" t="s">
        <v>589</v>
      </c>
      <c r="D769" s="103">
        <v>2427.87</v>
      </c>
      <c r="E769" s="3">
        <v>21</v>
      </c>
      <c r="F769" s="3">
        <v>580.29999999999995</v>
      </c>
      <c r="G769" s="3">
        <v>127.67</v>
      </c>
      <c r="H769" s="11">
        <v>195.01</v>
      </c>
      <c r="I769" s="5">
        <f t="shared" ref="I769" si="675">E769+F769+G769+H769+D769</f>
        <v>3351.85</v>
      </c>
      <c r="J769" s="103">
        <v>12.67</v>
      </c>
      <c r="K769" s="5">
        <f t="shared" ref="K769:K832" si="676">I769+J769</f>
        <v>3364.52</v>
      </c>
      <c r="L769" s="5">
        <f t="shared" si="666"/>
        <v>100.94</v>
      </c>
      <c r="M769" s="15">
        <f t="shared" ref="M769:M832" si="677">K769+L769</f>
        <v>3465.46</v>
      </c>
      <c r="N769" s="15">
        <f t="shared" si="667"/>
        <v>693.09</v>
      </c>
      <c r="O769" s="100">
        <f t="shared" ref="O769:O832" si="678">M769+N769</f>
        <v>4158.55</v>
      </c>
      <c r="P769" s="75">
        <f t="shared" si="659"/>
        <v>69.31</v>
      </c>
      <c r="Q769" s="90">
        <v>94</v>
      </c>
      <c r="R769" s="79">
        <f t="shared" si="660"/>
        <v>2.21</v>
      </c>
      <c r="S769" s="80">
        <f>ROUND(451.2/Q769,2)</f>
        <v>4.8</v>
      </c>
    </row>
    <row r="770" spans="1:19" ht="18" customHeight="1" x14ac:dyDescent="0.25">
      <c r="A770" s="87">
        <v>603</v>
      </c>
      <c r="B770" s="88" t="s">
        <v>590</v>
      </c>
      <c r="C770" s="43" t="s">
        <v>591</v>
      </c>
      <c r="D770" s="103">
        <v>1962.25</v>
      </c>
      <c r="E770" s="103">
        <v>18.079999999999998</v>
      </c>
      <c r="F770" s="103">
        <v>532.22</v>
      </c>
      <c r="G770" s="103">
        <v>117.09</v>
      </c>
      <c r="H770" s="11">
        <v>175.99</v>
      </c>
      <c r="I770" s="5">
        <f>E770+F770+G770+H770+D770</f>
        <v>2805.63</v>
      </c>
      <c r="J770" s="103">
        <v>11.41</v>
      </c>
      <c r="K770" s="5">
        <f t="shared" si="676"/>
        <v>2817.04</v>
      </c>
      <c r="L770" s="5">
        <f t="shared" si="666"/>
        <v>84.51</v>
      </c>
      <c r="M770" s="15">
        <f t="shared" si="677"/>
        <v>2901.55</v>
      </c>
      <c r="N770" s="15">
        <f t="shared" si="667"/>
        <v>580.30999999999995</v>
      </c>
      <c r="O770" s="100">
        <f t="shared" si="678"/>
        <v>3481.86</v>
      </c>
      <c r="P770" s="75">
        <f t="shared" si="659"/>
        <v>58.03</v>
      </c>
      <c r="Q770" s="90">
        <v>48</v>
      </c>
      <c r="R770" s="79">
        <f t="shared" si="660"/>
        <v>3.63</v>
      </c>
      <c r="S770" s="80">
        <f>ROUND(441.63/Q770,2)</f>
        <v>9.1999999999999993</v>
      </c>
    </row>
    <row r="771" spans="1:19" ht="18" customHeight="1" x14ac:dyDescent="0.25">
      <c r="A771" s="87">
        <v>604</v>
      </c>
      <c r="B771" s="88" t="s">
        <v>592</v>
      </c>
      <c r="C771" s="43" t="s">
        <v>593</v>
      </c>
      <c r="D771" s="103">
        <v>1475.88</v>
      </c>
      <c r="E771" s="103">
        <v>18.079999999999998</v>
      </c>
      <c r="F771" s="103">
        <v>532.22</v>
      </c>
      <c r="G771" s="103">
        <v>117.09</v>
      </c>
      <c r="H771" s="11">
        <v>175.99</v>
      </c>
      <c r="I771" s="5">
        <f t="shared" ref="I771" si="679">E771+F771+G771+H771+D771</f>
        <v>2319.2600000000002</v>
      </c>
      <c r="J771" s="103">
        <v>11.41</v>
      </c>
      <c r="K771" s="5">
        <f t="shared" si="676"/>
        <v>2330.67</v>
      </c>
      <c r="L771" s="5">
        <f t="shared" si="666"/>
        <v>69.92</v>
      </c>
      <c r="M771" s="15">
        <f t="shared" si="677"/>
        <v>2400.59</v>
      </c>
      <c r="N771" s="15">
        <f t="shared" si="667"/>
        <v>480.12</v>
      </c>
      <c r="O771" s="100">
        <f t="shared" si="678"/>
        <v>2880.71</v>
      </c>
      <c r="P771" s="75">
        <f t="shared" si="659"/>
        <v>48.01</v>
      </c>
      <c r="Q771" s="90">
        <v>15</v>
      </c>
      <c r="R771" s="79">
        <f t="shared" si="660"/>
        <v>9.6</v>
      </c>
      <c r="S771" s="80">
        <f t="shared" ref="S771" si="680">ROUND(441.63/Q771,2)</f>
        <v>29.44</v>
      </c>
    </row>
    <row r="772" spans="1:19" ht="18" customHeight="1" x14ac:dyDescent="0.25">
      <c r="A772" s="87">
        <v>605</v>
      </c>
      <c r="B772" s="88" t="s">
        <v>594</v>
      </c>
      <c r="C772" s="43" t="s">
        <v>591</v>
      </c>
      <c r="D772" s="103">
        <v>1962.25</v>
      </c>
      <c r="E772" s="103">
        <v>18.079999999999998</v>
      </c>
      <c r="F772" s="103">
        <v>532.22</v>
      </c>
      <c r="G772" s="103">
        <v>117.09</v>
      </c>
      <c r="H772" s="11">
        <v>175.99</v>
      </c>
      <c r="I772" s="5">
        <f>E772+F772+G772+H772+D772</f>
        <v>2805.63</v>
      </c>
      <c r="J772" s="103">
        <v>11.41</v>
      </c>
      <c r="K772" s="5">
        <f t="shared" si="676"/>
        <v>2817.04</v>
      </c>
      <c r="L772" s="5">
        <f t="shared" si="666"/>
        <v>84.51</v>
      </c>
      <c r="M772" s="15">
        <f t="shared" si="677"/>
        <v>2901.55</v>
      </c>
      <c r="N772" s="15">
        <f t="shared" si="667"/>
        <v>580.30999999999995</v>
      </c>
      <c r="O772" s="100">
        <f t="shared" si="678"/>
        <v>3481.86</v>
      </c>
      <c r="P772" s="75">
        <f t="shared" si="659"/>
        <v>58.03</v>
      </c>
      <c r="Q772" s="90">
        <v>33</v>
      </c>
      <c r="R772" s="79">
        <f t="shared" si="660"/>
        <v>5.28</v>
      </c>
      <c r="S772" s="80">
        <f>ROUND(441.63/Q772,2)</f>
        <v>13.38</v>
      </c>
    </row>
    <row r="773" spans="1:19" ht="18" customHeight="1" x14ac:dyDescent="0.25">
      <c r="A773" s="87">
        <v>606</v>
      </c>
      <c r="B773" s="88" t="s">
        <v>595</v>
      </c>
      <c r="C773" s="43" t="s">
        <v>596</v>
      </c>
      <c r="D773" s="103">
        <v>2210.63</v>
      </c>
      <c r="E773" s="103">
        <v>18.079999999999998</v>
      </c>
      <c r="F773" s="103">
        <v>532.22</v>
      </c>
      <c r="G773" s="103">
        <v>117.09</v>
      </c>
      <c r="H773" s="11">
        <v>175.99</v>
      </c>
      <c r="I773" s="5">
        <f>E773+F773+G773+H773+D773</f>
        <v>3054.01</v>
      </c>
      <c r="J773" s="103">
        <v>11.41</v>
      </c>
      <c r="K773" s="5">
        <f>I773+J773</f>
        <v>3065.42</v>
      </c>
      <c r="L773" s="5">
        <f>ROUND(K773*3%,2)</f>
        <v>91.96</v>
      </c>
      <c r="M773" s="15">
        <f>K773+L773</f>
        <v>3157.38</v>
      </c>
      <c r="N773" s="15">
        <f>ROUND(M773*20%,2)</f>
        <v>631.48</v>
      </c>
      <c r="O773" s="100">
        <f>M773+N773</f>
        <v>3788.86</v>
      </c>
      <c r="P773" s="75">
        <f t="shared" si="659"/>
        <v>63.15</v>
      </c>
      <c r="Q773" s="90">
        <v>43</v>
      </c>
      <c r="R773" s="79">
        <f t="shared" si="660"/>
        <v>4.41</v>
      </c>
      <c r="S773" s="80">
        <f t="shared" ref="S773" si="681">ROUND(441.63/Q773,2)</f>
        <v>10.27</v>
      </c>
    </row>
    <row r="774" spans="1:19" ht="18" customHeight="1" x14ac:dyDescent="0.25">
      <c r="A774" s="87">
        <v>607</v>
      </c>
      <c r="B774" s="88" t="s">
        <v>597</v>
      </c>
      <c r="C774" s="43" t="s">
        <v>598</v>
      </c>
      <c r="D774" s="103">
        <v>2210.63</v>
      </c>
      <c r="E774" s="103">
        <v>18.079999999999998</v>
      </c>
      <c r="F774" s="103">
        <v>532.22</v>
      </c>
      <c r="G774" s="103">
        <v>117.09</v>
      </c>
      <c r="H774" s="11">
        <v>175.99</v>
      </c>
      <c r="I774" s="5">
        <f>E774+F774+G774+H774+D774</f>
        <v>3054.01</v>
      </c>
      <c r="J774" s="103">
        <v>11.41</v>
      </c>
      <c r="K774" s="5">
        <f>I774+J774</f>
        <v>3065.42</v>
      </c>
      <c r="L774" s="5">
        <f>ROUND(K774*3%,2)</f>
        <v>91.96</v>
      </c>
      <c r="M774" s="15">
        <f>K774+L774</f>
        <v>3157.38</v>
      </c>
      <c r="N774" s="15">
        <f>ROUND(M774*20%,2)</f>
        <v>631.48</v>
      </c>
      <c r="O774" s="100">
        <f>M774+N774</f>
        <v>3788.86</v>
      </c>
      <c r="P774" s="75">
        <f t="shared" si="659"/>
        <v>63.15</v>
      </c>
      <c r="Q774" s="90">
        <v>37</v>
      </c>
      <c r="R774" s="79">
        <f t="shared" si="660"/>
        <v>5.12</v>
      </c>
      <c r="S774" s="80">
        <f>ROUND(441.63/Q774,2)</f>
        <v>11.94</v>
      </c>
    </row>
    <row r="775" spans="1:19" ht="18" customHeight="1" x14ac:dyDescent="0.25">
      <c r="A775" s="87">
        <v>608</v>
      </c>
      <c r="B775" s="88" t="s">
        <v>599</v>
      </c>
      <c r="C775" s="43" t="s">
        <v>591</v>
      </c>
      <c r="D775" s="103">
        <v>1962.25</v>
      </c>
      <c r="E775" s="103">
        <v>18.079999999999998</v>
      </c>
      <c r="F775" s="103">
        <v>532.22</v>
      </c>
      <c r="G775" s="103">
        <v>117.09</v>
      </c>
      <c r="H775" s="11">
        <v>175.99</v>
      </c>
      <c r="I775" s="5">
        <f>E775+F775+G775+H775+D775</f>
        <v>2805.63</v>
      </c>
      <c r="J775" s="103">
        <v>11.41</v>
      </c>
      <c r="K775" s="5">
        <f t="shared" si="676"/>
        <v>2817.04</v>
      </c>
      <c r="L775" s="5">
        <f t="shared" si="666"/>
        <v>84.51</v>
      </c>
      <c r="M775" s="15">
        <f t="shared" si="677"/>
        <v>2901.55</v>
      </c>
      <c r="N775" s="15">
        <f t="shared" si="667"/>
        <v>580.30999999999995</v>
      </c>
      <c r="O775" s="100">
        <f t="shared" si="678"/>
        <v>3481.86</v>
      </c>
      <c r="P775" s="75">
        <f t="shared" si="659"/>
        <v>58.03</v>
      </c>
      <c r="Q775" s="90">
        <v>23</v>
      </c>
      <c r="R775" s="79">
        <f t="shared" si="660"/>
        <v>7.57</v>
      </c>
      <c r="S775" s="80">
        <f>ROUND(441.63/Q775,2)</f>
        <v>19.2</v>
      </c>
    </row>
    <row r="776" spans="1:19" ht="18" customHeight="1" x14ac:dyDescent="0.25">
      <c r="A776" s="87">
        <v>609</v>
      </c>
      <c r="B776" s="88" t="s">
        <v>600</v>
      </c>
      <c r="C776" s="43" t="s">
        <v>474</v>
      </c>
      <c r="D776" s="103">
        <v>2427.87</v>
      </c>
      <c r="E776" s="3">
        <v>21</v>
      </c>
      <c r="F776" s="3">
        <v>580.29999999999995</v>
      </c>
      <c r="G776" s="3">
        <v>127.67</v>
      </c>
      <c r="H776" s="11">
        <v>195.01</v>
      </c>
      <c r="I776" s="5">
        <f t="shared" ref="I776" si="682">E776+F776+G776+H776+D776</f>
        <v>3351.85</v>
      </c>
      <c r="J776" s="103">
        <v>12.67</v>
      </c>
      <c r="K776" s="5">
        <f t="shared" si="676"/>
        <v>3364.52</v>
      </c>
      <c r="L776" s="5">
        <f t="shared" si="666"/>
        <v>100.94</v>
      </c>
      <c r="M776" s="15">
        <f t="shared" si="677"/>
        <v>3465.46</v>
      </c>
      <c r="N776" s="15">
        <f t="shared" si="667"/>
        <v>693.09</v>
      </c>
      <c r="O776" s="100">
        <f t="shared" si="678"/>
        <v>4158.55</v>
      </c>
      <c r="P776" s="75">
        <f t="shared" si="659"/>
        <v>69.31</v>
      </c>
      <c r="Q776" s="90">
        <v>89</v>
      </c>
      <c r="R776" s="79">
        <f t="shared" si="660"/>
        <v>2.34</v>
      </c>
      <c r="S776" s="80">
        <f>ROUND(451.2/Q776,2)</f>
        <v>5.07</v>
      </c>
    </row>
    <row r="777" spans="1:19" ht="18" customHeight="1" x14ac:dyDescent="0.25">
      <c r="A777" s="87">
        <v>610</v>
      </c>
      <c r="B777" s="88" t="s">
        <v>601</v>
      </c>
      <c r="C777" s="43" t="s">
        <v>568</v>
      </c>
      <c r="D777" s="103">
        <v>1962.25</v>
      </c>
      <c r="E777" s="103">
        <v>18.079999999999998</v>
      </c>
      <c r="F777" s="103">
        <v>532.22</v>
      </c>
      <c r="G777" s="103">
        <v>117.09</v>
      </c>
      <c r="H777" s="11">
        <v>175.99</v>
      </c>
      <c r="I777" s="5">
        <f>E777+F777+G777+H777+D777</f>
        <v>2805.63</v>
      </c>
      <c r="J777" s="103">
        <v>11.41</v>
      </c>
      <c r="K777" s="5">
        <f t="shared" si="676"/>
        <v>2817.04</v>
      </c>
      <c r="L777" s="5">
        <f t="shared" si="666"/>
        <v>84.51</v>
      </c>
      <c r="M777" s="15">
        <f t="shared" si="677"/>
        <v>2901.55</v>
      </c>
      <c r="N777" s="15">
        <f t="shared" si="667"/>
        <v>580.30999999999995</v>
      </c>
      <c r="O777" s="100">
        <f t="shared" si="678"/>
        <v>3481.86</v>
      </c>
      <c r="P777" s="75">
        <f t="shared" si="659"/>
        <v>58.03</v>
      </c>
      <c r="Q777" s="90">
        <v>23</v>
      </c>
      <c r="R777" s="79">
        <f t="shared" si="660"/>
        <v>7.57</v>
      </c>
      <c r="S777" s="80">
        <f>ROUND(441.63/Q777,2)</f>
        <v>19.2</v>
      </c>
    </row>
    <row r="778" spans="1:19" ht="18" customHeight="1" x14ac:dyDescent="0.25">
      <c r="A778" s="87">
        <v>611</v>
      </c>
      <c r="B778" s="88" t="s">
        <v>602</v>
      </c>
      <c r="C778" s="43" t="s">
        <v>598</v>
      </c>
      <c r="D778" s="103">
        <v>2210.63</v>
      </c>
      <c r="E778" s="103">
        <v>18.079999999999998</v>
      </c>
      <c r="F778" s="103">
        <v>532.22</v>
      </c>
      <c r="G778" s="103">
        <v>117.09</v>
      </c>
      <c r="H778" s="11">
        <v>175.99</v>
      </c>
      <c r="I778" s="5">
        <f>E778+F778+G778+H778+D778</f>
        <v>3054.01</v>
      </c>
      <c r="J778" s="103">
        <v>11.41</v>
      </c>
      <c r="K778" s="5">
        <f>I778+J778</f>
        <v>3065.42</v>
      </c>
      <c r="L778" s="5">
        <f>ROUND(K778*3%,2)</f>
        <v>91.96</v>
      </c>
      <c r="M778" s="15">
        <f>K778+L778</f>
        <v>3157.38</v>
      </c>
      <c r="N778" s="15">
        <f>ROUND(M778*20%,2)</f>
        <v>631.48</v>
      </c>
      <c r="O778" s="100">
        <f>M778+N778</f>
        <v>3788.86</v>
      </c>
      <c r="P778" s="75">
        <f t="shared" si="659"/>
        <v>63.15</v>
      </c>
      <c r="Q778" s="90">
        <v>68</v>
      </c>
      <c r="R778" s="79">
        <f t="shared" si="660"/>
        <v>2.79</v>
      </c>
      <c r="S778" s="80">
        <f>ROUND(441.63/Q778,2)</f>
        <v>6.49</v>
      </c>
    </row>
    <row r="779" spans="1:19" ht="18" customHeight="1" x14ac:dyDescent="0.25">
      <c r="A779" s="87">
        <v>612</v>
      </c>
      <c r="B779" s="88" t="s">
        <v>603</v>
      </c>
      <c r="C779" s="43" t="s">
        <v>474</v>
      </c>
      <c r="D779" s="103">
        <v>2427.87</v>
      </c>
      <c r="E779" s="3">
        <v>21</v>
      </c>
      <c r="F779" s="3">
        <v>580.29999999999995</v>
      </c>
      <c r="G779" s="3">
        <v>127.67</v>
      </c>
      <c r="H779" s="11">
        <v>195.01</v>
      </c>
      <c r="I779" s="5">
        <f t="shared" ref="I779" si="683">E779+F779+G779+H779+D779</f>
        <v>3351.85</v>
      </c>
      <c r="J779" s="103">
        <v>12.67</v>
      </c>
      <c r="K779" s="5">
        <f t="shared" ref="K779" si="684">I779+J779</f>
        <v>3364.52</v>
      </c>
      <c r="L779" s="5">
        <f t="shared" ref="L779" si="685">ROUND(K779*3%,2)</f>
        <v>100.94</v>
      </c>
      <c r="M779" s="15">
        <f t="shared" ref="M779" si="686">K779+L779</f>
        <v>3465.46</v>
      </c>
      <c r="N779" s="15">
        <f t="shared" ref="N779" si="687">ROUND(M779*20%,2)</f>
        <v>693.09</v>
      </c>
      <c r="O779" s="100">
        <f t="shared" ref="O779" si="688">M779+N779</f>
        <v>4158.55</v>
      </c>
      <c r="P779" s="75">
        <f t="shared" si="659"/>
        <v>69.31</v>
      </c>
      <c r="Q779" s="90">
        <v>86</v>
      </c>
      <c r="R779" s="79">
        <f t="shared" si="660"/>
        <v>2.42</v>
      </c>
      <c r="S779" s="80">
        <f>ROUND(451.2/Q779,2)</f>
        <v>5.25</v>
      </c>
    </row>
    <row r="780" spans="1:19" ht="18" customHeight="1" x14ac:dyDescent="0.25">
      <c r="A780" s="87">
        <v>613</v>
      </c>
      <c r="B780" s="88" t="s">
        <v>604</v>
      </c>
      <c r="C780" s="43" t="s">
        <v>49</v>
      </c>
      <c r="D780" s="103">
        <v>1962.25</v>
      </c>
      <c r="E780" s="103">
        <v>18.079999999999998</v>
      </c>
      <c r="F780" s="103">
        <v>532.22</v>
      </c>
      <c r="G780" s="103">
        <v>117.09</v>
      </c>
      <c r="H780" s="11">
        <v>175.99</v>
      </c>
      <c r="I780" s="5">
        <f>E780+F780+G780+H780+D780</f>
        <v>2805.63</v>
      </c>
      <c r="J780" s="103">
        <v>11.41</v>
      </c>
      <c r="K780" s="5">
        <f t="shared" si="676"/>
        <v>2817.04</v>
      </c>
      <c r="L780" s="5">
        <f t="shared" si="666"/>
        <v>84.51</v>
      </c>
      <c r="M780" s="15">
        <f t="shared" si="677"/>
        <v>2901.55</v>
      </c>
      <c r="N780" s="15">
        <f t="shared" si="667"/>
        <v>580.30999999999995</v>
      </c>
      <c r="O780" s="100">
        <f t="shared" si="678"/>
        <v>3481.86</v>
      </c>
      <c r="P780" s="75">
        <f t="shared" si="659"/>
        <v>58.03</v>
      </c>
      <c r="Q780" s="90">
        <v>29</v>
      </c>
      <c r="R780" s="79">
        <f t="shared" si="660"/>
        <v>6</v>
      </c>
      <c r="S780" s="80">
        <f>ROUND(441.63/Q780,2)</f>
        <v>15.23</v>
      </c>
    </row>
    <row r="781" spans="1:19" ht="18" customHeight="1" x14ac:dyDescent="0.25">
      <c r="A781" s="87">
        <v>614</v>
      </c>
      <c r="B781" s="88" t="s">
        <v>605</v>
      </c>
      <c r="C781" s="43" t="s">
        <v>591</v>
      </c>
      <c r="D781" s="103">
        <v>1962.25</v>
      </c>
      <c r="E781" s="103">
        <v>18.079999999999998</v>
      </c>
      <c r="F781" s="103">
        <v>532.22</v>
      </c>
      <c r="G781" s="103">
        <v>117.09</v>
      </c>
      <c r="H781" s="11">
        <v>175.99</v>
      </c>
      <c r="I781" s="5">
        <f>E781+F781+G781+H781+D781</f>
        <v>2805.63</v>
      </c>
      <c r="J781" s="103">
        <v>11.41</v>
      </c>
      <c r="K781" s="5">
        <f t="shared" si="676"/>
        <v>2817.04</v>
      </c>
      <c r="L781" s="5">
        <f t="shared" si="666"/>
        <v>84.51</v>
      </c>
      <c r="M781" s="15">
        <f t="shared" si="677"/>
        <v>2901.55</v>
      </c>
      <c r="N781" s="15">
        <f t="shared" si="667"/>
        <v>580.30999999999995</v>
      </c>
      <c r="O781" s="100">
        <f t="shared" si="678"/>
        <v>3481.86</v>
      </c>
      <c r="P781" s="75">
        <f t="shared" si="659"/>
        <v>58.03</v>
      </c>
      <c r="Q781" s="90">
        <v>22</v>
      </c>
      <c r="R781" s="79">
        <f t="shared" si="660"/>
        <v>7.91</v>
      </c>
      <c r="S781" s="80">
        <f>ROUND(441.63/Q781,2)</f>
        <v>20.07</v>
      </c>
    </row>
    <row r="782" spans="1:19" ht="18" customHeight="1" x14ac:dyDescent="0.25">
      <c r="A782" s="87">
        <v>615</v>
      </c>
      <c r="B782" s="88" t="s">
        <v>606</v>
      </c>
      <c r="C782" s="43" t="s">
        <v>598</v>
      </c>
      <c r="D782" s="103">
        <v>2210.63</v>
      </c>
      <c r="E782" s="103">
        <v>18.079999999999998</v>
      </c>
      <c r="F782" s="103">
        <v>532.22</v>
      </c>
      <c r="G782" s="103">
        <v>117.09</v>
      </c>
      <c r="H782" s="11">
        <v>175.99</v>
      </c>
      <c r="I782" s="5">
        <f>E782+F782+G782+H782+D782</f>
        <v>3054.01</v>
      </c>
      <c r="J782" s="103">
        <v>11.41</v>
      </c>
      <c r="K782" s="5">
        <f>I782+J782</f>
        <v>3065.42</v>
      </c>
      <c r="L782" s="5">
        <f>ROUND(K782*3%,2)</f>
        <v>91.96</v>
      </c>
      <c r="M782" s="15">
        <f>K782+L782</f>
        <v>3157.38</v>
      </c>
      <c r="N782" s="15">
        <f>ROUND(M782*20%,2)</f>
        <v>631.48</v>
      </c>
      <c r="O782" s="100">
        <f>M782+N782</f>
        <v>3788.86</v>
      </c>
      <c r="P782" s="75">
        <f t="shared" si="659"/>
        <v>63.15</v>
      </c>
      <c r="Q782" s="90">
        <v>21</v>
      </c>
      <c r="R782" s="79">
        <f t="shared" si="660"/>
        <v>9.02</v>
      </c>
      <c r="S782" s="80">
        <f t="shared" ref="S782:S786" si="689">ROUND(441.63/Q782,2)</f>
        <v>21.03</v>
      </c>
    </row>
    <row r="783" spans="1:19" ht="18" customHeight="1" x14ac:dyDescent="0.25">
      <c r="A783" s="87">
        <v>616</v>
      </c>
      <c r="B783" s="88" t="s">
        <v>607</v>
      </c>
      <c r="C783" s="43" t="s">
        <v>591</v>
      </c>
      <c r="D783" s="103">
        <v>1962.25</v>
      </c>
      <c r="E783" s="103">
        <v>18.079999999999998</v>
      </c>
      <c r="F783" s="103">
        <v>532.22</v>
      </c>
      <c r="G783" s="103">
        <v>117.09</v>
      </c>
      <c r="H783" s="11">
        <v>175.99</v>
      </c>
      <c r="I783" s="5">
        <f>E783+F783+G783+H783+D783</f>
        <v>2805.63</v>
      </c>
      <c r="J783" s="103">
        <v>11.41</v>
      </c>
      <c r="K783" s="5">
        <f t="shared" si="676"/>
        <v>2817.04</v>
      </c>
      <c r="L783" s="5">
        <f t="shared" si="666"/>
        <v>84.51</v>
      </c>
      <c r="M783" s="15">
        <f t="shared" si="677"/>
        <v>2901.55</v>
      </c>
      <c r="N783" s="15">
        <f t="shared" si="667"/>
        <v>580.30999999999995</v>
      </c>
      <c r="O783" s="100">
        <f t="shared" si="678"/>
        <v>3481.86</v>
      </c>
      <c r="P783" s="75">
        <f t="shared" si="659"/>
        <v>58.03</v>
      </c>
      <c r="Q783" s="90">
        <v>23</v>
      </c>
      <c r="R783" s="79">
        <f t="shared" si="660"/>
        <v>7.57</v>
      </c>
      <c r="S783" s="80">
        <f>ROUND(441.63/Q783,2)</f>
        <v>19.2</v>
      </c>
    </row>
    <row r="784" spans="1:19" ht="18" customHeight="1" x14ac:dyDescent="0.25">
      <c r="A784" s="87">
        <v>617</v>
      </c>
      <c r="B784" s="88" t="s">
        <v>608</v>
      </c>
      <c r="C784" s="43" t="s">
        <v>20</v>
      </c>
      <c r="D784" s="103">
        <v>1475.88</v>
      </c>
      <c r="E784" s="103">
        <v>18.079999999999998</v>
      </c>
      <c r="F784" s="103">
        <v>532.22</v>
      </c>
      <c r="G784" s="103">
        <v>117.09</v>
      </c>
      <c r="H784" s="11">
        <v>175.99</v>
      </c>
      <c r="I784" s="5">
        <f t="shared" ref="I784" si="690">E784+F784+G784+H784+D784</f>
        <v>2319.2600000000002</v>
      </c>
      <c r="J784" s="103">
        <v>11.41</v>
      </c>
      <c r="K784" s="5">
        <f t="shared" si="676"/>
        <v>2330.67</v>
      </c>
      <c r="L784" s="5">
        <f t="shared" si="666"/>
        <v>69.92</v>
      </c>
      <c r="M784" s="15">
        <f t="shared" si="677"/>
        <v>2400.59</v>
      </c>
      <c r="N784" s="15">
        <f t="shared" si="667"/>
        <v>480.12</v>
      </c>
      <c r="O784" s="100">
        <f t="shared" si="678"/>
        <v>2880.71</v>
      </c>
      <c r="P784" s="75">
        <f t="shared" si="659"/>
        <v>48.01</v>
      </c>
      <c r="Q784" s="90">
        <v>18</v>
      </c>
      <c r="R784" s="79">
        <f t="shared" si="660"/>
        <v>8</v>
      </c>
      <c r="S784" s="80">
        <f t="shared" ref="S784" si="691">ROUND(441.63/Q784,2)</f>
        <v>24.54</v>
      </c>
    </row>
    <row r="785" spans="1:19" ht="18" customHeight="1" x14ac:dyDescent="0.25">
      <c r="A785" s="87">
        <v>618</v>
      </c>
      <c r="B785" s="88" t="s">
        <v>609</v>
      </c>
      <c r="C785" s="43" t="s">
        <v>591</v>
      </c>
      <c r="D785" s="103">
        <v>1962.25</v>
      </c>
      <c r="E785" s="103">
        <v>18.079999999999998</v>
      </c>
      <c r="F785" s="103">
        <v>532.22</v>
      </c>
      <c r="G785" s="103">
        <v>117.09</v>
      </c>
      <c r="H785" s="11">
        <v>175.99</v>
      </c>
      <c r="I785" s="5">
        <f>E785+F785+G785+H785+D785</f>
        <v>2805.63</v>
      </c>
      <c r="J785" s="103">
        <v>11.41</v>
      </c>
      <c r="K785" s="5">
        <f t="shared" si="676"/>
        <v>2817.04</v>
      </c>
      <c r="L785" s="5">
        <f t="shared" si="666"/>
        <v>84.51</v>
      </c>
      <c r="M785" s="15">
        <f t="shared" si="677"/>
        <v>2901.55</v>
      </c>
      <c r="N785" s="15">
        <f t="shared" si="667"/>
        <v>580.30999999999995</v>
      </c>
      <c r="O785" s="100">
        <f t="shared" si="678"/>
        <v>3481.86</v>
      </c>
      <c r="P785" s="75">
        <f t="shared" si="659"/>
        <v>58.03</v>
      </c>
      <c r="Q785" s="90">
        <v>35</v>
      </c>
      <c r="R785" s="79">
        <f t="shared" si="660"/>
        <v>4.97</v>
      </c>
      <c r="S785" s="80">
        <f>ROUND(441.63/Q785,2)</f>
        <v>12.62</v>
      </c>
    </row>
    <row r="786" spans="1:19" ht="18" customHeight="1" thickBot="1" x14ac:dyDescent="0.3">
      <c r="A786" s="23">
        <v>619</v>
      </c>
      <c r="B786" s="46" t="s">
        <v>610</v>
      </c>
      <c r="C786" s="56" t="s">
        <v>100</v>
      </c>
      <c r="D786" s="57">
        <v>2210.63</v>
      </c>
      <c r="E786" s="57">
        <v>18.079999999999998</v>
      </c>
      <c r="F786" s="57">
        <v>532.22</v>
      </c>
      <c r="G786" s="57">
        <v>117.09</v>
      </c>
      <c r="H786" s="58">
        <v>175.99</v>
      </c>
      <c r="I786" s="59">
        <f>E786+F786+G786+H786+D786</f>
        <v>3054.01</v>
      </c>
      <c r="J786" s="57">
        <v>11.41</v>
      </c>
      <c r="K786" s="59">
        <f>I786+J786</f>
        <v>3065.42</v>
      </c>
      <c r="L786" s="59">
        <f>ROUND(K786*3%,2)</f>
        <v>91.96</v>
      </c>
      <c r="M786" s="60">
        <f>K786+L786</f>
        <v>3157.38</v>
      </c>
      <c r="N786" s="60">
        <f>ROUND(M786*20%,2)</f>
        <v>631.48</v>
      </c>
      <c r="O786" s="61">
        <f>M786+N786</f>
        <v>3788.86</v>
      </c>
      <c r="P786" s="109">
        <f t="shared" si="659"/>
        <v>63.15</v>
      </c>
      <c r="Q786" s="70">
        <v>45</v>
      </c>
      <c r="R786" s="110">
        <f t="shared" si="660"/>
        <v>4.21</v>
      </c>
      <c r="S786" s="146">
        <f t="shared" si="689"/>
        <v>9.81</v>
      </c>
    </row>
    <row r="787" spans="1:19" ht="18" customHeight="1" x14ac:dyDescent="0.25">
      <c r="A787" s="115">
        <v>620</v>
      </c>
      <c r="B787" s="155" t="s">
        <v>611</v>
      </c>
      <c r="C787" s="148" t="s">
        <v>612</v>
      </c>
      <c r="D787" s="118">
        <v>1962.25</v>
      </c>
      <c r="E787" s="118">
        <v>18.079999999999998</v>
      </c>
      <c r="F787" s="118">
        <v>532.22</v>
      </c>
      <c r="G787" s="118">
        <v>117.09</v>
      </c>
      <c r="H787" s="119">
        <v>175.99</v>
      </c>
      <c r="I787" s="120">
        <f>E787+F787+G787+H787+D787</f>
        <v>2805.63</v>
      </c>
      <c r="J787" s="118">
        <v>11.41</v>
      </c>
      <c r="K787" s="120">
        <f t="shared" si="676"/>
        <v>2817.04</v>
      </c>
      <c r="L787" s="120">
        <f t="shared" si="666"/>
        <v>84.51</v>
      </c>
      <c r="M787" s="121">
        <f t="shared" si="677"/>
        <v>2901.55</v>
      </c>
      <c r="N787" s="121">
        <f t="shared" si="667"/>
        <v>580.30999999999995</v>
      </c>
      <c r="O787" s="122">
        <f t="shared" si="678"/>
        <v>3481.86</v>
      </c>
      <c r="P787" s="121">
        <f t="shared" si="659"/>
        <v>58.03</v>
      </c>
      <c r="Q787" s="160">
        <v>40</v>
      </c>
      <c r="R787" s="124">
        <f t="shared" si="660"/>
        <v>4.3499999999999996</v>
      </c>
      <c r="S787" s="151">
        <f>ROUND(441.63/Q787,2)</f>
        <v>11.04</v>
      </c>
    </row>
    <row r="788" spans="1:19" x14ac:dyDescent="0.25">
      <c r="A788" s="232">
        <v>621</v>
      </c>
      <c r="B788" s="226" t="s">
        <v>858</v>
      </c>
      <c r="C788" s="27" t="s">
        <v>15</v>
      </c>
      <c r="D788" s="175">
        <f>1962.25+2639</f>
        <v>4601.25</v>
      </c>
      <c r="E788" s="195">
        <f>18.08+21</f>
        <v>39.08</v>
      </c>
      <c r="F788" s="195">
        <f>532.22+580.3</f>
        <v>1112.52</v>
      </c>
      <c r="G788" s="222">
        <f>117.09+127.67</f>
        <v>244.76</v>
      </c>
      <c r="H788" s="167">
        <f>175.99+195.01</f>
        <v>371</v>
      </c>
      <c r="I788" s="169">
        <f t="shared" si="658"/>
        <v>6368.61</v>
      </c>
      <c r="J788" s="190">
        <f>11.41+12.67</f>
        <v>24.08</v>
      </c>
      <c r="K788" s="169">
        <f t="shared" si="676"/>
        <v>6392.69</v>
      </c>
      <c r="L788" s="169">
        <f>ROUND(K788*3%,2)</f>
        <v>191.78</v>
      </c>
      <c r="M788" s="173">
        <f t="shared" si="677"/>
        <v>6584.4699999999993</v>
      </c>
      <c r="N788" s="173">
        <f>ROUND(M788*20%,2)</f>
        <v>1316.89</v>
      </c>
      <c r="O788" s="178">
        <f t="shared" si="678"/>
        <v>7901.36</v>
      </c>
      <c r="P788" s="173">
        <f>ROUND(O788/5/12,2)</f>
        <v>131.69</v>
      </c>
      <c r="Q788" s="266">
        <f>39+158</f>
        <v>197</v>
      </c>
      <c r="R788" s="182">
        <f t="shared" si="660"/>
        <v>2.0099999999999998</v>
      </c>
      <c r="S788" s="259">
        <f>ROUND((441.63+482.49)/Q788,2)</f>
        <v>4.6900000000000004</v>
      </c>
    </row>
    <row r="789" spans="1:19" x14ac:dyDescent="0.25">
      <c r="A789" s="232"/>
      <c r="B789" s="228"/>
      <c r="C789" s="30" t="s">
        <v>613</v>
      </c>
      <c r="D789" s="177"/>
      <c r="E789" s="197"/>
      <c r="F789" s="197"/>
      <c r="G789" s="230"/>
      <c r="H789" s="168"/>
      <c r="I789" s="170"/>
      <c r="J789" s="199"/>
      <c r="K789" s="170"/>
      <c r="L789" s="170"/>
      <c r="M789" s="174"/>
      <c r="N789" s="174"/>
      <c r="O789" s="179"/>
      <c r="P789" s="174"/>
      <c r="Q789" s="267"/>
      <c r="R789" s="183"/>
      <c r="S789" s="259"/>
    </row>
    <row r="790" spans="1:19" ht="15.75" x14ac:dyDescent="0.25">
      <c r="A790" s="87">
        <v>622</v>
      </c>
      <c r="B790" s="88" t="s">
        <v>614</v>
      </c>
      <c r="C790" s="43" t="s">
        <v>596</v>
      </c>
      <c r="D790" s="103">
        <v>2210.63</v>
      </c>
      <c r="E790" s="103">
        <v>18.079999999999998</v>
      </c>
      <c r="F790" s="103">
        <v>532.22</v>
      </c>
      <c r="G790" s="103">
        <v>117.09</v>
      </c>
      <c r="H790" s="11">
        <v>175.99</v>
      </c>
      <c r="I790" s="5">
        <f>E790+F790+G790+H790+D790</f>
        <v>3054.01</v>
      </c>
      <c r="J790" s="103">
        <v>11.41</v>
      </c>
      <c r="K790" s="5">
        <f>I790+J790</f>
        <v>3065.42</v>
      </c>
      <c r="L790" s="5">
        <f>ROUND(K790*3%,2)</f>
        <v>91.96</v>
      </c>
      <c r="M790" s="15">
        <f>K790+L790</f>
        <v>3157.38</v>
      </c>
      <c r="N790" s="15">
        <f>ROUND(M790*20%,2)</f>
        <v>631.48</v>
      </c>
      <c r="O790" s="100">
        <f>M790+N790</f>
        <v>3788.86</v>
      </c>
      <c r="P790" s="75">
        <f>ROUND(O790/5/12,2)</f>
        <v>63.15</v>
      </c>
      <c r="Q790" s="90">
        <v>70</v>
      </c>
      <c r="R790" s="79">
        <f>ROUND(P790*3/Q790,2)</f>
        <v>2.71</v>
      </c>
      <c r="S790" s="80">
        <f t="shared" ref="S790" si="692">ROUND(441.63/Q790,2)</f>
        <v>6.31</v>
      </c>
    </row>
    <row r="791" spans="1:19" ht="15.75" customHeight="1" x14ac:dyDescent="0.25">
      <c r="A791" s="223">
        <v>623</v>
      </c>
      <c r="B791" s="226" t="s">
        <v>859</v>
      </c>
      <c r="C791" s="27" t="s">
        <v>49</v>
      </c>
      <c r="D791" s="175">
        <f>1962.25*3+2210.63+2427.87</f>
        <v>10525.25</v>
      </c>
      <c r="E791" s="195">
        <f>18.08*4+21</f>
        <v>93.32</v>
      </c>
      <c r="F791" s="195">
        <f>532.22*4+580.3</f>
        <v>2709.1800000000003</v>
      </c>
      <c r="G791" s="222">
        <f>117.09*4+127.67</f>
        <v>596.03</v>
      </c>
      <c r="H791" s="167">
        <f>175.99*4+195.01</f>
        <v>898.97</v>
      </c>
      <c r="I791" s="169">
        <f>E791+F791+G791+H791+D791</f>
        <v>14822.75</v>
      </c>
      <c r="J791" s="190">
        <f>11.41*4+12.67</f>
        <v>58.31</v>
      </c>
      <c r="K791" s="169">
        <f t="shared" si="676"/>
        <v>14881.06</v>
      </c>
      <c r="L791" s="169">
        <f>ROUND(K791*3%,2)</f>
        <v>446.43</v>
      </c>
      <c r="M791" s="173">
        <f t="shared" si="677"/>
        <v>15327.49</v>
      </c>
      <c r="N791" s="173">
        <f>ROUND(M791*20%,2)</f>
        <v>3065.5</v>
      </c>
      <c r="O791" s="178">
        <f t="shared" si="678"/>
        <v>18392.989999999998</v>
      </c>
      <c r="P791" s="173">
        <f>ROUND(O791/5/12,2)</f>
        <v>306.55</v>
      </c>
      <c r="Q791" s="270">
        <v>160</v>
      </c>
      <c r="R791" s="182">
        <f t="shared" ref="R791" si="693">ROUND(P791*3/Q791,2)</f>
        <v>5.75</v>
      </c>
      <c r="S791" s="259">
        <f>ROUND((441.63*3+451.2+469.47)/Q791,2)</f>
        <v>14.03</v>
      </c>
    </row>
    <row r="792" spans="1:19" ht="15.75" customHeight="1" x14ac:dyDescent="0.25">
      <c r="A792" s="223"/>
      <c r="B792" s="227"/>
      <c r="C792" s="29" t="s">
        <v>49</v>
      </c>
      <c r="D792" s="176"/>
      <c r="E792" s="196"/>
      <c r="F792" s="196"/>
      <c r="G792" s="229"/>
      <c r="H792" s="171"/>
      <c r="I792" s="172"/>
      <c r="J792" s="200"/>
      <c r="K792" s="172"/>
      <c r="L792" s="172"/>
      <c r="M792" s="191"/>
      <c r="N792" s="191"/>
      <c r="O792" s="187">
        <f t="shared" si="678"/>
        <v>0</v>
      </c>
      <c r="P792" s="191"/>
      <c r="Q792" s="270"/>
      <c r="R792" s="189"/>
      <c r="S792" s="259">
        <f t="shared" ref="S792:S824" si="694">443.34*1/55</f>
        <v>8.0607272727272719</v>
      </c>
    </row>
    <row r="793" spans="1:19" ht="15.75" customHeight="1" x14ac:dyDescent="0.25">
      <c r="A793" s="223"/>
      <c r="B793" s="227"/>
      <c r="C793" s="29" t="s">
        <v>615</v>
      </c>
      <c r="D793" s="176"/>
      <c r="E793" s="196"/>
      <c r="F793" s="196"/>
      <c r="G793" s="229"/>
      <c r="H793" s="171"/>
      <c r="I793" s="172"/>
      <c r="J793" s="200"/>
      <c r="K793" s="172"/>
      <c r="L793" s="172"/>
      <c r="M793" s="191"/>
      <c r="N793" s="191"/>
      <c r="O793" s="187">
        <f t="shared" si="678"/>
        <v>0</v>
      </c>
      <c r="P793" s="191"/>
      <c r="Q793" s="270"/>
      <c r="R793" s="189"/>
      <c r="S793" s="259">
        <f t="shared" si="694"/>
        <v>8.0607272727272719</v>
      </c>
    </row>
    <row r="794" spans="1:19" ht="15.75" customHeight="1" x14ac:dyDescent="0.25">
      <c r="A794" s="223"/>
      <c r="B794" s="227"/>
      <c r="C794" s="29" t="s">
        <v>435</v>
      </c>
      <c r="D794" s="176"/>
      <c r="E794" s="196"/>
      <c r="F794" s="196"/>
      <c r="G794" s="229"/>
      <c r="H794" s="171"/>
      <c r="I794" s="172"/>
      <c r="J794" s="200"/>
      <c r="K794" s="172"/>
      <c r="L794" s="172"/>
      <c r="M794" s="191"/>
      <c r="N794" s="191"/>
      <c r="O794" s="187">
        <f t="shared" si="678"/>
        <v>0</v>
      </c>
      <c r="P794" s="191"/>
      <c r="Q794" s="270"/>
      <c r="R794" s="189"/>
      <c r="S794" s="259">
        <f t="shared" si="694"/>
        <v>8.0607272727272719</v>
      </c>
    </row>
    <row r="795" spans="1:19" ht="15.75" customHeight="1" x14ac:dyDescent="0.25">
      <c r="A795" s="221"/>
      <c r="B795" s="228"/>
      <c r="C795" s="30" t="s">
        <v>589</v>
      </c>
      <c r="D795" s="177"/>
      <c r="E795" s="197"/>
      <c r="F795" s="197"/>
      <c r="G795" s="230"/>
      <c r="H795" s="168"/>
      <c r="I795" s="170"/>
      <c r="J795" s="199"/>
      <c r="K795" s="170"/>
      <c r="L795" s="170"/>
      <c r="M795" s="174"/>
      <c r="N795" s="174"/>
      <c r="O795" s="179">
        <f t="shared" si="678"/>
        <v>0</v>
      </c>
      <c r="P795" s="174"/>
      <c r="Q795" s="270"/>
      <c r="R795" s="183"/>
      <c r="S795" s="259">
        <f t="shared" si="694"/>
        <v>8.0607272727272719</v>
      </c>
    </row>
    <row r="796" spans="1:19" ht="15.75" x14ac:dyDescent="0.25">
      <c r="A796" s="87">
        <v>624</v>
      </c>
      <c r="B796" s="88" t="s">
        <v>616</v>
      </c>
      <c r="C796" s="43" t="s">
        <v>49</v>
      </c>
      <c r="D796" s="103">
        <v>1962.25</v>
      </c>
      <c r="E796" s="103">
        <v>18.079999999999998</v>
      </c>
      <c r="F796" s="103">
        <v>532.22</v>
      </c>
      <c r="G796" s="103">
        <v>117.09</v>
      </c>
      <c r="H796" s="11">
        <v>175.99</v>
      </c>
      <c r="I796" s="5">
        <f>E796+F796+G796+H796+D796</f>
        <v>2805.63</v>
      </c>
      <c r="J796" s="103">
        <v>11.41</v>
      </c>
      <c r="K796" s="5">
        <f t="shared" ref="K796:K800" si="695">I796+J796</f>
        <v>2817.04</v>
      </c>
      <c r="L796" s="5">
        <f t="shared" ref="L796:L821" si="696">ROUND(K796*3%,2)</f>
        <v>84.51</v>
      </c>
      <c r="M796" s="15">
        <f t="shared" ref="M796:M800" si="697">K796+L796</f>
        <v>2901.55</v>
      </c>
      <c r="N796" s="15">
        <f t="shared" ref="N796:N821" si="698">ROUND(M796*20%,2)</f>
        <v>580.30999999999995</v>
      </c>
      <c r="O796" s="100">
        <f t="shared" si="678"/>
        <v>3481.86</v>
      </c>
      <c r="P796" s="75">
        <f t="shared" ref="P796:P821" si="699">ROUND(O796/5/12,2)</f>
        <v>58.03</v>
      </c>
      <c r="Q796" s="90">
        <v>40</v>
      </c>
      <c r="R796" s="79">
        <f t="shared" ref="R796:R822" si="700">ROUND(P796*3/Q796,2)</f>
        <v>4.3499999999999996</v>
      </c>
      <c r="S796" s="80">
        <f>ROUND(441.63/Q796,2)</f>
        <v>11.04</v>
      </c>
    </row>
    <row r="797" spans="1:19" ht="31.5" x14ac:dyDescent="0.25">
      <c r="A797" s="87">
        <v>625</v>
      </c>
      <c r="B797" s="88" t="s">
        <v>617</v>
      </c>
      <c r="C797" s="43" t="s">
        <v>618</v>
      </c>
      <c r="D797" s="103">
        <v>2427.87</v>
      </c>
      <c r="E797" s="3">
        <v>21</v>
      </c>
      <c r="F797" s="3">
        <v>580.29999999999995</v>
      </c>
      <c r="G797" s="3">
        <v>127.67</v>
      </c>
      <c r="H797" s="11">
        <v>195.01</v>
      </c>
      <c r="I797" s="5">
        <f t="shared" ref="I797:I798" si="701">E797+F797+G797+H797+D797</f>
        <v>3351.85</v>
      </c>
      <c r="J797" s="103">
        <v>12.67</v>
      </c>
      <c r="K797" s="5">
        <f t="shared" si="695"/>
        <v>3364.52</v>
      </c>
      <c r="L797" s="5">
        <f t="shared" si="696"/>
        <v>100.94</v>
      </c>
      <c r="M797" s="15">
        <f t="shared" si="697"/>
        <v>3465.46</v>
      </c>
      <c r="N797" s="15">
        <f t="shared" si="698"/>
        <v>693.09</v>
      </c>
      <c r="O797" s="100">
        <f t="shared" si="678"/>
        <v>4158.55</v>
      </c>
      <c r="P797" s="75">
        <f t="shared" si="699"/>
        <v>69.31</v>
      </c>
      <c r="Q797" s="90">
        <v>129</v>
      </c>
      <c r="R797" s="79">
        <f t="shared" si="700"/>
        <v>1.61</v>
      </c>
      <c r="S797" s="80">
        <f>ROUND(451.2/Q797,2)</f>
        <v>3.5</v>
      </c>
    </row>
    <row r="798" spans="1:19" ht="31.5" x14ac:dyDescent="0.25">
      <c r="A798" s="87">
        <v>626</v>
      </c>
      <c r="B798" s="88" t="s">
        <v>619</v>
      </c>
      <c r="C798" s="43" t="s">
        <v>416</v>
      </c>
      <c r="D798" s="103">
        <v>2639</v>
      </c>
      <c r="E798" s="3">
        <v>21</v>
      </c>
      <c r="F798" s="3">
        <v>580.29999999999995</v>
      </c>
      <c r="G798" s="3">
        <v>127.67</v>
      </c>
      <c r="H798" s="11">
        <v>195.01</v>
      </c>
      <c r="I798" s="5">
        <f t="shared" si="701"/>
        <v>3562.98</v>
      </c>
      <c r="J798" s="103">
        <v>12.67</v>
      </c>
      <c r="K798" s="5">
        <f t="shared" si="695"/>
        <v>3575.65</v>
      </c>
      <c r="L798" s="5">
        <f t="shared" si="696"/>
        <v>107.27</v>
      </c>
      <c r="M798" s="15">
        <f t="shared" si="697"/>
        <v>3682.92</v>
      </c>
      <c r="N798" s="15">
        <f t="shared" si="698"/>
        <v>736.58</v>
      </c>
      <c r="O798" s="100">
        <f t="shared" si="678"/>
        <v>4419.5</v>
      </c>
      <c r="P798" s="75">
        <f t="shared" si="699"/>
        <v>73.66</v>
      </c>
      <c r="Q798" s="90">
        <v>133</v>
      </c>
      <c r="R798" s="79">
        <f t="shared" si="700"/>
        <v>1.66</v>
      </c>
      <c r="S798" s="51">
        <f>ROUND(482.49/Q798,2)</f>
        <v>3.63</v>
      </c>
    </row>
    <row r="799" spans="1:19" ht="31.5" x14ac:dyDescent="0.25">
      <c r="A799" s="87">
        <v>627</v>
      </c>
      <c r="B799" s="88" t="s">
        <v>620</v>
      </c>
      <c r="C799" s="43" t="s">
        <v>621</v>
      </c>
      <c r="D799" s="103">
        <v>1962.25</v>
      </c>
      <c r="E799" s="103">
        <v>18.079999999999998</v>
      </c>
      <c r="F799" s="103">
        <v>532.22</v>
      </c>
      <c r="G799" s="103">
        <v>117.09</v>
      </c>
      <c r="H799" s="11">
        <v>175.99</v>
      </c>
      <c r="I799" s="5">
        <f>E799+F799+G799+H799+D799</f>
        <v>2805.63</v>
      </c>
      <c r="J799" s="103">
        <v>11.41</v>
      </c>
      <c r="K799" s="5">
        <f t="shared" si="695"/>
        <v>2817.04</v>
      </c>
      <c r="L799" s="5">
        <f t="shared" si="696"/>
        <v>84.51</v>
      </c>
      <c r="M799" s="15">
        <f t="shared" si="697"/>
        <v>2901.55</v>
      </c>
      <c r="N799" s="15">
        <f t="shared" si="698"/>
        <v>580.30999999999995</v>
      </c>
      <c r="O799" s="100">
        <f t="shared" si="678"/>
        <v>3481.86</v>
      </c>
      <c r="P799" s="75">
        <f t="shared" si="699"/>
        <v>58.03</v>
      </c>
      <c r="Q799" s="90">
        <v>36</v>
      </c>
      <c r="R799" s="79">
        <f t="shared" si="700"/>
        <v>4.84</v>
      </c>
      <c r="S799" s="80">
        <f>ROUND(441.63/Q799,2)</f>
        <v>12.27</v>
      </c>
    </row>
    <row r="800" spans="1:19" ht="31.5" x14ac:dyDescent="0.25">
      <c r="A800" s="87">
        <v>628</v>
      </c>
      <c r="B800" s="88" t="s">
        <v>622</v>
      </c>
      <c r="C800" s="43" t="s">
        <v>416</v>
      </c>
      <c r="D800" s="103">
        <v>2639</v>
      </c>
      <c r="E800" s="3">
        <v>21</v>
      </c>
      <c r="F800" s="3">
        <v>580.29999999999995</v>
      </c>
      <c r="G800" s="3">
        <v>127.67</v>
      </c>
      <c r="H800" s="11">
        <v>195.01</v>
      </c>
      <c r="I800" s="5">
        <f t="shared" ref="I800" si="702">E800+F800+G800+H800+D800</f>
        <v>3562.98</v>
      </c>
      <c r="J800" s="103">
        <v>12.67</v>
      </c>
      <c r="K800" s="5">
        <f t="shared" si="695"/>
        <v>3575.65</v>
      </c>
      <c r="L800" s="5">
        <f t="shared" si="696"/>
        <v>107.27</v>
      </c>
      <c r="M800" s="15">
        <f t="shared" si="697"/>
        <v>3682.92</v>
      </c>
      <c r="N800" s="15">
        <f t="shared" si="698"/>
        <v>736.58</v>
      </c>
      <c r="O800" s="100">
        <f t="shared" si="678"/>
        <v>4419.5</v>
      </c>
      <c r="P800" s="75">
        <f t="shared" si="699"/>
        <v>73.66</v>
      </c>
      <c r="Q800" s="90">
        <v>134</v>
      </c>
      <c r="R800" s="79">
        <f t="shared" si="700"/>
        <v>1.65</v>
      </c>
      <c r="S800" s="51">
        <f>ROUND(482.49/Q800,2)</f>
        <v>3.6</v>
      </c>
    </row>
    <row r="801" spans="1:19" ht="31.5" x14ac:dyDescent="0.25">
      <c r="A801" s="87">
        <v>629</v>
      </c>
      <c r="B801" s="88" t="s">
        <v>623</v>
      </c>
      <c r="C801" s="43" t="s">
        <v>591</v>
      </c>
      <c r="D801" s="103">
        <v>1962.25</v>
      </c>
      <c r="E801" s="103">
        <v>18.079999999999998</v>
      </c>
      <c r="F801" s="103">
        <v>532.22</v>
      </c>
      <c r="G801" s="103">
        <v>117.09</v>
      </c>
      <c r="H801" s="11">
        <v>175.99</v>
      </c>
      <c r="I801" s="5">
        <f>E801+F801+G801+H801+D801</f>
        <v>2805.63</v>
      </c>
      <c r="J801" s="103">
        <v>11.41</v>
      </c>
      <c r="K801" s="5">
        <f t="shared" si="676"/>
        <v>2817.04</v>
      </c>
      <c r="L801" s="5">
        <f t="shared" si="696"/>
        <v>84.51</v>
      </c>
      <c r="M801" s="15">
        <f t="shared" si="677"/>
        <v>2901.55</v>
      </c>
      <c r="N801" s="15">
        <f t="shared" si="698"/>
        <v>580.30999999999995</v>
      </c>
      <c r="O801" s="100">
        <f t="shared" si="678"/>
        <v>3481.86</v>
      </c>
      <c r="P801" s="75">
        <f t="shared" si="699"/>
        <v>58.03</v>
      </c>
      <c r="Q801" s="90">
        <v>32</v>
      </c>
      <c r="R801" s="79">
        <f t="shared" si="700"/>
        <v>5.44</v>
      </c>
      <c r="S801" s="80">
        <f>ROUND(441.63/Q801,2)</f>
        <v>13.8</v>
      </c>
    </row>
    <row r="802" spans="1:19" ht="31.5" x14ac:dyDescent="0.25">
      <c r="A802" s="87">
        <v>630</v>
      </c>
      <c r="B802" s="88" t="s">
        <v>624</v>
      </c>
      <c r="C802" s="43" t="s">
        <v>591</v>
      </c>
      <c r="D802" s="103">
        <v>1962.25</v>
      </c>
      <c r="E802" s="103">
        <v>18.079999999999998</v>
      </c>
      <c r="F802" s="103">
        <v>532.22</v>
      </c>
      <c r="G802" s="103">
        <v>117.09</v>
      </c>
      <c r="H802" s="11">
        <v>175.99</v>
      </c>
      <c r="I802" s="5">
        <f>E802+F802+G802+H802+D802</f>
        <v>2805.63</v>
      </c>
      <c r="J802" s="103">
        <v>11.41</v>
      </c>
      <c r="K802" s="5">
        <f t="shared" si="676"/>
        <v>2817.04</v>
      </c>
      <c r="L802" s="5">
        <f t="shared" si="696"/>
        <v>84.51</v>
      </c>
      <c r="M802" s="15">
        <f t="shared" si="677"/>
        <v>2901.55</v>
      </c>
      <c r="N802" s="15">
        <f t="shared" si="698"/>
        <v>580.30999999999995</v>
      </c>
      <c r="O802" s="100">
        <f t="shared" si="678"/>
        <v>3481.86</v>
      </c>
      <c r="P802" s="75">
        <f t="shared" si="699"/>
        <v>58.03</v>
      </c>
      <c r="Q802" s="90">
        <v>40</v>
      </c>
      <c r="R802" s="79">
        <f t="shared" si="700"/>
        <v>4.3499999999999996</v>
      </c>
      <c r="S802" s="80">
        <f>ROUND(441.63/Q802,2)</f>
        <v>11.04</v>
      </c>
    </row>
    <row r="803" spans="1:19" ht="31.5" x14ac:dyDescent="0.25">
      <c r="A803" s="87">
        <v>631</v>
      </c>
      <c r="B803" s="88" t="s">
        <v>625</v>
      </c>
      <c r="C803" s="43" t="s">
        <v>589</v>
      </c>
      <c r="D803" s="103">
        <v>2427.87</v>
      </c>
      <c r="E803" s="3">
        <v>21</v>
      </c>
      <c r="F803" s="3">
        <v>580.29999999999995</v>
      </c>
      <c r="G803" s="3">
        <v>127.67</v>
      </c>
      <c r="H803" s="11">
        <v>195.01</v>
      </c>
      <c r="I803" s="5">
        <f t="shared" ref="I803:I807" si="703">E803+F803+G803+H803+D803</f>
        <v>3351.85</v>
      </c>
      <c r="J803" s="103">
        <v>12.67</v>
      </c>
      <c r="K803" s="5">
        <f t="shared" si="676"/>
        <v>3364.52</v>
      </c>
      <c r="L803" s="5">
        <f t="shared" si="696"/>
        <v>100.94</v>
      </c>
      <c r="M803" s="15">
        <f t="shared" si="677"/>
        <v>3465.46</v>
      </c>
      <c r="N803" s="15">
        <f t="shared" si="698"/>
        <v>693.09</v>
      </c>
      <c r="O803" s="100">
        <f t="shared" si="678"/>
        <v>4158.55</v>
      </c>
      <c r="P803" s="75">
        <f t="shared" si="699"/>
        <v>69.31</v>
      </c>
      <c r="Q803" s="90">
        <v>151</v>
      </c>
      <c r="R803" s="79">
        <f t="shared" si="700"/>
        <v>1.38</v>
      </c>
      <c r="S803" s="80">
        <f>ROUND(451.2/Q803,2)</f>
        <v>2.99</v>
      </c>
    </row>
    <row r="804" spans="1:19" ht="31.5" x14ac:dyDescent="0.25">
      <c r="A804" s="87">
        <v>632</v>
      </c>
      <c r="B804" s="88" t="s">
        <v>626</v>
      </c>
      <c r="C804" s="43" t="s">
        <v>474</v>
      </c>
      <c r="D804" s="103">
        <v>2427.87</v>
      </c>
      <c r="E804" s="3">
        <v>21</v>
      </c>
      <c r="F804" s="3">
        <v>580.29999999999995</v>
      </c>
      <c r="G804" s="3">
        <v>127.67</v>
      </c>
      <c r="H804" s="11">
        <v>195.01</v>
      </c>
      <c r="I804" s="5">
        <f t="shared" si="703"/>
        <v>3351.85</v>
      </c>
      <c r="J804" s="103">
        <v>12.67</v>
      </c>
      <c r="K804" s="5">
        <f t="shared" si="676"/>
        <v>3364.52</v>
      </c>
      <c r="L804" s="5">
        <f t="shared" si="696"/>
        <v>100.94</v>
      </c>
      <c r="M804" s="15">
        <f t="shared" si="677"/>
        <v>3465.46</v>
      </c>
      <c r="N804" s="15">
        <f t="shared" si="698"/>
        <v>693.09</v>
      </c>
      <c r="O804" s="100">
        <f t="shared" si="678"/>
        <v>4158.55</v>
      </c>
      <c r="P804" s="75">
        <f t="shared" si="699"/>
        <v>69.31</v>
      </c>
      <c r="Q804" s="90">
        <v>95</v>
      </c>
      <c r="R804" s="79">
        <f t="shared" si="700"/>
        <v>2.19</v>
      </c>
      <c r="S804" s="80">
        <f>ROUND(451.2/Q804,2)</f>
        <v>4.75</v>
      </c>
    </row>
    <row r="805" spans="1:19" ht="31.5" x14ac:dyDescent="0.25">
      <c r="A805" s="87">
        <v>633</v>
      </c>
      <c r="B805" s="88" t="s">
        <v>627</v>
      </c>
      <c r="C805" s="43" t="s">
        <v>474</v>
      </c>
      <c r="D805" s="103">
        <v>2427.87</v>
      </c>
      <c r="E805" s="3">
        <v>21</v>
      </c>
      <c r="F805" s="3">
        <v>580.29999999999995</v>
      </c>
      <c r="G805" s="3">
        <v>127.67</v>
      </c>
      <c r="H805" s="11">
        <v>195.01</v>
      </c>
      <c r="I805" s="5">
        <f t="shared" si="703"/>
        <v>3351.85</v>
      </c>
      <c r="J805" s="103">
        <v>12.67</v>
      </c>
      <c r="K805" s="5">
        <f t="shared" si="676"/>
        <v>3364.52</v>
      </c>
      <c r="L805" s="5">
        <f t="shared" si="696"/>
        <v>100.94</v>
      </c>
      <c r="M805" s="15">
        <f t="shared" si="677"/>
        <v>3465.46</v>
      </c>
      <c r="N805" s="15">
        <f t="shared" si="698"/>
        <v>693.09</v>
      </c>
      <c r="O805" s="100">
        <f t="shared" si="678"/>
        <v>4158.55</v>
      </c>
      <c r="P805" s="75">
        <f t="shared" si="699"/>
        <v>69.31</v>
      </c>
      <c r="Q805" s="90">
        <v>96</v>
      </c>
      <c r="R805" s="79">
        <f t="shared" si="700"/>
        <v>2.17</v>
      </c>
      <c r="S805" s="80">
        <f>ROUND(451.2/Q805,2)</f>
        <v>4.7</v>
      </c>
    </row>
    <row r="806" spans="1:19" ht="15.75" x14ac:dyDescent="0.25">
      <c r="A806" s="87">
        <v>634</v>
      </c>
      <c r="B806" s="99" t="s">
        <v>881</v>
      </c>
      <c r="C806" s="43" t="s">
        <v>474</v>
      </c>
      <c r="D806" s="103">
        <v>2427.87</v>
      </c>
      <c r="E806" s="3">
        <v>21</v>
      </c>
      <c r="F806" s="3">
        <v>580.29999999999995</v>
      </c>
      <c r="G806" s="3">
        <v>127.67</v>
      </c>
      <c r="H806" s="11">
        <v>195.01</v>
      </c>
      <c r="I806" s="5">
        <f t="shared" si="703"/>
        <v>3351.85</v>
      </c>
      <c r="J806" s="103">
        <v>12.67</v>
      </c>
      <c r="K806" s="5">
        <f t="shared" si="676"/>
        <v>3364.52</v>
      </c>
      <c r="L806" s="5">
        <f t="shared" si="696"/>
        <v>100.94</v>
      </c>
      <c r="M806" s="15">
        <f t="shared" si="677"/>
        <v>3465.46</v>
      </c>
      <c r="N806" s="15">
        <f t="shared" si="698"/>
        <v>693.09</v>
      </c>
      <c r="O806" s="100">
        <f t="shared" si="678"/>
        <v>4158.55</v>
      </c>
      <c r="P806" s="75">
        <f t="shared" si="699"/>
        <v>69.31</v>
      </c>
      <c r="Q806" s="90">
        <v>79</v>
      </c>
      <c r="R806" s="79">
        <f t="shared" si="700"/>
        <v>2.63</v>
      </c>
      <c r="S806" s="80">
        <f>ROUND(451.2/Q806,2)</f>
        <v>5.71</v>
      </c>
    </row>
    <row r="807" spans="1:19" ht="31.5" x14ac:dyDescent="0.25">
      <c r="A807" s="87">
        <v>635</v>
      </c>
      <c r="B807" s="88" t="s">
        <v>875</v>
      </c>
      <c r="C807" s="43" t="s">
        <v>744</v>
      </c>
      <c r="D807" s="10">
        <f>1962.25*2</f>
        <v>3924.5</v>
      </c>
      <c r="E807" s="2">
        <f>18.08*2</f>
        <v>36.159999999999997</v>
      </c>
      <c r="F807" s="2">
        <f>532.22*2</f>
        <v>1064.44</v>
      </c>
      <c r="G807" s="14">
        <f>117.09*2</f>
        <v>234.18</v>
      </c>
      <c r="H807" s="11">
        <f>175.99*2</f>
        <v>351.98</v>
      </c>
      <c r="I807" s="5">
        <f t="shared" si="703"/>
        <v>5611.26</v>
      </c>
      <c r="J807" s="103">
        <f>11.41*2</f>
        <v>22.82</v>
      </c>
      <c r="K807" s="5">
        <f t="shared" si="676"/>
        <v>5634.08</v>
      </c>
      <c r="L807" s="5">
        <f t="shared" si="696"/>
        <v>169.02</v>
      </c>
      <c r="M807" s="15">
        <f t="shared" si="677"/>
        <v>5803.1</v>
      </c>
      <c r="N807" s="5">
        <f t="shared" si="698"/>
        <v>1160.6199999999999</v>
      </c>
      <c r="O807" s="54">
        <f t="shared" si="678"/>
        <v>6963.72</v>
      </c>
      <c r="P807" s="5">
        <f t="shared" si="699"/>
        <v>116.06</v>
      </c>
      <c r="Q807" s="90">
        <v>81</v>
      </c>
      <c r="R807" s="79">
        <f t="shared" si="700"/>
        <v>4.3</v>
      </c>
      <c r="S807" s="80">
        <f>ROUND(441.63*2/Q807,2)</f>
        <v>10.9</v>
      </c>
    </row>
    <row r="808" spans="1:19" ht="31.5" x14ac:dyDescent="0.25">
      <c r="A808" s="87">
        <v>636</v>
      </c>
      <c r="B808" s="88" t="s">
        <v>628</v>
      </c>
      <c r="C808" s="43" t="s">
        <v>596</v>
      </c>
      <c r="D808" s="103">
        <v>2210.63</v>
      </c>
      <c r="E808" s="103">
        <v>18.079999999999998</v>
      </c>
      <c r="F808" s="103">
        <v>532.22</v>
      </c>
      <c r="G808" s="103">
        <v>117.09</v>
      </c>
      <c r="H808" s="11">
        <v>175.99</v>
      </c>
      <c r="I808" s="5">
        <f>E808+F808+G808+H808+D808</f>
        <v>3054.01</v>
      </c>
      <c r="J808" s="103">
        <v>11.41</v>
      </c>
      <c r="K808" s="5">
        <f>I808+J808</f>
        <v>3065.42</v>
      </c>
      <c r="L808" s="5">
        <f>ROUND(K808*3%,2)</f>
        <v>91.96</v>
      </c>
      <c r="M808" s="15">
        <f>K808+L808</f>
        <v>3157.38</v>
      </c>
      <c r="N808" s="15">
        <f>ROUND(M808*20%,2)</f>
        <v>631.48</v>
      </c>
      <c r="O808" s="100">
        <f>M808+N808</f>
        <v>3788.86</v>
      </c>
      <c r="P808" s="75">
        <f t="shared" si="699"/>
        <v>63.15</v>
      </c>
      <c r="Q808" s="90">
        <v>48</v>
      </c>
      <c r="R808" s="79">
        <f t="shared" si="700"/>
        <v>3.95</v>
      </c>
      <c r="S808" s="80">
        <f>ROUND(441.63/Q808,2)</f>
        <v>9.1999999999999993</v>
      </c>
    </row>
    <row r="809" spans="1:19" ht="31.5" x14ac:dyDescent="0.25">
      <c r="A809" s="87">
        <v>637</v>
      </c>
      <c r="B809" s="88" t="s">
        <v>629</v>
      </c>
      <c r="C809" s="43" t="s">
        <v>630</v>
      </c>
      <c r="D809" s="103">
        <v>2427.87</v>
      </c>
      <c r="E809" s="3">
        <v>21</v>
      </c>
      <c r="F809" s="3">
        <v>580.29999999999995</v>
      </c>
      <c r="G809" s="3">
        <v>127.67</v>
      </c>
      <c r="H809" s="11">
        <v>195.01</v>
      </c>
      <c r="I809" s="5">
        <f t="shared" ref="I809:I816" si="704">E809+F809+G809+H809+D809</f>
        <v>3351.85</v>
      </c>
      <c r="J809" s="103">
        <v>12.67</v>
      </c>
      <c r="K809" s="5">
        <f t="shared" ref="K809" si="705">I809+J809</f>
        <v>3364.52</v>
      </c>
      <c r="L809" s="5">
        <f t="shared" ref="L809" si="706">ROUND(K809*3%,2)</f>
        <v>100.94</v>
      </c>
      <c r="M809" s="15">
        <f t="shared" ref="M809" si="707">K809+L809</f>
        <v>3465.46</v>
      </c>
      <c r="N809" s="15">
        <f t="shared" ref="N809" si="708">ROUND(M809*20%,2)</f>
        <v>693.09</v>
      </c>
      <c r="O809" s="100">
        <f t="shared" ref="O809" si="709">M809+N809</f>
        <v>4158.55</v>
      </c>
      <c r="P809" s="75">
        <f t="shared" si="699"/>
        <v>69.31</v>
      </c>
      <c r="Q809" s="90">
        <v>107</v>
      </c>
      <c r="R809" s="79">
        <f t="shared" si="700"/>
        <v>1.94</v>
      </c>
      <c r="S809" s="80">
        <f>ROUND(451.2/Q809,2)</f>
        <v>4.22</v>
      </c>
    </row>
    <row r="810" spans="1:19" ht="31.5" x14ac:dyDescent="0.25">
      <c r="A810" s="87">
        <v>638</v>
      </c>
      <c r="B810" s="88" t="s">
        <v>631</v>
      </c>
      <c r="C810" s="43" t="s">
        <v>596</v>
      </c>
      <c r="D810" s="103">
        <v>2210.63</v>
      </c>
      <c r="E810" s="103">
        <v>18.079999999999998</v>
      </c>
      <c r="F810" s="103">
        <v>532.22</v>
      </c>
      <c r="G810" s="103">
        <v>117.09</v>
      </c>
      <c r="H810" s="11">
        <v>175.99</v>
      </c>
      <c r="I810" s="5">
        <f t="shared" si="704"/>
        <v>3054.01</v>
      </c>
      <c r="J810" s="103">
        <v>11.41</v>
      </c>
      <c r="K810" s="5">
        <f>I810+J810</f>
        <v>3065.42</v>
      </c>
      <c r="L810" s="5">
        <f>ROUND(K810*3%,2)</f>
        <v>91.96</v>
      </c>
      <c r="M810" s="15">
        <f>K810+L810</f>
        <v>3157.38</v>
      </c>
      <c r="N810" s="15">
        <f>ROUND(M810*20%,2)</f>
        <v>631.48</v>
      </c>
      <c r="O810" s="100">
        <f>M810+N810</f>
        <v>3788.86</v>
      </c>
      <c r="P810" s="75">
        <f t="shared" si="699"/>
        <v>63.15</v>
      </c>
      <c r="Q810" s="90">
        <v>71</v>
      </c>
      <c r="R810" s="79">
        <f t="shared" si="700"/>
        <v>2.67</v>
      </c>
      <c r="S810" s="80">
        <f t="shared" ref="S810:S815" si="710">ROUND(441.63/Q810,2)</f>
        <v>6.22</v>
      </c>
    </row>
    <row r="811" spans="1:19" ht="31.5" x14ac:dyDescent="0.25">
      <c r="A811" s="87">
        <v>639</v>
      </c>
      <c r="B811" s="88" t="s">
        <v>632</v>
      </c>
      <c r="C811" s="43" t="s">
        <v>591</v>
      </c>
      <c r="D811" s="103">
        <v>1962.25</v>
      </c>
      <c r="E811" s="103">
        <v>18.079999999999998</v>
      </c>
      <c r="F811" s="103">
        <v>532.22</v>
      </c>
      <c r="G811" s="103">
        <v>117.09</v>
      </c>
      <c r="H811" s="11">
        <v>175.99</v>
      </c>
      <c r="I811" s="5">
        <f t="shared" si="704"/>
        <v>2805.63</v>
      </c>
      <c r="J811" s="103">
        <v>11.41</v>
      </c>
      <c r="K811" s="5">
        <f t="shared" si="676"/>
        <v>2817.04</v>
      </c>
      <c r="L811" s="5">
        <f t="shared" si="696"/>
        <v>84.51</v>
      </c>
      <c r="M811" s="15">
        <f t="shared" si="677"/>
        <v>2901.55</v>
      </c>
      <c r="N811" s="15">
        <f t="shared" si="698"/>
        <v>580.30999999999995</v>
      </c>
      <c r="O811" s="100">
        <f t="shared" si="678"/>
        <v>3481.86</v>
      </c>
      <c r="P811" s="75">
        <f t="shared" si="699"/>
        <v>58.03</v>
      </c>
      <c r="Q811" s="90">
        <v>74</v>
      </c>
      <c r="R811" s="79">
        <f t="shared" si="700"/>
        <v>2.35</v>
      </c>
      <c r="S811" s="80">
        <f>ROUND(441.63/Q811,2)</f>
        <v>5.97</v>
      </c>
    </row>
    <row r="812" spans="1:19" ht="15.75" x14ac:dyDescent="0.25">
      <c r="A812" s="87">
        <v>640</v>
      </c>
      <c r="B812" s="88" t="s">
        <v>633</v>
      </c>
      <c r="C812" s="43" t="s">
        <v>596</v>
      </c>
      <c r="D812" s="103">
        <v>2210.63</v>
      </c>
      <c r="E812" s="103">
        <v>18.079999999999998</v>
      </c>
      <c r="F812" s="103">
        <v>532.22</v>
      </c>
      <c r="G812" s="103">
        <v>117.09</v>
      </c>
      <c r="H812" s="11">
        <v>175.99</v>
      </c>
      <c r="I812" s="5">
        <f t="shared" si="704"/>
        <v>3054.01</v>
      </c>
      <c r="J812" s="103">
        <v>11.41</v>
      </c>
      <c r="K812" s="5">
        <f>I812+J812</f>
        <v>3065.42</v>
      </c>
      <c r="L812" s="5">
        <f>ROUND(K812*3%,2)</f>
        <v>91.96</v>
      </c>
      <c r="M812" s="15">
        <f>K812+L812</f>
        <v>3157.38</v>
      </c>
      <c r="N812" s="15">
        <f>ROUND(M812*20%,2)</f>
        <v>631.48</v>
      </c>
      <c r="O812" s="100">
        <f>M812+N812</f>
        <v>3788.86</v>
      </c>
      <c r="P812" s="75">
        <f t="shared" si="699"/>
        <v>63.15</v>
      </c>
      <c r="Q812" s="90">
        <v>22</v>
      </c>
      <c r="R812" s="79">
        <f t="shared" si="700"/>
        <v>8.61</v>
      </c>
      <c r="S812" s="80">
        <f t="shared" si="710"/>
        <v>20.07</v>
      </c>
    </row>
    <row r="813" spans="1:19" ht="15.75" x14ac:dyDescent="0.25">
      <c r="A813" s="87">
        <v>641</v>
      </c>
      <c r="B813" s="88" t="s">
        <v>634</v>
      </c>
      <c r="C813" s="43" t="s">
        <v>596</v>
      </c>
      <c r="D813" s="103">
        <v>2210.63</v>
      </c>
      <c r="E813" s="103">
        <v>18.079999999999998</v>
      </c>
      <c r="F813" s="103">
        <v>532.22</v>
      </c>
      <c r="G813" s="103">
        <v>117.09</v>
      </c>
      <c r="H813" s="11">
        <v>175.99</v>
      </c>
      <c r="I813" s="5">
        <f t="shared" si="704"/>
        <v>3054.01</v>
      </c>
      <c r="J813" s="103">
        <v>11.41</v>
      </c>
      <c r="K813" s="5">
        <f>I813+J813</f>
        <v>3065.42</v>
      </c>
      <c r="L813" s="5">
        <f>ROUND(K813*3%,2)</f>
        <v>91.96</v>
      </c>
      <c r="M813" s="15">
        <f>K813+L813</f>
        <v>3157.38</v>
      </c>
      <c r="N813" s="15">
        <f>ROUND(M813*20%,2)</f>
        <v>631.48</v>
      </c>
      <c r="O813" s="100">
        <f>M813+N813</f>
        <v>3788.86</v>
      </c>
      <c r="P813" s="75">
        <f t="shared" si="699"/>
        <v>63.15</v>
      </c>
      <c r="Q813" s="90">
        <v>80</v>
      </c>
      <c r="R813" s="79">
        <f t="shared" si="700"/>
        <v>2.37</v>
      </c>
      <c r="S813" s="80">
        <f t="shared" si="710"/>
        <v>5.52</v>
      </c>
    </row>
    <row r="814" spans="1:19" ht="15.75" x14ac:dyDescent="0.25">
      <c r="A814" s="87">
        <v>642</v>
      </c>
      <c r="B814" s="88" t="s">
        <v>635</v>
      </c>
      <c r="C814" s="43" t="s">
        <v>591</v>
      </c>
      <c r="D814" s="103">
        <v>1962.25</v>
      </c>
      <c r="E814" s="103">
        <v>18.079999999999998</v>
      </c>
      <c r="F814" s="103">
        <v>532.22</v>
      </c>
      <c r="G814" s="103">
        <v>117.09</v>
      </c>
      <c r="H814" s="11">
        <v>175.99</v>
      </c>
      <c r="I814" s="5">
        <f t="shared" si="704"/>
        <v>2805.63</v>
      </c>
      <c r="J814" s="103">
        <v>11.41</v>
      </c>
      <c r="K814" s="5">
        <f t="shared" si="676"/>
        <v>2817.04</v>
      </c>
      <c r="L814" s="5">
        <f t="shared" si="696"/>
        <v>84.51</v>
      </c>
      <c r="M814" s="15">
        <f t="shared" si="677"/>
        <v>2901.55</v>
      </c>
      <c r="N814" s="15">
        <f t="shared" si="698"/>
        <v>580.30999999999995</v>
      </c>
      <c r="O814" s="100">
        <f t="shared" si="678"/>
        <v>3481.86</v>
      </c>
      <c r="P814" s="75">
        <f t="shared" si="699"/>
        <v>58.03</v>
      </c>
      <c r="Q814" s="90">
        <v>40</v>
      </c>
      <c r="R814" s="79">
        <f t="shared" si="700"/>
        <v>4.3499999999999996</v>
      </c>
      <c r="S814" s="80">
        <f>ROUND(441.63/Q814,2)</f>
        <v>11.04</v>
      </c>
    </row>
    <row r="815" spans="1:19" ht="15.75" x14ac:dyDescent="0.25">
      <c r="A815" s="87">
        <v>643</v>
      </c>
      <c r="B815" s="88" t="s">
        <v>636</v>
      </c>
      <c r="C815" s="43" t="s">
        <v>596</v>
      </c>
      <c r="D815" s="103">
        <v>2210.63</v>
      </c>
      <c r="E815" s="103">
        <v>18.079999999999998</v>
      </c>
      <c r="F815" s="103">
        <v>532.22</v>
      </c>
      <c r="G815" s="103">
        <v>117.09</v>
      </c>
      <c r="H815" s="11">
        <v>175.99</v>
      </c>
      <c r="I815" s="5">
        <f t="shared" si="704"/>
        <v>3054.01</v>
      </c>
      <c r="J815" s="103">
        <v>11.41</v>
      </c>
      <c r="K815" s="5">
        <f>I815+J815</f>
        <v>3065.42</v>
      </c>
      <c r="L815" s="5">
        <f>ROUND(K815*3%,2)</f>
        <v>91.96</v>
      </c>
      <c r="M815" s="15">
        <f>K815+L815</f>
        <v>3157.38</v>
      </c>
      <c r="N815" s="15">
        <f>ROUND(M815*20%,2)</f>
        <v>631.48</v>
      </c>
      <c r="O815" s="100">
        <f>M815+N815</f>
        <v>3788.86</v>
      </c>
      <c r="P815" s="75">
        <f t="shared" si="699"/>
        <v>63.15</v>
      </c>
      <c r="Q815" s="90">
        <v>40</v>
      </c>
      <c r="R815" s="79">
        <f t="shared" si="700"/>
        <v>4.74</v>
      </c>
      <c r="S815" s="80">
        <f t="shared" si="710"/>
        <v>11.04</v>
      </c>
    </row>
    <row r="816" spans="1:19" ht="15.75" x14ac:dyDescent="0.25">
      <c r="A816" s="87">
        <v>644</v>
      </c>
      <c r="B816" s="88" t="s">
        <v>637</v>
      </c>
      <c r="C816" s="43" t="s">
        <v>474</v>
      </c>
      <c r="D816" s="103">
        <v>2427.87</v>
      </c>
      <c r="E816" s="3">
        <v>21</v>
      </c>
      <c r="F816" s="3">
        <v>580.29999999999995</v>
      </c>
      <c r="G816" s="3">
        <v>127.67</v>
      </c>
      <c r="H816" s="11">
        <v>195.01</v>
      </c>
      <c r="I816" s="5">
        <f t="shared" si="704"/>
        <v>3351.85</v>
      </c>
      <c r="J816" s="103">
        <v>12.67</v>
      </c>
      <c r="K816" s="5">
        <f t="shared" ref="K816" si="711">I816+J816</f>
        <v>3364.52</v>
      </c>
      <c r="L816" s="5">
        <f t="shared" ref="L816" si="712">ROUND(K816*3%,2)</f>
        <v>100.94</v>
      </c>
      <c r="M816" s="15">
        <f t="shared" ref="M816" si="713">K816+L816</f>
        <v>3465.46</v>
      </c>
      <c r="N816" s="15">
        <f t="shared" ref="N816" si="714">ROUND(M816*20%,2)</f>
        <v>693.09</v>
      </c>
      <c r="O816" s="100">
        <f t="shared" ref="O816" si="715">M816+N816</f>
        <v>4158.55</v>
      </c>
      <c r="P816" s="75">
        <f t="shared" si="699"/>
        <v>69.31</v>
      </c>
      <c r="Q816" s="90">
        <v>113</v>
      </c>
      <c r="R816" s="79">
        <f t="shared" si="700"/>
        <v>1.84</v>
      </c>
      <c r="S816" s="80">
        <f>ROUND(451.2/Q816,2)</f>
        <v>3.99</v>
      </c>
    </row>
    <row r="817" spans="1:19" ht="19.5" customHeight="1" x14ac:dyDescent="0.25">
      <c r="A817" s="87">
        <v>645</v>
      </c>
      <c r="B817" s="88" t="s">
        <v>638</v>
      </c>
      <c r="C817" s="43" t="s">
        <v>639</v>
      </c>
      <c r="D817" s="103">
        <v>2210.63</v>
      </c>
      <c r="E817" s="103">
        <v>18.079999999999998</v>
      </c>
      <c r="F817" s="103">
        <v>532.22</v>
      </c>
      <c r="G817" s="103">
        <v>117.09</v>
      </c>
      <c r="H817" s="11">
        <v>175.99</v>
      </c>
      <c r="I817" s="5">
        <f>E817+F817+G817+H817+D817</f>
        <v>3054.01</v>
      </c>
      <c r="J817" s="103">
        <v>11.41</v>
      </c>
      <c r="K817" s="5">
        <f>I817+J817</f>
        <v>3065.42</v>
      </c>
      <c r="L817" s="5">
        <f>ROUND(K817*3%,2)</f>
        <v>91.96</v>
      </c>
      <c r="M817" s="15">
        <f>K817+L817</f>
        <v>3157.38</v>
      </c>
      <c r="N817" s="15">
        <f>ROUND(M817*20%,2)</f>
        <v>631.48</v>
      </c>
      <c r="O817" s="100">
        <f>M817+N817</f>
        <v>3788.86</v>
      </c>
      <c r="P817" s="75">
        <f t="shared" si="699"/>
        <v>63.15</v>
      </c>
      <c r="Q817" s="90">
        <v>70</v>
      </c>
      <c r="R817" s="79">
        <f t="shared" si="700"/>
        <v>2.71</v>
      </c>
      <c r="S817" s="80">
        <f>ROUND(441.63/Q817,2)</f>
        <v>6.31</v>
      </c>
    </row>
    <row r="818" spans="1:19" ht="19.5" customHeight="1" x14ac:dyDescent="0.25">
      <c r="A818" s="87">
        <v>646</v>
      </c>
      <c r="B818" s="88" t="s">
        <v>640</v>
      </c>
      <c r="C818" s="43" t="s">
        <v>100</v>
      </c>
      <c r="D818" s="103">
        <v>2210.63</v>
      </c>
      <c r="E818" s="103">
        <v>18.079999999999998</v>
      </c>
      <c r="F818" s="103">
        <v>532.22</v>
      </c>
      <c r="G818" s="103">
        <v>117.09</v>
      </c>
      <c r="H818" s="11">
        <v>175.99</v>
      </c>
      <c r="I818" s="5">
        <f>E818+F818+G818+H818+D818</f>
        <v>3054.01</v>
      </c>
      <c r="J818" s="103">
        <v>11.41</v>
      </c>
      <c r="K818" s="5">
        <f>I818+J818</f>
        <v>3065.42</v>
      </c>
      <c r="L818" s="5">
        <f>ROUND(K818*3%,2)</f>
        <v>91.96</v>
      </c>
      <c r="M818" s="15">
        <f>K818+L818</f>
        <v>3157.38</v>
      </c>
      <c r="N818" s="15">
        <f>ROUND(M818*20%,2)</f>
        <v>631.48</v>
      </c>
      <c r="O818" s="100">
        <f>M818+N818</f>
        <v>3788.86</v>
      </c>
      <c r="P818" s="75">
        <f t="shared" si="699"/>
        <v>63.15</v>
      </c>
      <c r="Q818" s="90">
        <v>70</v>
      </c>
      <c r="R818" s="79">
        <f t="shared" si="700"/>
        <v>2.71</v>
      </c>
      <c r="S818" s="80">
        <f>ROUND(441.63/Q818,2)</f>
        <v>6.31</v>
      </c>
    </row>
    <row r="819" spans="1:19" ht="19.5" customHeight="1" x14ac:dyDescent="0.25">
      <c r="A819" s="87">
        <v>647</v>
      </c>
      <c r="B819" s="88" t="s">
        <v>641</v>
      </c>
      <c r="C819" s="43" t="s">
        <v>100</v>
      </c>
      <c r="D819" s="103">
        <v>2210.63</v>
      </c>
      <c r="E819" s="103">
        <v>18.079999999999998</v>
      </c>
      <c r="F819" s="103">
        <v>532.22</v>
      </c>
      <c r="G819" s="103">
        <v>117.09</v>
      </c>
      <c r="H819" s="11">
        <v>175.99</v>
      </c>
      <c r="I819" s="5">
        <f>E819+F819+G819+H819+D819</f>
        <v>3054.01</v>
      </c>
      <c r="J819" s="103">
        <v>11.41</v>
      </c>
      <c r="K819" s="5">
        <f>I819+J819</f>
        <v>3065.42</v>
      </c>
      <c r="L819" s="5">
        <f>ROUND(K819*3%,2)</f>
        <v>91.96</v>
      </c>
      <c r="M819" s="15">
        <f>K819+L819</f>
        <v>3157.38</v>
      </c>
      <c r="N819" s="15">
        <f>ROUND(M819*20%,2)</f>
        <v>631.48</v>
      </c>
      <c r="O819" s="100">
        <f>M819+N819</f>
        <v>3788.86</v>
      </c>
      <c r="P819" s="75">
        <f t="shared" si="699"/>
        <v>63.15</v>
      </c>
      <c r="Q819" s="90">
        <v>70</v>
      </c>
      <c r="R819" s="79">
        <f t="shared" si="700"/>
        <v>2.71</v>
      </c>
      <c r="S819" s="80">
        <f t="shared" ref="S819" si="716">ROUND(441.63/Q819,2)</f>
        <v>6.31</v>
      </c>
    </row>
    <row r="820" spans="1:19" ht="19.5" customHeight="1" x14ac:dyDescent="0.25">
      <c r="A820" s="87">
        <v>648</v>
      </c>
      <c r="B820" s="88" t="s">
        <v>642</v>
      </c>
      <c r="C820" s="43" t="s">
        <v>49</v>
      </c>
      <c r="D820" s="103">
        <v>1962.25</v>
      </c>
      <c r="E820" s="103">
        <v>18.079999999999998</v>
      </c>
      <c r="F820" s="103">
        <v>532.22</v>
      </c>
      <c r="G820" s="103">
        <v>117.09</v>
      </c>
      <c r="H820" s="11">
        <v>175.99</v>
      </c>
      <c r="I820" s="5">
        <f>E820+F820+G820+H820+D820</f>
        <v>2805.63</v>
      </c>
      <c r="J820" s="103">
        <v>11.41</v>
      </c>
      <c r="K820" s="5">
        <f t="shared" si="676"/>
        <v>2817.04</v>
      </c>
      <c r="L820" s="5">
        <f t="shared" si="696"/>
        <v>84.51</v>
      </c>
      <c r="M820" s="15">
        <f t="shared" si="677"/>
        <v>2901.55</v>
      </c>
      <c r="N820" s="15">
        <f t="shared" si="698"/>
        <v>580.30999999999995</v>
      </c>
      <c r="O820" s="100">
        <f t="shared" si="678"/>
        <v>3481.86</v>
      </c>
      <c r="P820" s="75">
        <f t="shared" si="699"/>
        <v>58.03</v>
      </c>
      <c r="Q820" s="90">
        <v>40</v>
      </c>
      <c r="R820" s="79">
        <f t="shared" si="700"/>
        <v>4.3499999999999996</v>
      </c>
      <c r="S820" s="80">
        <f>ROUND(441.63/Q820,2)</f>
        <v>11.04</v>
      </c>
    </row>
    <row r="821" spans="1:19" ht="19.5" customHeight="1" thickBot="1" x14ac:dyDescent="0.3">
      <c r="A821" s="23">
        <v>649</v>
      </c>
      <c r="B821" s="46" t="s">
        <v>643</v>
      </c>
      <c r="C821" s="56" t="s">
        <v>474</v>
      </c>
      <c r="D821" s="57">
        <v>2427.87</v>
      </c>
      <c r="E821" s="137">
        <v>21</v>
      </c>
      <c r="F821" s="137">
        <v>580.29999999999995</v>
      </c>
      <c r="G821" s="137">
        <v>127.67</v>
      </c>
      <c r="H821" s="58">
        <v>195.01</v>
      </c>
      <c r="I821" s="59">
        <f t="shared" ref="I821:I822" si="717">E821+F821+G821+H821+D821</f>
        <v>3351.85</v>
      </c>
      <c r="J821" s="57">
        <v>12.67</v>
      </c>
      <c r="K821" s="59">
        <f t="shared" si="676"/>
        <v>3364.52</v>
      </c>
      <c r="L821" s="59">
        <f t="shared" si="696"/>
        <v>100.94</v>
      </c>
      <c r="M821" s="60">
        <f t="shared" si="677"/>
        <v>3465.46</v>
      </c>
      <c r="N821" s="60">
        <f t="shared" si="698"/>
        <v>693.09</v>
      </c>
      <c r="O821" s="61">
        <f t="shared" si="678"/>
        <v>4158.55</v>
      </c>
      <c r="P821" s="109">
        <f t="shared" si="699"/>
        <v>69.31</v>
      </c>
      <c r="Q821" s="70">
        <v>141</v>
      </c>
      <c r="R821" s="110">
        <f t="shared" si="700"/>
        <v>1.47</v>
      </c>
      <c r="S821" s="146">
        <f>ROUND(451.2/Q821,2)</f>
        <v>3.2</v>
      </c>
    </row>
    <row r="822" spans="1:19" ht="15" customHeight="1" x14ac:dyDescent="0.25">
      <c r="A822" s="253">
        <v>650</v>
      </c>
      <c r="B822" s="277" t="s">
        <v>860</v>
      </c>
      <c r="C822" s="138" t="s">
        <v>49</v>
      </c>
      <c r="D822" s="202">
        <f>1962.25*3</f>
        <v>5886.75</v>
      </c>
      <c r="E822" s="282">
        <f>18.08*3</f>
        <v>54.239999999999995</v>
      </c>
      <c r="F822" s="282">
        <f>532.22*3</f>
        <v>1596.66</v>
      </c>
      <c r="G822" s="283">
        <f>117.09*3</f>
        <v>351.27</v>
      </c>
      <c r="H822" s="255">
        <f>175.99*3</f>
        <v>527.97</v>
      </c>
      <c r="I822" s="207">
        <f t="shared" si="717"/>
        <v>8416.89</v>
      </c>
      <c r="J822" s="201">
        <f>11.41*3</f>
        <v>34.230000000000004</v>
      </c>
      <c r="K822" s="207">
        <f t="shared" si="676"/>
        <v>8451.119999999999</v>
      </c>
      <c r="L822" s="207">
        <f>ROUND(K822*3%,2)</f>
        <v>253.53</v>
      </c>
      <c r="M822" s="257">
        <f t="shared" si="677"/>
        <v>8704.65</v>
      </c>
      <c r="N822" s="257">
        <f>ROUND(M822*20%,2)</f>
        <v>1740.93</v>
      </c>
      <c r="O822" s="258">
        <f t="shared" si="678"/>
        <v>10445.58</v>
      </c>
      <c r="P822" s="257">
        <f>ROUND(O822/5/12,2)</f>
        <v>174.09</v>
      </c>
      <c r="Q822" s="284">
        <v>115</v>
      </c>
      <c r="R822" s="205">
        <f t="shared" si="700"/>
        <v>4.54</v>
      </c>
      <c r="S822" s="281">
        <f>ROUND(441.63*3/Q822,2)</f>
        <v>11.52</v>
      </c>
    </row>
    <row r="823" spans="1:19" ht="15" customHeight="1" x14ac:dyDescent="0.25">
      <c r="A823" s="232"/>
      <c r="B823" s="271"/>
      <c r="C823" s="29" t="s">
        <v>615</v>
      </c>
      <c r="D823" s="176"/>
      <c r="E823" s="196"/>
      <c r="F823" s="196"/>
      <c r="G823" s="229"/>
      <c r="H823" s="171"/>
      <c r="I823" s="172"/>
      <c r="J823" s="200"/>
      <c r="K823" s="172"/>
      <c r="L823" s="172"/>
      <c r="M823" s="191"/>
      <c r="N823" s="191"/>
      <c r="O823" s="187">
        <f t="shared" si="678"/>
        <v>0</v>
      </c>
      <c r="P823" s="191"/>
      <c r="Q823" s="270"/>
      <c r="R823" s="189"/>
      <c r="S823" s="259">
        <f t="shared" si="694"/>
        <v>8.0607272727272719</v>
      </c>
    </row>
    <row r="824" spans="1:19" ht="15" customHeight="1" x14ac:dyDescent="0.25">
      <c r="A824" s="232"/>
      <c r="B824" s="271"/>
      <c r="C824" s="30" t="s">
        <v>49</v>
      </c>
      <c r="D824" s="177"/>
      <c r="E824" s="197"/>
      <c r="F824" s="197"/>
      <c r="G824" s="230"/>
      <c r="H824" s="168"/>
      <c r="I824" s="170"/>
      <c r="J824" s="199"/>
      <c r="K824" s="170"/>
      <c r="L824" s="170"/>
      <c r="M824" s="174"/>
      <c r="N824" s="174"/>
      <c r="O824" s="179">
        <f t="shared" si="678"/>
        <v>0</v>
      </c>
      <c r="P824" s="174"/>
      <c r="Q824" s="270"/>
      <c r="R824" s="183"/>
      <c r="S824" s="259">
        <f t="shared" si="694"/>
        <v>8.0607272727272719</v>
      </c>
    </row>
    <row r="825" spans="1:19" ht="15.75" x14ac:dyDescent="0.25">
      <c r="A825" s="87">
        <v>651</v>
      </c>
      <c r="B825" s="88" t="s">
        <v>644</v>
      </c>
      <c r="C825" s="43" t="s">
        <v>645</v>
      </c>
      <c r="D825" s="103">
        <v>1962.25</v>
      </c>
      <c r="E825" s="103">
        <v>18.079999999999998</v>
      </c>
      <c r="F825" s="103">
        <v>532.22</v>
      </c>
      <c r="G825" s="103">
        <v>117.09</v>
      </c>
      <c r="H825" s="11">
        <v>175.99</v>
      </c>
      <c r="I825" s="5">
        <f>E825+F825+G825+H825+D825</f>
        <v>2805.63</v>
      </c>
      <c r="J825" s="103">
        <v>11.41</v>
      </c>
      <c r="K825" s="5">
        <f t="shared" ref="K825:K829" si="718">I825+J825</f>
        <v>2817.04</v>
      </c>
      <c r="L825" s="5">
        <f t="shared" ref="L825:L834" si="719">ROUND(K825*3%,2)</f>
        <v>84.51</v>
      </c>
      <c r="M825" s="15">
        <f t="shared" ref="M825:M829" si="720">K825+L825</f>
        <v>2901.55</v>
      </c>
      <c r="N825" s="15">
        <f t="shared" ref="N825:N834" si="721">ROUND(M825*20%,2)</f>
        <v>580.30999999999995</v>
      </c>
      <c r="O825" s="100">
        <f t="shared" si="678"/>
        <v>3481.86</v>
      </c>
      <c r="P825" s="75">
        <f>ROUND(O825/5/12,2)</f>
        <v>58.03</v>
      </c>
      <c r="Q825" s="90">
        <v>34</v>
      </c>
      <c r="R825" s="79">
        <f t="shared" ref="R825:R838" si="722">ROUND(P825*3/Q825,2)</f>
        <v>5.12</v>
      </c>
      <c r="S825" s="80">
        <f>ROUND(441.63/Q825,2)</f>
        <v>12.99</v>
      </c>
    </row>
    <row r="826" spans="1:19" ht="15.75" x14ac:dyDescent="0.25">
      <c r="A826" s="87">
        <v>652</v>
      </c>
      <c r="B826" s="88" t="s">
        <v>646</v>
      </c>
      <c r="C826" s="43" t="s">
        <v>485</v>
      </c>
      <c r="D826" s="103">
        <v>1475.88</v>
      </c>
      <c r="E826" s="103">
        <v>18.079999999999998</v>
      </c>
      <c r="F826" s="103">
        <v>532.22</v>
      </c>
      <c r="G826" s="103">
        <v>117.09</v>
      </c>
      <c r="H826" s="11">
        <v>175.99</v>
      </c>
      <c r="I826" s="5">
        <f t="shared" ref="I826:I829" si="723">E826+F826+G826+H826+D826</f>
        <v>2319.2600000000002</v>
      </c>
      <c r="J826" s="103">
        <v>11.41</v>
      </c>
      <c r="K826" s="5">
        <f t="shared" si="718"/>
        <v>2330.67</v>
      </c>
      <c r="L826" s="5">
        <f t="shared" si="719"/>
        <v>69.92</v>
      </c>
      <c r="M826" s="15">
        <f t="shared" si="720"/>
        <v>2400.59</v>
      </c>
      <c r="N826" s="15">
        <f t="shared" si="721"/>
        <v>480.12</v>
      </c>
      <c r="O826" s="100">
        <f t="shared" si="678"/>
        <v>2880.71</v>
      </c>
      <c r="P826" s="75">
        <f>ROUND(O826/5/12,2)</f>
        <v>48.01</v>
      </c>
      <c r="Q826" s="90">
        <v>21</v>
      </c>
      <c r="R826" s="79">
        <f t="shared" si="722"/>
        <v>6.86</v>
      </c>
      <c r="S826" s="80">
        <f t="shared" ref="S826:S828" si="724">ROUND(441.63/Q826,2)</f>
        <v>21.03</v>
      </c>
    </row>
    <row r="827" spans="1:19" ht="15.75" x14ac:dyDescent="0.25">
      <c r="A827" s="87">
        <v>653</v>
      </c>
      <c r="B827" s="88" t="s">
        <v>647</v>
      </c>
      <c r="C827" s="43" t="s">
        <v>100</v>
      </c>
      <c r="D827" s="103">
        <v>2210.63</v>
      </c>
      <c r="E827" s="103">
        <v>18.079999999999998</v>
      </c>
      <c r="F827" s="103">
        <v>532.22</v>
      </c>
      <c r="G827" s="103">
        <v>117.09</v>
      </c>
      <c r="H827" s="11">
        <v>175.99</v>
      </c>
      <c r="I827" s="5">
        <f t="shared" si="723"/>
        <v>3054.01</v>
      </c>
      <c r="J827" s="103">
        <v>11.41</v>
      </c>
      <c r="K827" s="5">
        <f t="shared" si="718"/>
        <v>3065.42</v>
      </c>
      <c r="L827" s="5">
        <f t="shared" si="719"/>
        <v>91.96</v>
      </c>
      <c r="M827" s="15">
        <f t="shared" si="720"/>
        <v>3157.38</v>
      </c>
      <c r="N827" s="15">
        <f t="shared" si="721"/>
        <v>631.48</v>
      </c>
      <c r="O827" s="100">
        <f t="shared" si="678"/>
        <v>3788.86</v>
      </c>
      <c r="P827" s="75">
        <f t="shared" ref="P827:P837" si="725">ROUND(O827/5/12,2)</f>
        <v>63.15</v>
      </c>
      <c r="Q827" s="90">
        <v>50</v>
      </c>
      <c r="R827" s="79">
        <f t="shared" si="722"/>
        <v>3.79</v>
      </c>
      <c r="S827" s="80">
        <f t="shared" si="724"/>
        <v>8.83</v>
      </c>
    </row>
    <row r="828" spans="1:19" ht="15.75" x14ac:dyDescent="0.25">
      <c r="A828" s="87">
        <v>654</v>
      </c>
      <c r="B828" s="88" t="s">
        <v>648</v>
      </c>
      <c r="C828" s="43" t="s">
        <v>100</v>
      </c>
      <c r="D828" s="103">
        <v>2210.63</v>
      </c>
      <c r="E828" s="103">
        <v>18.079999999999998</v>
      </c>
      <c r="F828" s="103">
        <v>532.22</v>
      </c>
      <c r="G828" s="103">
        <v>117.09</v>
      </c>
      <c r="H828" s="11">
        <v>175.99</v>
      </c>
      <c r="I828" s="5">
        <f t="shared" si="723"/>
        <v>3054.01</v>
      </c>
      <c r="J828" s="103">
        <v>11.41</v>
      </c>
      <c r="K828" s="5">
        <f t="shared" si="718"/>
        <v>3065.42</v>
      </c>
      <c r="L828" s="5">
        <f t="shared" si="719"/>
        <v>91.96</v>
      </c>
      <c r="M828" s="15">
        <f t="shared" si="720"/>
        <v>3157.38</v>
      </c>
      <c r="N828" s="15">
        <f t="shared" si="721"/>
        <v>631.48</v>
      </c>
      <c r="O828" s="100">
        <f t="shared" si="678"/>
        <v>3788.86</v>
      </c>
      <c r="P828" s="75">
        <f t="shared" si="725"/>
        <v>63.15</v>
      </c>
      <c r="Q828" s="90">
        <v>54</v>
      </c>
      <c r="R828" s="79">
        <f t="shared" si="722"/>
        <v>3.51</v>
      </c>
      <c r="S828" s="80">
        <f t="shared" si="724"/>
        <v>8.18</v>
      </c>
    </row>
    <row r="829" spans="1:19" ht="15.75" x14ac:dyDescent="0.25">
      <c r="A829" s="87">
        <v>655</v>
      </c>
      <c r="B829" s="88" t="s">
        <v>649</v>
      </c>
      <c r="C829" s="43" t="s">
        <v>416</v>
      </c>
      <c r="D829" s="103">
        <v>2639</v>
      </c>
      <c r="E829" s="3">
        <v>21</v>
      </c>
      <c r="F829" s="3">
        <v>580.29999999999995</v>
      </c>
      <c r="G829" s="3">
        <v>127.67</v>
      </c>
      <c r="H829" s="11">
        <v>195.01</v>
      </c>
      <c r="I829" s="5">
        <f t="shared" si="723"/>
        <v>3562.98</v>
      </c>
      <c r="J829" s="103">
        <v>12.67</v>
      </c>
      <c r="K829" s="5">
        <f t="shared" si="718"/>
        <v>3575.65</v>
      </c>
      <c r="L829" s="5">
        <f t="shared" si="719"/>
        <v>107.27</v>
      </c>
      <c r="M829" s="15">
        <f t="shared" si="720"/>
        <v>3682.92</v>
      </c>
      <c r="N829" s="15">
        <f t="shared" si="721"/>
        <v>736.58</v>
      </c>
      <c r="O829" s="100">
        <f t="shared" si="678"/>
        <v>4419.5</v>
      </c>
      <c r="P829" s="75">
        <f t="shared" si="725"/>
        <v>73.66</v>
      </c>
      <c r="Q829" s="90">
        <v>250</v>
      </c>
      <c r="R829" s="79">
        <f t="shared" si="722"/>
        <v>0.88</v>
      </c>
      <c r="S829" s="80">
        <f>ROUND(482.49/Q829,2)</f>
        <v>1.93</v>
      </c>
    </row>
    <row r="830" spans="1:19" ht="15.75" x14ac:dyDescent="0.25">
      <c r="A830" s="87">
        <v>656</v>
      </c>
      <c r="B830" s="88" t="s">
        <v>650</v>
      </c>
      <c r="C830" s="43" t="s">
        <v>49</v>
      </c>
      <c r="D830" s="103">
        <v>1962.25</v>
      </c>
      <c r="E830" s="103">
        <v>18.079999999999998</v>
      </c>
      <c r="F830" s="103">
        <v>532.22</v>
      </c>
      <c r="G830" s="103">
        <v>117.09</v>
      </c>
      <c r="H830" s="11">
        <v>175.99</v>
      </c>
      <c r="I830" s="5">
        <f>E830+F830+G830+H830+D830</f>
        <v>2805.63</v>
      </c>
      <c r="J830" s="103">
        <v>11.41</v>
      </c>
      <c r="K830" s="5">
        <f t="shared" si="676"/>
        <v>2817.04</v>
      </c>
      <c r="L830" s="5">
        <f t="shared" si="719"/>
        <v>84.51</v>
      </c>
      <c r="M830" s="15">
        <f t="shared" si="677"/>
        <v>2901.55</v>
      </c>
      <c r="N830" s="15">
        <f t="shared" si="721"/>
        <v>580.30999999999995</v>
      </c>
      <c r="O830" s="100">
        <f t="shared" si="678"/>
        <v>3481.86</v>
      </c>
      <c r="P830" s="75">
        <f t="shared" si="725"/>
        <v>58.03</v>
      </c>
      <c r="Q830" s="90">
        <v>36</v>
      </c>
      <c r="R830" s="79">
        <f t="shared" si="722"/>
        <v>4.84</v>
      </c>
      <c r="S830" s="80">
        <f>ROUND(441.63/Q830,2)</f>
        <v>12.27</v>
      </c>
    </row>
    <row r="831" spans="1:19" ht="15.75" x14ac:dyDescent="0.25">
      <c r="A831" s="87">
        <v>657</v>
      </c>
      <c r="B831" s="88" t="s">
        <v>651</v>
      </c>
      <c r="C831" s="43" t="s">
        <v>593</v>
      </c>
      <c r="D831" s="103">
        <v>1475.88</v>
      </c>
      <c r="E831" s="103">
        <v>18.079999999999998</v>
      </c>
      <c r="F831" s="103">
        <v>532.22</v>
      </c>
      <c r="G831" s="103">
        <v>117.09</v>
      </c>
      <c r="H831" s="11">
        <v>175.99</v>
      </c>
      <c r="I831" s="5">
        <f t="shared" ref="I831:I832" si="726">E831+F831+G831+H831+D831</f>
        <v>2319.2600000000002</v>
      </c>
      <c r="J831" s="103">
        <v>11.41</v>
      </c>
      <c r="K831" s="5">
        <f t="shared" si="676"/>
        <v>2330.67</v>
      </c>
      <c r="L831" s="5">
        <f t="shared" si="719"/>
        <v>69.92</v>
      </c>
      <c r="M831" s="15">
        <f t="shared" si="677"/>
        <v>2400.59</v>
      </c>
      <c r="N831" s="15">
        <f t="shared" si="721"/>
        <v>480.12</v>
      </c>
      <c r="O831" s="100">
        <f t="shared" si="678"/>
        <v>2880.71</v>
      </c>
      <c r="P831" s="75">
        <f t="shared" si="725"/>
        <v>48.01</v>
      </c>
      <c r="Q831" s="90">
        <v>11</v>
      </c>
      <c r="R831" s="79">
        <f t="shared" si="722"/>
        <v>13.09</v>
      </c>
      <c r="S831" s="80">
        <f t="shared" ref="S831:S832" si="727">ROUND(441.63/Q831,2)</f>
        <v>40.15</v>
      </c>
    </row>
    <row r="832" spans="1:19" ht="15.75" x14ac:dyDescent="0.25">
      <c r="A832" s="87">
        <v>658</v>
      </c>
      <c r="B832" s="88" t="s">
        <v>652</v>
      </c>
      <c r="C832" s="43" t="s">
        <v>593</v>
      </c>
      <c r="D832" s="103">
        <v>1475.88</v>
      </c>
      <c r="E832" s="103">
        <v>18.079999999999998</v>
      </c>
      <c r="F832" s="103">
        <v>532.22</v>
      </c>
      <c r="G832" s="103">
        <v>117.09</v>
      </c>
      <c r="H832" s="11">
        <v>175.99</v>
      </c>
      <c r="I832" s="5">
        <f t="shared" si="726"/>
        <v>2319.2600000000002</v>
      </c>
      <c r="J832" s="103">
        <v>11.41</v>
      </c>
      <c r="K832" s="5">
        <f t="shared" si="676"/>
        <v>2330.67</v>
      </c>
      <c r="L832" s="5">
        <f t="shared" si="719"/>
        <v>69.92</v>
      </c>
      <c r="M832" s="15">
        <f t="shared" si="677"/>
        <v>2400.59</v>
      </c>
      <c r="N832" s="15">
        <f t="shared" si="721"/>
        <v>480.12</v>
      </c>
      <c r="O832" s="100">
        <f t="shared" si="678"/>
        <v>2880.71</v>
      </c>
      <c r="P832" s="75">
        <f t="shared" si="725"/>
        <v>48.01</v>
      </c>
      <c r="Q832" s="90">
        <v>24</v>
      </c>
      <c r="R832" s="79">
        <f t="shared" si="722"/>
        <v>6</v>
      </c>
      <c r="S832" s="80">
        <f t="shared" si="727"/>
        <v>18.399999999999999</v>
      </c>
    </row>
    <row r="833" spans="1:19" ht="15.75" x14ac:dyDescent="0.25">
      <c r="A833" s="87">
        <v>659</v>
      </c>
      <c r="B833" s="88" t="s">
        <v>653</v>
      </c>
      <c r="C833" s="43" t="s">
        <v>49</v>
      </c>
      <c r="D833" s="103">
        <v>1962.25</v>
      </c>
      <c r="E833" s="103">
        <v>18.079999999999998</v>
      </c>
      <c r="F833" s="103">
        <v>532.22</v>
      </c>
      <c r="G833" s="103">
        <v>117.09</v>
      </c>
      <c r="H833" s="11">
        <v>175.99</v>
      </c>
      <c r="I833" s="5">
        <f>E833+F833+G833+H833+D833</f>
        <v>2805.63</v>
      </c>
      <c r="J833" s="103">
        <v>11.41</v>
      </c>
      <c r="K833" s="5">
        <f t="shared" ref="K833:K868" si="728">I833+J833</f>
        <v>2817.04</v>
      </c>
      <c r="L833" s="5">
        <f t="shared" si="719"/>
        <v>84.51</v>
      </c>
      <c r="M833" s="15">
        <f t="shared" ref="M833:M868" si="729">K833+L833</f>
        <v>2901.55</v>
      </c>
      <c r="N833" s="15">
        <f t="shared" si="721"/>
        <v>580.30999999999995</v>
      </c>
      <c r="O833" s="100">
        <f t="shared" ref="O833:O876" si="730">M833+N833</f>
        <v>3481.86</v>
      </c>
      <c r="P833" s="75">
        <f t="shared" si="725"/>
        <v>58.03</v>
      </c>
      <c r="Q833" s="90">
        <v>36</v>
      </c>
      <c r="R833" s="79">
        <f t="shared" si="722"/>
        <v>4.84</v>
      </c>
      <c r="S833" s="80">
        <f>ROUND(441.63/Q833,2)</f>
        <v>12.27</v>
      </c>
    </row>
    <row r="834" spans="1:19" ht="15.75" x14ac:dyDescent="0.25">
      <c r="A834" s="87">
        <v>660</v>
      </c>
      <c r="B834" s="88" t="s">
        <v>654</v>
      </c>
      <c r="C834" s="43" t="s">
        <v>49</v>
      </c>
      <c r="D834" s="103">
        <v>1962.25</v>
      </c>
      <c r="E834" s="103">
        <v>18.079999999999998</v>
      </c>
      <c r="F834" s="103">
        <v>532.22</v>
      </c>
      <c r="G834" s="103">
        <v>117.09</v>
      </c>
      <c r="H834" s="11">
        <v>175.99</v>
      </c>
      <c r="I834" s="5">
        <f>E834+F834+G834+H834+D834</f>
        <v>2805.63</v>
      </c>
      <c r="J834" s="103">
        <v>11.41</v>
      </c>
      <c r="K834" s="5">
        <f t="shared" si="728"/>
        <v>2817.04</v>
      </c>
      <c r="L834" s="5">
        <f t="shared" si="719"/>
        <v>84.51</v>
      </c>
      <c r="M834" s="15">
        <f t="shared" si="729"/>
        <v>2901.55</v>
      </c>
      <c r="N834" s="15">
        <f t="shared" si="721"/>
        <v>580.30999999999995</v>
      </c>
      <c r="O834" s="100">
        <f t="shared" si="730"/>
        <v>3481.86</v>
      </c>
      <c r="P834" s="75">
        <f t="shared" si="725"/>
        <v>58.03</v>
      </c>
      <c r="Q834" s="90">
        <v>51</v>
      </c>
      <c r="R834" s="79">
        <f t="shared" si="722"/>
        <v>3.41</v>
      </c>
      <c r="S834" s="80">
        <f>ROUND(441.63/Q834,2)</f>
        <v>8.66</v>
      </c>
    </row>
    <row r="835" spans="1:19" ht="15.75" x14ac:dyDescent="0.25">
      <c r="A835" s="87">
        <v>661</v>
      </c>
      <c r="B835" s="88" t="s">
        <v>655</v>
      </c>
      <c r="C835" s="43" t="s">
        <v>596</v>
      </c>
      <c r="D835" s="103">
        <v>2210.63</v>
      </c>
      <c r="E835" s="103">
        <v>18.079999999999998</v>
      </c>
      <c r="F835" s="103">
        <v>532.22</v>
      </c>
      <c r="G835" s="103">
        <v>117.09</v>
      </c>
      <c r="H835" s="11">
        <v>175.99</v>
      </c>
      <c r="I835" s="5">
        <f>E835+F835+G835+H835+D835</f>
        <v>3054.01</v>
      </c>
      <c r="J835" s="103">
        <v>11.41</v>
      </c>
      <c r="K835" s="5">
        <f>I835+J835</f>
        <v>3065.42</v>
      </c>
      <c r="L835" s="5">
        <f>ROUND(K835*3%,2)</f>
        <v>91.96</v>
      </c>
      <c r="M835" s="15">
        <f>K835+L835</f>
        <v>3157.38</v>
      </c>
      <c r="N835" s="15">
        <f>ROUND(M835*20%,2)</f>
        <v>631.48</v>
      </c>
      <c r="O835" s="100">
        <f>M835+N835</f>
        <v>3788.86</v>
      </c>
      <c r="P835" s="75">
        <f t="shared" si="725"/>
        <v>63.15</v>
      </c>
      <c r="Q835" s="90">
        <v>111</v>
      </c>
      <c r="R835" s="79">
        <f t="shared" si="722"/>
        <v>1.71</v>
      </c>
      <c r="S835" s="80">
        <f>ROUND(441.63/Q835,2)</f>
        <v>3.98</v>
      </c>
    </row>
    <row r="836" spans="1:19" ht="15.75" x14ac:dyDescent="0.25">
      <c r="A836" s="87">
        <v>662</v>
      </c>
      <c r="B836" s="88" t="s">
        <v>656</v>
      </c>
      <c r="C836" s="43" t="s">
        <v>474</v>
      </c>
      <c r="D836" s="103">
        <v>2427.87</v>
      </c>
      <c r="E836" s="3">
        <v>21</v>
      </c>
      <c r="F836" s="3">
        <v>580.29999999999995</v>
      </c>
      <c r="G836" s="3">
        <v>127.67</v>
      </c>
      <c r="H836" s="11">
        <v>195.01</v>
      </c>
      <c r="I836" s="5">
        <f t="shared" ref="I836:I838" si="731">E836+F836+G836+H836+D836</f>
        <v>3351.85</v>
      </c>
      <c r="J836" s="103">
        <v>12.67</v>
      </c>
      <c r="K836" s="5">
        <f t="shared" ref="K836:K837" si="732">I836+J836</f>
        <v>3364.52</v>
      </c>
      <c r="L836" s="5">
        <f t="shared" ref="L836:L837" si="733">ROUND(K836*3%,2)</f>
        <v>100.94</v>
      </c>
      <c r="M836" s="15">
        <f t="shared" ref="M836:M837" si="734">K836+L836</f>
        <v>3465.46</v>
      </c>
      <c r="N836" s="15">
        <f t="shared" ref="N836:N837" si="735">ROUND(M836*20%,2)</f>
        <v>693.09</v>
      </c>
      <c r="O836" s="100">
        <f t="shared" ref="O836:O837" si="736">M836+N836</f>
        <v>4158.55</v>
      </c>
      <c r="P836" s="75">
        <f t="shared" si="725"/>
        <v>69.31</v>
      </c>
      <c r="Q836" s="90">
        <v>60</v>
      </c>
      <c r="R836" s="79">
        <f t="shared" si="722"/>
        <v>3.47</v>
      </c>
      <c r="S836" s="80">
        <f>ROUND(451.2/Q836,2)</f>
        <v>7.52</v>
      </c>
    </row>
    <row r="837" spans="1:19" ht="15.75" x14ac:dyDescent="0.25">
      <c r="A837" s="87">
        <v>663</v>
      </c>
      <c r="B837" s="88" t="s">
        <v>657</v>
      </c>
      <c r="C837" s="43" t="s">
        <v>593</v>
      </c>
      <c r="D837" s="103">
        <v>1475.88</v>
      </c>
      <c r="E837" s="103">
        <v>18.079999999999998</v>
      </c>
      <c r="F837" s="103">
        <v>532.22</v>
      </c>
      <c r="G837" s="103">
        <v>117.09</v>
      </c>
      <c r="H837" s="11">
        <v>175.99</v>
      </c>
      <c r="I837" s="5">
        <f t="shared" si="731"/>
        <v>2319.2600000000002</v>
      </c>
      <c r="J837" s="103">
        <v>11.41</v>
      </c>
      <c r="K837" s="5">
        <f t="shared" si="732"/>
        <v>2330.67</v>
      </c>
      <c r="L837" s="5">
        <f t="shared" si="733"/>
        <v>69.92</v>
      </c>
      <c r="M837" s="15">
        <f t="shared" si="734"/>
        <v>2400.59</v>
      </c>
      <c r="N837" s="15">
        <f t="shared" si="735"/>
        <v>480.12</v>
      </c>
      <c r="O837" s="100">
        <f t="shared" si="736"/>
        <v>2880.71</v>
      </c>
      <c r="P837" s="75">
        <f t="shared" si="725"/>
        <v>48.01</v>
      </c>
      <c r="Q837" s="90">
        <v>8</v>
      </c>
      <c r="R837" s="79">
        <f t="shared" si="722"/>
        <v>18</v>
      </c>
      <c r="S837" s="80">
        <f t="shared" ref="S837" si="737">ROUND(441.63/Q837,2)</f>
        <v>55.2</v>
      </c>
    </row>
    <row r="838" spans="1:19" x14ac:dyDescent="0.25">
      <c r="A838" s="232">
        <v>664</v>
      </c>
      <c r="B838" s="271" t="s">
        <v>861</v>
      </c>
      <c r="C838" s="27" t="s">
        <v>49</v>
      </c>
      <c r="D838" s="175">
        <f>1962.25*3+2427.87</f>
        <v>8314.619999999999</v>
      </c>
      <c r="E838" s="195">
        <f>18.08*3+21</f>
        <v>75.239999999999995</v>
      </c>
      <c r="F838" s="195">
        <f>532.22*3+580.3</f>
        <v>2176.96</v>
      </c>
      <c r="G838" s="222">
        <f>117.09*3+127.67</f>
        <v>478.94</v>
      </c>
      <c r="H838" s="167">
        <f>175.99*3+195.01</f>
        <v>722.98</v>
      </c>
      <c r="I838" s="169">
        <f t="shared" si="731"/>
        <v>11768.739999999998</v>
      </c>
      <c r="J838" s="190">
        <f>11.41*3+12.67</f>
        <v>46.900000000000006</v>
      </c>
      <c r="K838" s="169">
        <f t="shared" si="728"/>
        <v>11815.639999999998</v>
      </c>
      <c r="L838" s="169">
        <f>ROUND(K838*3%,2)</f>
        <v>354.47</v>
      </c>
      <c r="M838" s="173">
        <f t="shared" si="729"/>
        <v>12170.109999999997</v>
      </c>
      <c r="N838" s="173">
        <f>ROUND(M838*20%,2)</f>
        <v>2434.02</v>
      </c>
      <c r="O838" s="178">
        <f t="shared" si="730"/>
        <v>14604.129999999997</v>
      </c>
      <c r="P838" s="173">
        <f>ROUND(O838/5/12,2)</f>
        <v>243.4</v>
      </c>
      <c r="Q838" s="270">
        <f>36+36+36</f>
        <v>108</v>
      </c>
      <c r="R838" s="182">
        <f t="shared" si="722"/>
        <v>6.76</v>
      </c>
      <c r="S838" s="259">
        <f>ROUND((441.63*3+451.2)/Q838,2)</f>
        <v>16.45</v>
      </c>
    </row>
    <row r="839" spans="1:19" x14ac:dyDescent="0.25">
      <c r="A839" s="232"/>
      <c r="B839" s="271"/>
      <c r="C839" s="29" t="s">
        <v>49</v>
      </c>
      <c r="D839" s="176"/>
      <c r="E839" s="196"/>
      <c r="F839" s="196"/>
      <c r="G839" s="229"/>
      <c r="H839" s="171"/>
      <c r="I839" s="172"/>
      <c r="J839" s="200"/>
      <c r="K839" s="172"/>
      <c r="L839" s="172"/>
      <c r="M839" s="191"/>
      <c r="N839" s="191"/>
      <c r="O839" s="187">
        <f t="shared" si="730"/>
        <v>0</v>
      </c>
      <c r="P839" s="191"/>
      <c r="Q839" s="270"/>
      <c r="R839" s="189"/>
      <c r="S839" s="259">
        <f t="shared" ref="S839:S878" si="738">443.34*1/55</f>
        <v>8.0607272727272719</v>
      </c>
    </row>
    <row r="840" spans="1:19" x14ac:dyDescent="0.25">
      <c r="A840" s="232"/>
      <c r="B840" s="271"/>
      <c r="C840" s="29" t="s">
        <v>49</v>
      </c>
      <c r="D840" s="176"/>
      <c r="E840" s="196"/>
      <c r="F840" s="196"/>
      <c r="G840" s="229"/>
      <c r="H840" s="171"/>
      <c r="I840" s="172"/>
      <c r="J840" s="200"/>
      <c r="K840" s="172"/>
      <c r="L840" s="172"/>
      <c r="M840" s="191"/>
      <c r="N840" s="191"/>
      <c r="O840" s="187">
        <f t="shared" si="730"/>
        <v>0</v>
      </c>
      <c r="P840" s="191"/>
      <c r="Q840" s="270"/>
      <c r="R840" s="189"/>
      <c r="S840" s="259">
        <f t="shared" si="738"/>
        <v>8.0607272727272719</v>
      </c>
    </row>
    <row r="841" spans="1:19" x14ac:dyDescent="0.25">
      <c r="A841" s="232"/>
      <c r="B841" s="271"/>
      <c r="C841" s="30" t="s">
        <v>474</v>
      </c>
      <c r="D841" s="177"/>
      <c r="E841" s="197"/>
      <c r="F841" s="197"/>
      <c r="G841" s="230"/>
      <c r="H841" s="168"/>
      <c r="I841" s="170"/>
      <c r="J841" s="199"/>
      <c r="K841" s="170"/>
      <c r="L841" s="170"/>
      <c r="M841" s="174"/>
      <c r="N841" s="174"/>
      <c r="O841" s="179">
        <f t="shared" si="730"/>
        <v>0</v>
      </c>
      <c r="P841" s="174"/>
      <c r="Q841" s="270"/>
      <c r="R841" s="183"/>
      <c r="S841" s="259">
        <f t="shared" si="738"/>
        <v>8.0607272727272719</v>
      </c>
    </row>
    <row r="842" spans="1:19" ht="15.75" x14ac:dyDescent="0.25">
      <c r="A842" s="87">
        <v>665</v>
      </c>
      <c r="B842" s="88" t="s">
        <v>658</v>
      </c>
      <c r="C842" s="43" t="s">
        <v>49</v>
      </c>
      <c r="D842" s="103">
        <v>1962.25</v>
      </c>
      <c r="E842" s="103">
        <v>18.079999999999998</v>
      </c>
      <c r="F842" s="103">
        <v>532.22</v>
      </c>
      <c r="G842" s="103">
        <v>117.09</v>
      </c>
      <c r="H842" s="11">
        <v>175.99</v>
      </c>
      <c r="I842" s="5">
        <f>E842+F842+G842+H842+D842</f>
        <v>2805.63</v>
      </c>
      <c r="J842" s="103">
        <v>11.41</v>
      </c>
      <c r="K842" s="5">
        <f t="shared" ref="K842:K847" si="739">I842+J842</f>
        <v>2817.04</v>
      </c>
      <c r="L842" s="5">
        <f t="shared" ref="L842:L867" si="740">ROUND(K842*3%,2)</f>
        <v>84.51</v>
      </c>
      <c r="M842" s="15">
        <f t="shared" ref="M842:M847" si="741">K842+L842</f>
        <v>2901.55</v>
      </c>
      <c r="N842" s="15">
        <f t="shared" ref="N842:N867" si="742">ROUND(M842*20%,2)</f>
        <v>580.30999999999995</v>
      </c>
      <c r="O842" s="100">
        <f t="shared" si="730"/>
        <v>3481.86</v>
      </c>
      <c r="P842" s="75">
        <f t="shared" ref="P842:P865" si="743">ROUND(O842/5/12,2)</f>
        <v>58.03</v>
      </c>
      <c r="Q842" s="90">
        <v>49</v>
      </c>
      <c r="R842" s="79">
        <f t="shared" ref="R842:R852" si="744">ROUND(P842*3/Q842,2)</f>
        <v>3.55</v>
      </c>
      <c r="S842" s="80">
        <f>ROUND(441.63/Q842,2)</f>
        <v>9.01</v>
      </c>
    </row>
    <row r="843" spans="1:19" ht="15.75" x14ac:dyDescent="0.25">
      <c r="A843" s="87">
        <v>666</v>
      </c>
      <c r="B843" s="88" t="s">
        <v>659</v>
      </c>
      <c r="C843" s="43" t="s">
        <v>49</v>
      </c>
      <c r="D843" s="103">
        <v>1962.25</v>
      </c>
      <c r="E843" s="103">
        <v>18.079999999999998</v>
      </c>
      <c r="F843" s="103">
        <v>532.22</v>
      </c>
      <c r="G843" s="103">
        <v>117.09</v>
      </c>
      <c r="H843" s="11">
        <v>175.99</v>
      </c>
      <c r="I843" s="5">
        <f>E843+F843+G843+H843+D843</f>
        <v>2805.63</v>
      </c>
      <c r="J843" s="103">
        <v>11.41</v>
      </c>
      <c r="K843" s="5">
        <f t="shared" si="739"/>
        <v>2817.04</v>
      </c>
      <c r="L843" s="5">
        <f t="shared" si="740"/>
        <v>84.51</v>
      </c>
      <c r="M843" s="15">
        <f t="shared" si="741"/>
        <v>2901.55</v>
      </c>
      <c r="N843" s="15">
        <f t="shared" si="742"/>
        <v>580.30999999999995</v>
      </c>
      <c r="O843" s="100">
        <f t="shared" si="730"/>
        <v>3481.86</v>
      </c>
      <c r="P843" s="75">
        <f t="shared" si="743"/>
        <v>58.03</v>
      </c>
      <c r="Q843" s="90">
        <v>21</v>
      </c>
      <c r="R843" s="79">
        <f t="shared" si="744"/>
        <v>8.2899999999999991</v>
      </c>
      <c r="S843" s="80">
        <f>ROUND(441.63/Q843,2)</f>
        <v>21.03</v>
      </c>
    </row>
    <row r="844" spans="1:19" ht="15.75" x14ac:dyDescent="0.25">
      <c r="A844" s="87">
        <v>667</v>
      </c>
      <c r="B844" s="88" t="s">
        <v>660</v>
      </c>
      <c r="C844" s="43" t="s">
        <v>589</v>
      </c>
      <c r="D844" s="103">
        <v>2427.87</v>
      </c>
      <c r="E844" s="3">
        <v>21</v>
      </c>
      <c r="F844" s="3">
        <v>580.29999999999995</v>
      </c>
      <c r="G844" s="3">
        <v>127.67</v>
      </c>
      <c r="H844" s="11">
        <v>195.01</v>
      </c>
      <c r="I844" s="5">
        <f t="shared" ref="I844:I847" si="745">E844+F844+G844+H844+D844</f>
        <v>3351.85</v>
      </c>
      <c r="J844" s="103">
        <v>12.67</v>
      </c>
      <c r="K844" s="5">
        <f t="shared" si="739"/>
        <v>3364.52</v>
      </c>
      <c r="L844" s="5">
        <f t="shared" si="740"/>
        <v>100.94</v>
      </c>
      <c r="M844" s="15">
        <f t="shared" si="741"/>
        <v>3465.46</v>
      </c>
      <c r="N844" s="15">
        <f t="shared" si="742"/>
        <v>693.09</v>
      </c>
      <c r="O844" s="100">
        <f t="shared" si="730"/>
        <v>4158.55</v>
      </c>
      <c r="P844" s="75">
        <f t="shared" si="743"/>
        <v>69.31</v>
      </c>
      <c r="Q844" s="90">
        <v>100</v>
      </c>
      <c r="R844" s="79">
        <f t="shared" si="744"/>
        <v>2.08</v>
      </c>
      <c r="S844" s="80">
        <f>ROUND(451.2/Q844,2)</f>
        <v>4.51</v>
      </c>
    </row>
    <row r="845" spans="1:19" ht="15.75" x14ac:dyDescent="0.25">
      <c r="A845" s="87">
        <v>668</v>
      </c>
      <c r="B845" s="88" t="s">
        <v>661</v>
      </c>
      <c r="C845" s="43" t="s">
        <v>593</v>
      </c>
      <c r="D845" s="103">
        <v>1475.88</v>
      </c>
      <c r="E845" s="103">
        <v>18.079999999999998</v>
      </c>
      <c r="F845" s="103">
        <v>532.22</v>
      </c>
      <c r="G845" s="103">
        <v>117.09</v>
      </c>
      <c r="H845" s="11">
        <v>175.99</v>
      </c>
      <c r="I845" s="5">
        <f t="shared" si="745"/>
        <v>2319.2600000000002</v>
      </c>
      <c r="J845" s="103">
        <v>11.41</v>
      </c>
      <c r="K845" s="5">
        <f t="shared" si="739"/>
        <v>2330.67</v>
      </c>
      <c r="L845" s="5">
        <f t="shared" si="740"/>
        <v>69.92</v>
      </c>
      <c r="M845" s="15">
        <f t="shared" si="741"/>
        <v>2400.59</v>
      </c>
      <c r="N845" s="15">
        <f t="shared" si="742"/>
        <v>480.12</v>
      </c>
      <c r="O845" s="100">
        <f t="shared" si="730"/>
        <v>2880.71</v>
      </c>
      <c r="P845" s="75">
        <f t="shared" si="743"/>
        <v>48.01</v>
      </c>
      <c r="Q845" s="90">
        <v>9</v>
      </c>
      <c r="R845" s="79">
        <f t="shared" si="744"/>
        <v>16</v>
      </c>
      <c r="S845" s="80">
        <f t="shared" ref="S845" si="746">ROUND(441.63/Q845,2)</f>
        <v>49.07</v>
      </c>
    </row>
    <row r="846" spans="1:19" ht="15.75" x14ac:dyDescent="0.25">
      <c r="A846" s="87">
        <v>669</v>
      </c>
      <c r="B846" s="88" t="s">
        <v>662</v>
      </c>
      <c r="C846" s="43" t="s">
        <v>474</v>
      </c>
      <c r="D846" s="103">
        <v>2427.87</v>
      </c>
      <c r="E846" s="3">
        <v>21</v>
      </c>
      <c r="F846" s="3">
        <v>580.29999999999995</v>
      </c>
      <c r="G846" s="3">
        <v>127.67</v>
      </c>
      <c r="H846" s="11">
        <v>195.01</v>
      </c>
      <c r="I846" s="5">
        <f t="shared" si="745"/>
        <v>3351.85</v>
      </c>
      <c r="J846" s="103">
        <v>12.67</v>
      </c>
      <c r="K846" s="5">
        <f t="shared" si="739"/>
        <v>3364.52</v>
      </c>
      <c r="L846" s="5">
        <f t="shared" si="740"/>
        <v>100.94</v>
      </c>
      <c r="M846" s="15">
        <f t="shared" si="741"/>
        <v>3465.46</v>
      </c>
      <c r="N846" s="15">
        <f t="shared" si="742"/>
        <v>693.09</v>
      </c>
      <c r="O846" s="100">
        <f t="shared" si="730"/>
        <v>4158.55</v>
      </c>
      <c r="P846" s="75">
        <f t="shared" si="743"/>
        <v>69.31</v>
      </c>
      <c r="Q846" s="90">
        <v>99</v>
      </c>
      <c r="R846" s="79">
        <f t="shared" si="744"/>
        <v>2.1</v>
      </c>
      <c r="S846" s="80">
        <f>ROUND(451.2/Q846,2)</f>
        <v>4.5599999999999996</v>
      </c>
    </row>
    <row r="847" spans="1:19" ht="15.75" x14ac:dyDescent="0.25">
      <c r="A847" s="87">
        <v>670</v>
      </c>
      <c r="B847" s="88" t="s">
        <v>663</v>
      </c>
      <c r="C847" s="43" t="s">
        <v>664</v>
      </c>
      <c r="D847" s="103">
        <v>2427.87</v>
      </c>
      <c r="E847" s="3">
        <v>21</v>
      </c>
      <c r="F847" s="3">
        <v>580.29999999999995</v>
      </c>
      <c r="G847" s="3">
        <v>127.67</v>
      </c>
      <c r="H847" s="11">
        <v>195.01</v>
      </c>
      <c r="I847" s="5">
        <f t="shared" si="745"/>
        <v>3351.85</v>
      </c>
      <c r="J847" s="103">
        <v>12.67</v>
      </c>
      <c r="K847" s="5">
        <f t="shared" si="739"/>
        <v>3364.52</v>
      </c>
      <c r="L847" s="5">
        <f t="shared" si="740"/>
        <v>100.94</v>
      </c>
      <c r="M847" s="15">
        <f t="shared" si="741"/>
        <v>3465.46</v>
      </c>
      <c r="N847" s="15">
        <f t="shared" si="742"/>
        <v>693.09</v>
      </c>
      <c r="O847" s="100">
        <f t="shared" si="730"/>
        <v>4158.55</v>
      </c>
      <c r="P847" s="75">
        <f t="shared" si="743"/>
        <v>69.31</v>
      </c>
      <c r="Q847" s="90">
        <v>159</v>
      </c>
      <c r="R847" s="79">
        <f t="shared" si="744"/>
        <v>1.31</v>
      </c>
      <c r="S847" s="80">
        <f>ROUND(451.2/Q847,2)</f>
        <v>2.84</v>
      </c>
    </row>
    <row r="848" spans="1:19" ht="15.75" x14ac:dyDescent="0.25">
      <c r="A848" s="87">
        <v>671</v>
      </c>
      <c r="B848" s="88" t="s">
        <v>665</v>
      </c>
      <c r="C848" s="43" t="s">
        <v>596</v>
      </c>
      <c r="D848" s="103">
        <v>2210.63</v>
      </c>
      <c r="E848" s="103">
        <v>18.079999999999998</v>
      </c>
      <c r="F848" s="103">
        <v>532.22</v>
      </c>
      <c r="G848" s="103">
        <v>117.09</v>
      </c>
      <c r="H848" s="11">
        <v>175.99</v>
      </c>
      <c r="I848" s="5">
        <f>E848+F848+G848+H848+D848</f>
        <v>3054.01</v>
      </c>
      <c r="J848" s="103">
        <v>11.41</v>
      </c>
      <c r="K848" s="5">
        <f>I848+J848</f>
        <v>3065.42</v>
      </c>
      <c r="L848" s="5">
        <f>ROUND(K848*3%,2)</f>
        <v>91.96</v>
      </c>
      <c r="M848" s="15">
        <f>K848+L848</f>
        <v>3157.38</v>
      </c>
      <c r="N848" s="15">
        <f>ROUND(M848*20%,2)</f>
        <v>631.48</v>
      </c>
      <c r="O848" s="100">
        <f>M848+N848</f>
        <v>3788.86</v>
      </c>
      <c r="P848" s="75">
        <f t="shared" si="743"/>
        <v>63.15</v>
      </c>
      <c r="Q848" s="90">
        <v>219</v>
      </c>
      <c r="R848" s="79">
        <f t="shared" si="744"/>
        <v>0.87</v>
      </c>
      <c r="S848" s="80">
        <f t="shared" ref="S848" si="747">ROUND(441.63/Q848,2)</f>
        <v>2.02</v>
      </c>
    </row>
    <row r="849" spans="1:19" ht="15.75" x14ac:dyDescent="0.25">
      <c r="A849" s="87">
        <v>672</v>
      </c>
      <c r="B849" s="88" t="s">
        <v>666</v>
      </c>
      <c r="C849" s="43" t="s">
        <v>474</v>
      </c>
      <c r="D849" s="103">
        <v>2427.87</v>
      </c>
      <c r="E849" s="3">
        <v>21</v>
      </c>
      <c r="F849" s="3">
        <v>580.29999999999995</v>
      </c>
      <c r="G849" s="3">
        <v>127.67</v>
      </c>
      <c r="H849" s="11">
        <v>195.01</v>
      </c>
      <c r="I849" s="5">
        <f t="shared" ref="I849" si="748">E849+F849+G849+H849+D849</f>
        <v>3351.85</v>
      </c>
      <c r="J849" s="103">
        <v>12.67</v>
      </c>
      <c r="K849" s="5">
        <f t="shared" ref="K849" si="749">I849+J849</f>
        <v>3364.52</v>
      </c>
      <c r="L849" s="5">
        <f t="shared" ref="L849" si="750">ROUND(K849*3%,2)</f>
        <v>100.94</v>
      </c>
      <c r="M849" s="15">
        <f t="shared" ref="M849" si="751">K849+L849</f>
        <v>3465.46</v>
      </c>
      <c r="N849" s="15">
        <f t="shared" ref="N849" si="752">ROUND(M849*20%,2)</f>
        <v>693.09</v>
      </c>
      <c r="O849" s="100">
        <f t="shared" ref="O849" si="753">M849+N849</f>
        <v>4158.55</v>
      </c>
      <c r="P849" s="75">
        <f t="shared" si="743"/>
        <v>69.31</v>
      </c>
      <c r="Q849" s="90">
        <v>120</v>
      </c>
      <c r="R849" s="79">
        <f t="shared" si="744"/>
        <v>1.73</v>
      </c>
      <c r="S849" s="80">
        <f>ROUND(451.2/Q849,2)</f>
        <v>3.76</v>
      </c>
    </row>
    <row r="850" spans="1:19" ht="21" customHeight="1" x14ac:dyDescent="0.25">
      <c r="A850" s="87">
        <v>673</v>
      </c>
      <c r="B850" s="88" t="s">
        <v>667</v>
      </c>
      <c r="C850" s="43" t="s">
        <v>596</v>
      </c>
      <c r="D850" s="103">
        <v>2210.63</v>
      </c>
      <c r="E850" s="103">
        <v>18.079999999999998</v>
      </c>
      <c r="F850" s="103">
        <v>532.22</v>
      </c>
      <c r="G850" s="103">
        <v>117.09</v>
      </c>
      <c r="H850" s="11">
        <v>175.99</v>
      </c>
      <c r="I850" s="5">
        <f>E850+F850+G850+H850+D850</f>
        <v>3054.01</v>
      </c>
      <c r="J850" s="103">
        <v>11.41</v>
      </c>
      <c r="K850" s="5">
        <f>I850+J850</f>
        <v>3065.42</v>
      </c>
      <c r="L850" s="5">
        <f>ROUND(K850*3%,2)</f>
        <v>91.96</v>
      </c>
      <c r="M850" s="15">
        <f>K850+L850</f>
        <v>3157.38</v>
      </c>
      <c r="N850" s="15">
        <f>ROUND(M850*20%,2)</f>
        <v>631.48</v>
      </c>
      <c r="O850" s="100">
        <f>M850+N850</f>
        <v>3788.86</v>
      </c>
      <c r="P850" s="75">
        <f t="shared" si="743"/>
        <v>63.15</v>
      </c>
      <c r="Q850" s="90">
        <v>61</v>
      </c>
      <c r="R850" s="79">
        <f t="shared" si="744"/>
        <v>3.11</v>
      </c>
      <c r="S850" s="80">
        <f t="shared" ref="S850:S851" si="754">ROUND(441.63/Q850,2)</f>
        <v>7.24</v>
      </c>
    </row>
    <row r="851" spans="1:19" ht="21" customHeight="1" x14ac:dyDescent="0.25">
      <c r="A851" s="87">
        <v>674</v>
      </c>
      <c r="B851" s="88" t="s">
        <v>668</v>
      </c>
      <c r="C851" s="43" t="s">
        <v>596</v>
      </c>
      <c r="D851" s="103">
        <v>2210.63</v>
      </c>
      <c r="E851" s="103">
        <v>18.079999999999998</v>
      </c>
      <c r="F851" s="103">
        <v>532.22</v>
      </c>
      <c r="G851" s="103">
        <v>117.09</v>
      </c>
      <c r="H851" s="11">
        <v>175.99</v>
      </c>
      <c r="I851" s="5">
        <f>E851+F851+G851+H851+D851</f>
        <v>3054.01</v>
      </c>
      <c r="J851" s="103">
        <v>11.41</v>
      </c>
      <c r="K851" s="5">
        <f>I851+J851</f>
        <v>3065.42</v>
      </c>
      <c r="L851" s="5">
        <f>ROUND(K851*3%,2)</f>
        <v>91.96</v>
      </c>
      <c r="M851" s="15">
        <f>K851+L851</f>
        <v>3157.38</v>
      </c>
      <c r="N851" s="15">
        <f>ROUND(M851*20%,2)</f>
        <v>631.48</v>
      </c>
      <c r="O851" s="100">
        <f>M851+N851</f>
        <v>3788.86</v>
      </c>
      <c r="P851" s="75">
        <f t="shared" si="743"/>
        <v>63.15</v>
      </c>
      <c r="Q851" s="90">
        <v>79</v>
      </c>
      <c r="R851" s="79">
        <f t="shared" si="744"/>
        <v>2.4</v>
      </c>
      <c r="S851" s="80">
        <f t="shared" si="754"/>
        <v>5.59</v>
      </c>
    </row>
    <row r="852" spans="1:19" ht="21" customHeight="1" x14ac:dyDescent="0.25">
      <c r="A852" s="87">
        <v>675</v>
      </c>
      <c r="B852" s="88" t="s">
        <v>669</v>
      </c>
      <c r="C852" s="43" t="s">
        <v>49</v>
      </c>
      <c r="D852" s="103">
        <v>1962.25</v>
      </c>
      <c r="E852" s="103">
        <v>18.079999999999998</v>
      </c>
      <c r="F852" s="103">
        <v>532.22</v>
      </c>
      <c r="G852" s="103">
        <v>117.09</v>
      </c>
      <c r="H852" s="11">
        <v>175.99</v>
      </c>
      <c r="I852" s="5">
        <f>E852+F852+G852+H852+D852</f>
        <v>2805.63</v>
      </c>
      <c r="J852" s="103">
        <v>11.41</v>
      </c>
      <c r="K852" s="5">
        <f t="shared" si="728"/>
        <v>2817.04</v>
      </c>
      <c r="L852" s="5">
        <f t="shared" si="740"/>
        <v>84.51</v>
      </c>
      <c r="M852" s="15">
        <f t="shared" si="729"/>
        <v>2901.55</v>
      </c>
      <c r="N852" s="15">
        <f t="shared" si="742"/>
        <v>580.30999999999995</v>
      </c>
      <c r="O852" s="100">
        <f t="shared" si="730"/>
        <v>3481.86</v>
      </c>
      <c r="P852" s="75">
        <f t="shared" si="743"/>
        <v>58.03</v>
      </c>
      <c r="Q852" s="90">
        <v>58</v>
      </c>
      <c r="R852" s="79">
        <f t="shared" si="744"/>
        <v>3</v>
      </c>
      <c r="S852" s="80">
        <f>ROUND(441.63/Q852,2)</f>
        <v>7.61</v>
      </c>
    </row>
    <row r="853" spans="1:19" ht="21" customHeight="1" x14ac:dyDescent="0.25">
      <c r="A853" s="87">
        <v>676</v>
      </c>
      <c r="B853" s="88" t="s">
        <v>670</v>
      </c>
      <c r="C853" s="43" t="s">
        <v>593</v>
      </c>
      <c r="D853" s="103">
        <v>1475.88</v>
      </c>
      <c r="E853" s="103">
        <v>18.079999999999998</v>
      </c>
      <c r="F853" s="103">
        <v>532.22</v>
      </c>
      <c r="G853" s="103">
        <v>117.09</v>
      </c>
      <c r="H853" s="11">
        <v>175.99</v>
      </c>
      <c r="I853" s="5">
        <f t="shared" ref="I853:I862" si="755">E853+F853+G853+H853+D853</f>
        <v>2319.2600000000002</v>
      </c>
      <c r="J853" s="103">
        <v>11.41</v>
      </c>
      <c r="K853" s="5">
        <f t="shared" si="728"/>
        <v>2330.67</v>
      </c>
      <c r="L853" s="5">
        <f t="shared" si="740"/>
        <v>69.92</v>
      </c>
      <c r="M853" s="15">
        <f t="shared" si="729"/>
        <v>2400.59</v>
      </c>
      <c r="N853" s="15">
        <f t="shared" si="742"/>
        <v>480.12</v>
      </c>
      <c r="O853" s="100">
        <f t="shared" si="730"/>
        <v>2880.71</v>
      </c>
      <c r="P853" s="75">
        <f t="shared" si="743"/>
        <v>48.01</v>
      </c>
      <c r="Q853" s="90">
        <v>12</v>
      </c>
      <c r="R853" s="79">
        <f>ROUND(P853*3/Q853,2)</f>
        <v>12</v>
      </c>
      <c r="S853" s="80">
        <f t="shared" ref="S853:S861" si="756">ROUND(441.63/Q853,2)</f>
        <v>36.799999999999997</v>
      </c>
    </row>
    <row r="854" spans="1:19" ht="21" customHeight="1" x14ac:dyDescent="0.25">
      <c r="A854" s="87">
        <v>677</v>
      </c>
      <c r="B854" s="88" t="s">
        <v>671</v>
      </c>
      <c r="C854" s="43" t="s">
        <v>596</v>
      </c>
      <c r="D854" s="103">
        <v>2210.63</v>
      </c>
      <c r="E854" s="103">
        <v>18.079999999999998</v>
      </c>
      <c r="F854" s="103">
        <v>532.22</v>
      </c>
      <c r="G854" s="103">
        <v>117.09</v>
      </c>
      <c r="H854" s="11">
        <v>175.99</v>
      </c>
      <c r="I854" s="5">
        <f t="shared" si="755"/>
        <v>3054.01</v>
      </c>
      <c r="J854" s="103">
        <v>11.41</v>
      </c>
      <c r="K854" s="5">
        <f>I854+J854</f>
        <v>3065.42</v>
      </c>
      <c r="L854" s="5">
        <f>ROUND(K854*3%,2)</f>
        <v>91.96</v>
      </c>
      <c r="M854" s="15">
        <f>K854+L854</f>
        <v>3157.38</v>
      </c>
      <c r="N854" s="15">
        <f>ROUND(M854*20%,2)</f>
        <v>631.48</v>
      </c>
      <c r="O854" s="100">
        <f>M854+N854</f>
        <v>3788.86</v>
      </c>
      <c r="P854" s="75">
        <f t="shared" si="743"/>
        <v>63.15</v>
      </c>
      <c r="Q854" s="90">
        <v>40</v>
      </c>
      <c r="R854" s="79">
        <f>ROUND(P854*3/Q854,2)</f>
        <v>4.74</v>
      </c>
      <c r="S854" s="80">
        <f t="shared" si="756"/>
        <v>11.04</v>
      </c>
    </row>
    <row r="855" spans="1:19" ht="22.5" customHeight="1" x14ac:dyDescent="0.25">
      <c r="A855" s="87">
        <v>678</v>
      </c>
      <c r="B855" s="88" t="s">
        <v>672</v>
      </c>
      <c r="C855" s="43" t="s">
        <v>591</v>
      </c>
      <c r="D855" s="103">
        <v>1962.25</v>
      </c>
      <c r="E855" s="103">
        <v>18.079999999999998</v>
      </c>
      <c r="F855" s="103">
        <v>532.22</v>
      </c>
      <c r="G855" s="103">
        <v>117.09</v>
      </c>
      <c r="H855" s="11">
        <v>175.99</v>
      </c>
      <c r="I855" s="5">
        <f t="shared" si="755"/>
        <v>2805.63</v>
      </c>
      <c r="J855" s="103">
        <v>11.41</v>
      </c>
      <c r="K855" s="5">
        <f t="shared" si="728"/>
        <v>2817.04</v>
      </c>
      <c r="L855" s="5">
        <f t="shared" si="740"/>
        <v>84.51</v>
      </c>
      <c r="M855" s="15">
        <f t="shared" si="729"/>
        <v>2901.55</v>
      </c>
      <c r="N855" s="15">
        <f t="shared" si="742"/>
        <v>580.30999999999995</v>
      </c>
      <c r="O855" s="100">
        <f t="shared" si="730"/>
        <v>3481.86</v>
      </c>
      <c r="P855" s="75">
        <f t="shared" si="743"/>
        <v>58.03</v>
      </c>
      <c r="Q855" s="90">
        <v>31</v>
      </c>
      <c r="R855" s="79">
        <f>ROUND(P855*3/Q855,2)</f>
        <v>5.62</v>
      </c>
      <c r="S855" s="80">
        <f t="shared" si="756"/>
        <v>14.25</v>
      </c>
    </row>
    <row r="856" spans="1:19" ht="22.5" customHeight="1" x14ac:dyDescent="0.25">
      <c r="A856" s="87">
        <v>679</v>
      </c>
      <c r="B856" s="88" t="s">
        <v>673</v>
      </c>
      <c r="C856" s="43" t="s">
        <v>49</v>
      </c>
      <c r="D856" s="103">
        <v>1962.25</v>
      </c>
      <c r="E856" s="103">
        <v>18.079999999999998</v>
      </c>
      <c r="F856" s="103">
        <v>532.22</v>
      </c>
      <c r="G856" s="103">
        <v>117.09</v>
      </c>
      <c r="H856" s="11">
        <v>175.99</v>
      </c>
      <c r="I856" s="5">
        <f t="shared" si="755"/>
        <v>2805.63</v>
      </c>
      <c r="J856" s="103">
        <v>11.41</v>
      </c>
      <c r="K856" s="5">
        <f t="shared" si="728"/>
        <v>2817.04</v>
      </c>
      <c r="L856" s="5">
        <f t="shared" si="740"/>
        <v>84.51</v>
      </c>
      <c r="M856" s="15">
        <f t="shared" si="729"/>
        <v>2901.55</v>
      </c>
      <c r="N856" s="15">
        <f t="shared" si="742"/>
        <v>580.30999999999995</v>
      </c>
      <c r="O856" s="100">
        <f t="shared" si="730"/>
        <v>3481.86</v>
      </c>
      <c r="P856" s="75">
        <f t="shared" si="743"/>
        <v>58.03</v>
      </c>
      <c r="Q856" s="90">
        <v>41</v>
      </c>
      <c r="R856" s="79">
        <f>ROUND(P856*3/Q856,2)</f>
        <v>4.25</v>
      </c>
      <c r="S856" s="80">
        <f t="shared" si="756"/>
        <v>10.77</v>
      </c>
    </row>
    <row r="857" spans="1:19" ht="22.5" customHeight="1" x14ac:dyDescent="0.25">
      <c r="A857" s="87">
        <v>680</v>
      </c>
      <c r="B857" s="88" t="s">
        <v>674</v>
      </c>
      <c r="C857" s="43" t="s">
        <v>675</v>
      </c>
      <c r="D857" s="103">
        <v>1962.25</v>
      </c>
      <c r="E857" s="103">
        <v>18.079999999999998</v>
      </c>
      <c r="F857" s="103">
        <v>532.22</v>
      </c>
      <c r="G857" s="103">
        <v>117.09</v>
      </c>
      <c r="H857" s="11">
        <v>175.99</v>
      </c>
      <c r="I857" s="5">
        <f t="shared" si="755"/>
        <v>2805.63</v>
      </c>
      <c r="J857" s="103">
        <v>11.41</v>
      </c>
      <c r="K857" s="5">
        <f t="shared" si="728"/>
        <v>2817.04</v>
      </c>
      <c r="L857" s="5">
        <f t="shared" si="740"/>
        <v>84.51</v>
      </c>
      <c r="M857" s="15">
        <f t="shared" si="729"/>
        <v>2901.55</v>
      </c>
      <c r="N857" s="15">
        <f t="shared" si="742"/>
        <v>580.30999999999995</v>
      </c>
      <c r="O857" s="100">
        <f t="shared" si="730"/>
        <v>3481.86</v>
      </c>
      <c r="P857" s="75">
        <f t="shared" si="743"/>
        <v>58.03</v>
      </c>
      <c r="Q857" s="90">
        <v>59</v>
      </c>
      <c r="R857" s="79">
        <f>ROUND(P857*3/Q857,2)</f>
        <v>2.95</v>
      </c>
      <c r="S857" s="80">
        <f t="shared" si="756"/>
        <v>7.49</v>
      </c>
    </row>
    <row r="858" spans="1:19" ht="22.5" customHeight="1" x14ac:dyDescent="0.25">
      <c r="A858" s="87">
        <v>681</v>
      </c>
      <c r="B858" s="88" t="s">
        <v>864</v>
      </c>
      <c r="C858" s="43" t="s">
        <v>16</v>
      </c>
      <c r="D858" s="103">
        <v>2210.63</v>
      </c>
      <c r="E858" s="103">
        <v>18.079999999999998</v>
      </c>
      <c r="F858" s="103">
        <v>532.22</v>
      </c>
      <c r="G858" s="103">
        <v>117.09</v>
      </c>
      <c r="H858" s="11">
        <v>175.99</v>
      </c>
      <c r="I858" s="5">
        <f t="shared" si="755"/>
        <v>3054.01</v>
      </c>
      <c r="J858" s="103">
        <v>11.41</v>
      </c>
      <c r="K858" s="5">
        <f>I858+J858</f>
        <v>3065.42</v>
      </c>
      <c r="L858" s="5">
        <f>ROUND(K858*3%,2)</f>
        <v>91.96</v>
      </c>
      <c r="M858" s="15">
        <f>K858+L858</f>
        <v>3157.38</v>
      </c>
      <c r="N858" s="15">
        <f>ROUND(M858*20%,2)</f>
        <v>631.48</v>
      </c>
      <c r="O858" s="100">
        <f>M858+N858</f>
        <v>3788.86</v>
      </c>
      <c r="P858" s="75">
        <f t="shared" si="743"/>
        <v>63.15</v>
      </c>
      <c r="Q858" s="90">
        <v>51</v>
      </c>
      <c r="R858" s="79">
        <f t="shared" ref="R858:R865" si="757">ROUND(P858*3/Q858,2)</f>
        <v>3.71</v>
      </c>
      <c r="S858" s="80">
        <f t="shared" si="756"/>
        <v>8.66</v>
      </c>
    </row>
    <row r="859" spans="1:19" ht="22.5" customHeight="1" x14ac:dyDescent="0.25">
      <c r="A859" s="87">
        <v>682</v>
      </c>
      <c r="B859" s="88" t="s">
        <v>676</v>
      </c>
      <c r="C859" s="43" t="s">
        <v>591</v>
      </c>
      <c r="D859" s="103">
        <v>1962.25</v>
      </c>
      <c r="E859" s="103">
        <v>18.079999999999998</v>
      </c>
      <c r="F859" s="103">
        <v>532.22</v>
      </c>
      <c r="G859" s="103">
        <v>117.09</v>
      </c>
      <c r="H859" s="11">
        <v>175.99</v>
      </c>
      <c r="I859" s="5">
        <f t="shared" si="755"/>
        <v>2805.63</v>
      </c>
      <c r="J859" s="103">
        <v>11.41</v>
      </c>
      <c r="K859" s="5">
        <f t="shared" si="728"/>
        <v>2817.04</v>
      </c>
      <c r="L859" s="5">
        <f t="shared" si="740"/>
        <v>84.51</v>
      </c>
      <c r="M859" s="15">
        <f t="shared" si="729"/>
        <v>2901.55</v>
      </c>
      <c r="N859" s="15">
        <f t="shared" si="742"/>
        <v>580.30999999999995</v>
      </c>
      <c r="O859" s="100">
        <f t="shared" si="730"/>
        <v>3481.86</v>
      </c>
      <c r="P859" s="75">
        <f t="shared" si="743"/>
        <v>58.03</v>
      </c>
      <c r="Q859" s="90">
        <v>27</v>
      </c>
      <c r="R859" s="79">
        <f t="shared" si="757"/>
        <v>6.45</v>
      </c>
      <c r="S859" s="80">
        <f t="shared" si="756"/>
        <v>16.36</v>
      </c>
    </row>
    <row r="860" spans="1:19" ht="22.5" customHeight="1" x14ac:dyDescent="0.25">
      <c r="A860" s="87">
        <v>683</v>
      </c>
      <c r="B860" s="88" t="s">
        <v>677</v>
      </c>
      <c r="C860" s="43" t="s">
        <v>49</v>
      </c>
      <c r="D860" s="103">
        <v>1962.25</v>
      </c>
      <c r="E860" s="103">
        <v>18.079999999999998</v>
      </c>
      <c r="F860" s="103">
        <v>532.22</v>
      </c>
      <c r="G860" s="103">
        <v>117.09</v>
      </c>
      <c r="H860" s="11">
        <v>175.99</v>
      </c>
      <c r="I860" s="5">
        <f t="shared" si="755"/>
        <v>2805.63</v>
      </c>
      <c r="J860" s="103">
        <v>11.41</v>
      </c>
      <c r="K860" s="5">
        <f t="shared" si="728"/>
        <v>2817.04</v>
      </c>
      <c r="L860" s="5">
        <f t="shared" si="740"/>
        <v>84.51</v>
      </c>
      <c r="M860" s="15">
        <f t="shared" si="729"/>
        <v>2901.55</v>
      </c>
      <c r="N860" s="15">
        <f t="shared" si="742"/>
        <v>580.30999999999995</v>
      </c>
      <c r="O860" s="100">
        <f t="shared" si="730"/>
        <v>3481.86</v>
      </c>
      <c r="P860" s="75">
        <f t="shared" si="743"/>
        <v>58.03</v>
      </c>
      <c r="Q860" s="90">
        <v>35</v>
      </c>
      <c r="R860" s="79">
        <f t="shared" si="757"/>
        <v>4.97</v>
      </c>
      <c r="S860" s="80">
        <f t="shared" si="756"/>
        <v>12.62</v>
      </c>
    </row>
    <row r="861" spans="1:19" ht="22.5" customHeight="1" x14ac:dyDescent="0.25">
      <c r="A861" s="87">
        <v>684</v>
      </c>
      <c r="B861" s="88" t="s">
        <v>678</v>
      </c>
      <c r="C861" s="43" t="s">
        <v>16</v>
      </c>
      <c r="D861" s="103">
        <v>2210.63</v>
      </c>
      <c r="E861" s="103">
        <v>18.079999999999998</v>
      </c>
      <c r="F861" s="103">
        <v>532.22</v>
      </c>
      <c r="G861" s="103">
        <v>117.09</v>
      </c>
      <c r="H861" s="11">
        <v>175.99</v>
      </c>
      <c r="I861" s="5">
        <f t="shared" si="755"/>
        <v>3054.01</v>
      </c>
      <c r="J861" s="103">
        <v>11.41</v>
      </c>
      <c r="K861" s="5">
        <f>I861+J861</f>
        <v>3065.42</v>
      </c>
      <c r="L861" s="5">
        <f>ROUND(K861*3%,2)</f>
        <v>91.96</v>
      </c>
      <c r="M861" s="15">
        <f>K861+L861</f>
        <v>3157.38</v>
      </c>
      <c r="N861" s="15">
        <f>ROUND(M861*20%,2)</f>
        <v>631.48</v>
      </c>
      <c r="O861" s="100">
        <f>M861+N861</f>
        <v>3788.86</v>
      </c>
      <c r="P861" s="75">
        <f t="shared" si="743"/>
        <v>63.15</v>
      </c>
      <c r="Q861" s="90">
        <v>81</v>
      </c>
      <c r="R861" s="79">
        <f t="shared" si="757"/>
        <v>2.34</v>
      </c>
      <c r="S861" s="80">
        <f t="shared" si="756"/>
        <v>5.45</v>
      </c>
    </row>
    <row r="862" spans="1:19" ht="22.5" customHeight="1" x14ac:dyDescent="0.25">
      <c r="A862" s="87">
        <v>685</v>
      </c>
      <c r="B862" s="88" t="s">
        <v>862</v>
      </c>
      <c r="C862" s="43" t="s">
        <v>613</v>
      </c>
      <c r="D862" s="103">
        <v>2639</v>
      </c>
      <c r="E862" s="3">
        <v>21</v>
      </c>
      <c r="F862" s="3">
        <v>580.29999999999995</v>
      </c>
      <c r="G862" s="3">
        <v>127.67</v>
      </c>
      <c r="H862" s="11">
        <v>195.01</v>
      </c>
      <c r="I862" s="5">
        <f t="shared" si="755"/>
        <v>3562.98</v>
      </c>
      <c r="J862" s="103">
        <v>12.67</v>
      </c>
      <c r="K862" s="5">
        <f t="shared" ref="K862" si="758">I862+J862</f>
        <v>3575.65</v>
      </c>
      <c r="L862" s="5">
        <f t="shared" ref="L862" si="759">ROUND(K862*3%,2)</f>
        <v>107.27</v>
      </c>
      <c r="M862" s="15">
        <f t="shared" ref="M862" si="760">K862+L862</f>
        <v>3682.92</v>
      </c>
      <c r="N862" s="15">
        <f t="shared" ref="N862" si="761">ROUND(M862*20%,2)</f>
        <v>736.58</v>
      </c>
      <c r="O862" s="100">
        <f t="shared" ref="O862" si="762">M862+N862</f>
        <v>4419.5</v>
      </c>
      <c r="P862" s="75">
        <f t="shared" si="743"/>
        <v>73.66</v>
      </c>
      <c r="Q862" s="90">
        <v>118</v>
      </c>
      <c r="R862" s="79">
        <f t="shared" si="757"/>
        <v>1.87</v>
      </c>
      <c r="S862" s="80">
        <f>ROUND(482.49/Q862,2)</f>
        <v>4.09</v>
      </c>
    </row>
    <row r="863" spans="1:19" ht="22.5" customHeight="1" x14ac:dyDescent="0.25">
      <c r="A863" s="87">
        <v>686</v>
      </c>
      <c r="B863" s="88" t="s">
        <v>679</v>
      </c>
      <c r="C863" s="43" t="s">
        <v>591</v>
      </c>
      <c r="D863" s="103">
        <v>1962.25</v>
      </c>
      <c r="E863" s="103">
        <v>18.079999999999998</v>
      </c>
      <c r="F863" s="103">
        <v>532.22</v>
      </c>
      <c r="G863" s="103">
        <v>117.09</v>
      </c>
      <c r="H863" s="11">
        <v>175.99</v>
      </c>
      <c r="I863" s="5">
        <f>E863+F863+G863+H863+D863</f>
        <v>2805.63</v>
      </c>
      <c r="J863" s="103">
        <v>11.41</v>
      </c>
      <c r="K863" s="5">
        <f t="shared" si="728"/>
        <v>2817.04</v>
      </c>
      <c r="L863" s="5">
        <f t="shared" si="740"/>
        <v>84.51</v>
      </c>
      <c r="M863" s="15">
        <f t="shared" si="729"/>
        <v>2901.55</v>
      </c>
      <c r="N863" s="15">
        <f t="shared" si="742"/>
        <v>580.30999999999995</v>
      </c>
      <c r="O863" s="100">
        <f t="shared" si="730"/>
        <v>3481.86</v>
      </c>
      <c r="P863" s="75">
        <f t="shared" si="743"/>
        <v>58.03</v>
      </c>
      <c r="Q863" s="90">
        <v>22</v>
      </c>
      <c r="R863" s="79">
        <f t="shared" si="757"/>
        <v>7.91</v>
      </c>
      <c r="S863" s="80">
        <f>ROUND(441.63/Q863,2)</f>
        <v>20.07</v>
      </c>
    </row>
    <row r="864" spans="1:19" ht="22.5" customHeight="1" x14ac:dyDescent="0.25">
      <c r="A864" s="87">
        <v>687</v>
      </c>
      <c r="B864" s="88" t="s">
        <v>680</v>
      </c>
      <c r="C864" s="43" t="s">
        <v>593</v>
      </c>
      <c r="D864" s="103">
        <v>1475.88</v>
      </c>
      <c r="E864" s="103">
        <v>18.079999999999998</v>
      </c>
      <c r="F864" s="103">
        <v>532.22</v>
      </c>
      <c r="G864" s="103">
        <v>117.09</v>
      </c>
      <c r="H864" s="11">
        <v>175.99</v>
      </c>
      <c r="I864" s="5">
        <f t="shared" ref="I864:I865" si="763">E864+F864+G864+H864+D864</f>
        <v>2319.2600000000002</v>
      </c>
      <c r="J864" s="103">
        <v>11.41</v>
      </c>
      <c r="K864" s="5">
        <f t="shared" si="728"/>
        <v>2330.67</v>
      </c>
      <c r="L864" s="5">
        <f t="shared" si="740"/>
        <v>69.92</v>
      </c>
      <c r="M864" s="15">
        <f t="shared" si="729"/>
        <v>2400.59</v>
      </c>
      <c r="N864" s="15">
        <f t="shared" si="742"/>
        <v>480.12</v>
      </c>
      <c r="O864" s="100">
        <f t="shared" si="730"/>
        <v>2880.71</v>
      </c>
      <c r="P864" s="75">
        <f t="shared" si="743"/>
        <v>48.01</v>
      </c>
      <c r="Q864" s="90">
        <v>5</v>
      </c>
      <c r="R864" s="79">
        <f t="shared" si="757"/>
        <v>28.81</v>
      </c>
      <c r="S864" s="80">
        <f t="shared" ref="S864" si="764">ROUND(441.63/Q864,2)</f>
        <v>88.33</v>
      </c>
    </row>
    <row r="865" spans="1:19" ht="15" customHeight="1" x14ac:dyDescent="0.25">
      <c r="A865" s="232">
        <v>688</v>
      </c>
      <c r="B865" s="271" t="s">
        <v>781</v>
      </c>
      <c r="C865" s="27" t="s">
        <v>49</v>
      </c>
      <c r="D865" s="175">
        <f t="shared" ref="D865" si="765">1962.25*2</f>
        <v>3924.5</v>
      </c>
      <c r="E865" s="175">
        <f t="shared" ref="E865" si="766">18.08*2</f>
        <v>36.159999999999997</v>
      </c>
      <c r="F865" s="175">
        <f t="shared" ref="F865" si="767">532.22*2</f>
        <v>1064.44</v>
      </c>
      <c r="G865" s="222">
        <f t="shared" ref="G865" si="768">117.09*2</f>
        <v>234.18</v>
      </c>
      <c r="H865" s="167">
        <f t="shared" ref="H865" si="769">175.99*2</f>
        <v>351.98</v>
      </c>
      <c r="I865" s="169">
        <f t="shared" si="763"/>
        <v>5611.26</v>
      </c>
      <c r="J865" s="190">
        <f t="shared" ref="J865" si="770">11.41*2</f>
        <v>22.82</v>
      </c>
      <c r="K865" s="169">
        <f t="shared" si="728"/>
        <v>5634.08</v>
      </c>
      <c r="L865" s="169">
        <f t="shared" si="740"/>
        <v>169.02</v>
      </c>
      <c r="M865" s="173">
        <f t="shared" si="729"/>
        <v>5803.1</v>
      </c>
      <c r="N865" s="169">
        <f t="shared" si="742"/>
        <v>1160.6199999999999</v>
      </c>
      <c r="O865" s="169">
        <f t="shared" si="730"/>
        <v>6963.72</v>
      </c>
      <c r="P865" s="169">
        <f t="shared" si="743"/>
        <v>116.06</v>
      </c>
      <c r="Q865" s="266">
        <v>69</v>
      </c>
      <c r="R865" s="182">
        <f t="shared" si="757"/>
        <v>5.05</v>
      </c>
      <c r="S865" s="259">
        <f>ROUND(469.47*2/Q865,2)</f>
        <v>13.61</v>
      </c>
    </row>
    <row r="866" spans="1:19" ht="15" customHeight="1" thickBot="1" x14ac:dyDescent="0.3">
      <c r="A866" s="285"/>
      <c r="B866" s="272"/>
      <c r="C866" s="132" t="s">
        <v>49</v>
      </c>
      <c r="D866" s="208"/>
      <c r="E866" s="208"/>
      <c r="F866" s="208"/>
      <c r="G866" s="273"/>
      <c r="H866" s="274"/>
      <c r="I866" s="278"/>
      <c r="J866" s="279"/>
      <c r="K866" s="278"/>
      <c r="L866" s="278"/>
      <c r="M866" s="280"/>
      <c r="N866" s="278"/>
      <c r="O866" s="278"/>
      <c r="P866" s="278"/>
      <c r="Q866" s="275"/>
      <c r="R866" s="276"/>
      <c r="S866" s="269">
        <f t="shared" si="738"/>
        <v>8.0607272727272719</v>
      </c>
    </row>
    <row r="867" spans="1:19" ht="15.75" x14ac:dyDescent="0.25">
      <c r="A867" s="161">
        <v>689</v>
      </c>
      <c r="B867" s="155" t="s">
        <v>681</v>
      </c>
      <c r="C867" s="148" t="s">
        <v>49</v>
      </c>
      <c r="D867" s="118">
        <v>1962.25</v>
      </c>
      <c r="E867" s="118">
        <v>18.079999999999998</v>
      </c>
      <c r="F867" s="118">
        <v>532.22</v>
      </c>
      <c r="G867" s="118">
        <v>117.09</v>
      </c>
      <c r="H867" s="119">
        <v>175.99</v>
      </c>
      <c r="I867" s="120">
        <f>E867+F867+G867+H867+D867</f>
        <v>2805.63</v>
      </c>
      <c r="J867" s="118">
        <v>11.41</v>
      </c>
      <c r="K867" s="120">
        <f t="shared" si="728"/>
        <v>2817.04</v>
      </c>
      <c r="L867" s="120">
        <f t="shared" si="740"/>
        <v>84.51</v>
      </c>
      <c r="M867" s="121">
        <f t="shared" si="729"/>
        <v>2901.55</v>
      </c>
      <c r="N867" s="121">
        <f t="shared" si="742"/>
        <v>580.30999999999995</v>
      </c>
      <c r="O867" s="122">
        <f t="shared" si="730"/>
        <v>3481.86</v>
      </c>
      <c r="P867" s="121">
        <f>ROUND(O867/5/12,2)</f>
        <v>58.03</v>
      </c>
      <c r="Q867" s="160">
        <v>41</v>
      </c>
      <c r="R867" s="124">
        <f>ROUND(P867*3/Q867,2)</f>
        <v>4.25</v>
      </c>
      <c r="S867" s="151">
        <f>ROUND(441.63/Q867,2)</f>
        <v>10.77</v>
      </c>
    </row>
    <row r="868" spans="1:19" ht="15.75" customHeight="1" x14ac:dyDescent="0.25">
      <c r="A868" s="232">
        <v>690</v>
      </c>
      <c r="B868" s="271" t="s">
        <v>863</v>
      </c>
      <c r="C868" s="27" t="s">
        <v>49</v>
      </c>
      <c r="D868" s="175">
        <f>1962.25*3</f>
        <v>5886.75</v>
      </c>
      <c r="E868" s="195">
        <f>18.08*3</f>
        <v>54.239999999999995</v>
      </c>
      <c r="F868" s="195">
        <f>532.22*3</f>
        <v>1596.66</v>
      </c>
      <c r="G868" s="222">
        <f>117.09*3</f>
        <v>351.27</v>
      </c>
      <c r="H868" s="167">
        <f>175.99*3</f>
        <v>527.97</v>
      </c>
      <c r="I868" s="169">
        <f>E868+F868+G868+H868+D868</f>
        <v>8416.89</v>
      </c>
      <c r="J868" s="190">
        <f>11.41*3</f>
        <v>34.230000000000004</v>
      </c>
      <c r="K868" s="169">
        <f t="shared" si="728"/>
        <v>8451.119999999999</v>
      </c>
      <c r="L868" s="169">
        <f>ROUND(K868*3%,2)</f>
        <v>253.53</v>
      </c>
      <c r="M868" s="173">
        <f t="shared" si="729"/>
        <v>8704.65</v>
      </c>
      <c r="N868" s="173">
        <f>ROUND(M868*20%,2)</f>
        <v>1740.93</v>
      </c>
      <c r="O868" s="178">
        <f t="shared" si="730"/>
        <v>10445.58</v>
      </c>
      <c r="P868" s="173">
        <f>ROUND(O868/5/12,2)</f>
        <v>174.09</v>
      </c>
      <c r="Q868" s="266">
        <v>92</v>
      </c>
      <c r="R868" s="182">
        <f t="shared" ref="R868:R871" si="771">ROUND(P868*3/Q868,2)</f>
        <v>5.68</v>
      </c>
      <c r="S868" s="259">
        <f>ROUND((441.63+469.47*2)/Q868,2)</f>
        <v>15.01</v>
      </c>
    </row>
    <row r="869" spans="1:19" ht="15.75" customHeight="1" x14ac:dyDescent="0.25">
      <c r="A869" s="232"/>
      <c r="B869" s="271"/>
      <c r="C869" s="29" t="s">
        <v>682</v>
      </c>
      <c r="D869" s="176"/>
      <c r="E869" s="196"/>
      <c r="F869" s="196"/>
      <c r="G869" s="229"/>
      <c r="H869" s="171"/>
      <c r="I869" s="172"/>
      <c r="J869" s="200"/>
      <c r="K869" s="172"/>
      <c r="L869" s="172"/>
      <c r="M869" s="191"/>
      <c r="N869" s="191"/>
      <c r="O869" s="187">
        <f t="shared" si="730"/>
        <v>0</v>
      </c>
      <c r="P869" s="191"/>
      <c r="Q869" s="268"/>
      <c r="R869" s="189"/>
      <c r="S869" s="259">
        <f t="shared" ref="S869:S870" si="772">443.34*1/55</f>
        <v>8.0607272727272719</v>
      </c>
    </row>
    <row r="870" spans="1:19" ht="15.75" customHeight="1" x14ac:dyDescent="0.25">
      <c r="A870" s="232"/>
      <c r="B870" s="271"/>
      <c r="C870" s="30" t="s">
        <v>683</v>
      </c>
      <c r="D870" s="177"/>
      <c r="E870" s="197"/>
      <c r="F870" s="197"/>
      <c r="G870" s="230"/>
      <c r="H870" s="168"/>
      <c r="I870" s="170"/>
      <c r="J870" s="199"/>
      <c r="K870" s="170"/>
      <c r="L870" s="170"/>
      <c r="M870" s="174"/>
      <c r="N870" s="174"/>
      <c r="O870" s="179">
        <f t="shared" si="730"/>
        <v>0</v>
      </c>
      <c r="P870" s="174"/>
      <c r="Q870" s="267"/>
      <c r="R870" s="183"/>
      <c r="S870" s="259">
        <f t="shared" si="772"/>
        <v>8.0607272727272719</v>
      </c>
    </row>
    <row r="871" spans="1:19" x14ac:dyDescent="0.25">
      <c r="A871" s="232">
        <v>691</v>
      </c>
      <c r="B871" s="271" t="s">
        <v>782</v>
      </c>
      <c r="C871" s="27" t="s">
        <v>684</v>
      </c>
      <c r="D871" s="175">
        <f>1962.25*3</f>
        <v>5886.75</v>
      </c>
      <c r="E871" s="195">
        <f>18.08*3</f>
        <v>54.239999999999995</v>
      </c>
      <c r="F871" s="195">
        <f>532.22*3</f>
        <v>1596.66</v>
      </c>
      <c r="G871" s="222">
        <f>117.09*3</f>
        <v>351.27</v>
      </c>
      <c r="H871" s="167">
        <f>175.99*3</f>
        <v>527.97</v>
      </c>
      <c r="I871" s="169">
        <f>E871+F871+G871+H871+D871</f>
        <v>8416.89</v>
      </c>
      <c r="J871" s="190">
        <f>11.41*3</f>
        <v>34.230000000000004</v>
      </c>
      <c r="K871" s="169">
        <f t="shared" ref="K871" si="773">I871+J871</f>
        <v>8451.119999999999</v>
      </c>
      <c r="L871" s="169">
        <f>ROUND(K871*3%,2)</f>
        <v>253.53</v>
      </c>
      <c r="M871" s="173">
        <f t="shared" ref="M871" si="774">K871+L871</f>
        <v>8704.65</v>
      </c>
      <c r="N871" s="173">
        <f>ROUND(M871*20%,2)</f>
        <v>1740.93</v>
      </c>
      <c r="O871" s="178">
        <f t="shared" si="730"/>
        <v>10445.58</v>
      </c>
      <c r="P871" s="173">
        <f>ROUND(O871/5/12,2)</f>
        <v>174.09</v>
      </c>
      <c r="Q871" s="266">
        <f>34+30+37</f>
        <v>101</v>
      </c>
      <c r="R871" s="182">
        <f t="shared" si="771"/>
        <v>5.17</v>
      </c>
      <c r="S871" s="259">
        <f>ROUND(469.47*3/Q871,2)</f>
        <v>13.94</v>
      </c>
    </row>
    <row r="872" spans="1:19" x14ac:dyDescent="0.25">
      <c r="A872" s="232"/>
      <c r="B872" s="271"/>
      <c r="C872" s="29" t="s">
        <v>683</v>
      </c>
      <c r="D872" s="176"/>
      <c r="E872" s="196"/>
      <c r="F872" s="196"/>
      <c r="G872" s="229"/>
      <c r="H872" s="171"/>
      <c r="I872" s="172"/>
      <c r="J872" s="200"/>
      <c r="K872" s="172"/>
      <c r="L872" s="172"/>
      <c r="M872" s="191"/>
      <c r="N872" s="191"/>
      <c r="O872" s="187">
        <f t="shared" si="730"/>
        <v>0</v>
      </c>
      <c r="P872" s="191"/>
      <c r="Q872" s="268"/>
      <c r="R872" s="189"/>
      <c r="S872" s="259">
        <f t="shared" ref="S872:S873" si="775">443.34*1/55</f>
        <v>8.0607272727272719</v>
      </c>
    </row>
    <row r="873" spans="1:19" x14ac:dyDescent="0.25">
      <c r="A873" s="232"/>
      <c r="B873" s="271"/>
      <c r="C873" s="30" t="s">
        <v>684</v>
      </c>
      <c r="D873" s="177"/>
      <c r="E873" s="197"/>
      <c r="F873" s="197"/>
      <c r="G873" s="230"/>
      <c r="H873" s="168"/>
      <c r="I873" s="170"/>
      <c r="J873" s="199"/>
      <c r="K873" s="170"/>
      <c r="L873" s="170"/>
      <c r="M873" s="174"/>
      <c r="N873" s="174"/>
      <c r="O873" s="179">
        <f t="shared" si="730"/>
        <v>0</v>
      </c>
      <c r="P873" s="174"/>
      <c r="Q873" s="267"/>
      <c r="R873" s="183"/>
      <c r="S873" s="259">
        <f t="shared" si="775"/>
        <v>8.0607272727272719</v>
      </c>
    </row>
    <row r="874" spans="1:19" ht="15" customHeight="1" x14ac:dyDescent="0.25">
      <c r="A874" s="232">
        <v>692</v>
      </c>
      <c r="B874" s="271" t="s">
        <v>783</v>
      </c>
      <c r="C874" s="27" t="s">
        <v>538</v>
      </c>
      <c r="D874" s="175">
        <f>1962.25*3</f>
        <v>5886.75</v>
      </c>
      <c r="E874" s="195">
        <f>18.08*3</f>
        <v>54.239999999999995</v>
      </c>
      <c r="F874" s="195">
        <f>532.22*3</f>
        <v>1596.66</v>
      </c>
      <c r="G874" s="222">
        <f>117.09*3</f>
        <v>351.27</v>
      </c>
      <c r="H874" s="167">
        <f>175.99*3</f>
        <v>527.97</v>
      </c>
      <c r="I874" s="169">
        <f>E874+F874+G874+H874+D874</f>
        <v>8416.89</v>
      </c>
      <c r="J874" s="190">
        <f>11.41*3</f>
        <v>34.230000000000004</v>
      </c>
      <c r="K874" s="169">
        <f t="shared" ref="K874" si="776">I874+J874</f>
        <v>8451.119999999999</v>
      </c>
      <c r="L874" s="169">
        <f>ROUND(K874*3%,2)</f>
        <v>253.53</v>
      </c>
      <c r="M874" s="173">
        <f t="shared" ref="M874" si="777">K874+L874</f>
        <v>8704.65</v>
      </c>
      <c r="N874" s="173">
        <f>ROUND(M874*20%,2)</f>
        <v>1740.93</v>
      </c>
      <c r="O874" s="178">
        <f t="shared" si="730"/>
        <v>10445.58</v>
      </c>
      <c r="P874" s="173">
        <f>ROUND(O874/5/12,2)</f>
        <v>174.09</v>
      </c>
      <c r="Q874" s="266">
        <v>69</v>
      </c>
      <c r="R874" s="182">
        <f t="shared" ref="R874" si="778">ROUND(P874*3/Q874,2)</f>
        <v>7.57</v>
      </c>
      <c r="S874" s="259">
        <f>ROUND((441.63+469.47*2)/Q874,2)</f>
        <v>20.010000000000002</v>
      </c>
    </row>
    <row r="875" spans="1:19" ht="15" customHeight="1" x14ac:dyDescent="0.25">
      <c r="A875" s="232"/>
      <c r="B875" s="271"/>
      <c r="C875" s="29" t="s">
        <v>684</v>
      </c>
      <c r="D875" s="176"/>
      <c r="E875" s="196"/>
      <c r="F875" s="196"/>
      <c r="G875" s="229"/>
      <c r="H875" s="171"/>
      <c r="I875" s="172"/>
      <c r="J875" s="200"/>
      <c r="K875" s="172"/>
      <c r="L875" s="172"/>
      <c r="M875" s="191"/>
      <c r="N875" s="191"/>
      <c r="O875" s="187">
        <f t="shared" si="730"/>
        <v>0</v>
      </c>
      <c r="P875" s="191"/>
      <c r="Q875" s="268"/>
      <c r="R875" s="189"/>
      <c r="S875" s="259">
        <f t="shared" ref="S875:S876" si="779">443.34*1/55</f>
        <v>8.0607272727272719</v>
      </c>
    </row>
    <row r="876" spans="1:19" ht="15" customHeight="1" x14ac:dyDescent="0.25">
      <c r="A876" s="232"/>
      <c r="B876" s="271"/>
      <c r="C876" s="30" t="s">
        <v>49</v>
      </c>
      <c r="D876" s="177"/>
      <c r="E876" s="197"/>
      <c r="F876" s="197"/>
      <c r="G876" s="230"/>
      <c r="H876" s="168"/>
      <c r="I876" s="170"/>
      <c r="J876" s="199"/>
      <c r="K876" s="170"/>
      <c r="L876" s="170"/>
      <c r="M876" s="174"/>
      <c r="N876" s="174"/>
      <c r="O876" s="179">
        <f t="shared" si="730"/>
        <v>0</v>
      </c>
      <c r="P876" s="174"/>
      <c r="Q876" s="267"/>
      <c r="R876" s="183"/>
      <c r="S876" s="259">
        <f t="shared" si="779"/>
        <v>8.0607272727272719</v>
      </c>
    </row>
    <row r="877" spans="1:19" x14ac:dyDescent="0.25">
      <c r="A877" s="232">
        <v>693</v>
      </c>
      <c r="B877" s="271" t="s">
        <v>784</v>
      </c>
      <c r="C877" s="27" t="s">
        <v>685</v>
      </c>
      <c r="D877" s="175">
        <f t="shared" ref="D877" si="780">1962.25*2</f>
        <v>3924.5</v>
      </c>
      <c r="E877" s="175">
        <f t="shared" ref="E877" si="781">18.08*2</f>
        <v>36.159999999999997</v>
      </c>
      <c r="F877" s="175">
        <f t="shared" ref="F877" si="782">532.22*2</f>
        <v>1064.44</v>
      </c>
      <c r="G877" s="222">
        <f t="shared" ref="G877" si="783">117.09*2</f>
        <v>234.18</v>
      </c>
      <c r="H877" s="167">
        <f t="shared" ref="H877" si="784">175.99*2</f>
        <v>351.98</v>
      </c>
      <c r="I877" s="169">
        <f t="shared" ref="I877" si="785">E877+F877+G877+H877+D877</f>
        <v>5611.26</v>
      </c>
      <c r="J877" s="190">
        <f t="shared" ref="J877" si="786">11.41*2</f>
        <v>22.82</v>
      </c>
      <c r="K877" s="169">
        <f t="shared" ref="K877" si="787">I877+J877</f>
        <v>5634.08</v>
      </c>
      <c r="L877" s="169">
        <f t="shared" ref="L877" si="788">ROUND(K877*3%,2)</f>
        <v>169.02</v>
      </c>
      <c r="M877" s="173">
        <f t="shared" ref="M877" si="789">K877+L877</f>
        <v>5803.1</v>
      </c>
      <c r="N877" s="169">
        <f t="shared" ref="N877" si="790">ROUND(M877*20%,2)</f>
        <v>1160.6199999999999</v>
      </c>
      <c r="O877" s="169">
        <f t="shared" ref="O877" si="791">M877+N877</f>
        <v>6963.72</v>
      </c>
      <c r="P877" s="169">
        <f t="shared" ref="P877" si="792">ROUND(O877/5/12,2)</f>
        <v>116.06</v>
      </c>
      <c r="Q877" s="266">
        <f>33+36</f>
        <v>69</v>
      </c>
      <c r="R877" s="182">
        <f t="shared" ref="R877" si="793">ROUND(P877*3/Q877,2)</f>
        <v>5.05</v>
      </c>
      <c r="S877" s="259">
        <f>ROUND(469.47*2/Q877,2)</f>
        <v>13.61</v>
      </c>
    </row>
    <row r="878" spans="1:19" x14ac:dyDescent="0.25">
      <c r="A878" s="232"/>
      <c r="B878" s="271"/>
      <c r="C878" s="30" t="s">
        <v>684</v>
      </c>
      <c r="D878" s="177"/>
      <c r="E878" s="177"/>
      <c r="F878" s="177"/>
      <c r="G878" s="230"/>
      <c r="H878" s="168"/>
      <c r="I878" s="170"/>
      <c r="J878" s="199"/>
      <c r="K878" s="170"/>
      <c r="L878" s="170"/>
      <c r="M878" s="174"/>
      <c r="N878" s="170"/>
      <c r="O878" s="170"/>
      <c r="P878" s="170"/>
      <c r="Q878" s="267"/>
      <c r="R878" s="183"/>
      <c r="S878" s="259">
        <f t="shared" si="738"/>
        <v>8.0607272727272719</v>
      </c>
    </row>
    <row r="879" spans="1:19" ht="16.5" thickBot="1" x14ac:dyDescent="0.3">
      <c r="A879" s="23">
        <v>694</v>
      </c>
      <c r="B879" s="46" t="s">
        <v>686</v>
      </c>
      <c r="C879" s="56" t="s">
        <v>16</v>
      </c>
      <c r="D879" s="57">
        <v>2210.63</v>
      </c>
      <c r="E879" s="57">
        <v>18.079999999999998</v>
      </c>
      <c r="F879" s="57">
        <v>532.22</v>
      </c>
      <c r="G879" s="57">
        <v>117.09</v>
      </c>
      <c r="H879" s="58">
        <v>175.99</v>
      </c>
      <c r="I879" s="59">
        <f>E879+F879+G879+H879+D879</f>
        <v>3054.01</v>
      </c>
      <c r="J879" s="57">
        <v>11.41</v>
      </c>
      <c r="K879" s="59">
        <f>I879+J879</f>
        <v>3065.42</v>
      </c>
      <c r="L879" s="59">
        <f>ROUND(K879*3%,2)</f>
        <v>91.96</v>
      </c>
      <c r="M879" s="60">
        <f>K879+L879</f>
        <v>3157.38</v>
      </c>
      <c r="N879" s="60">
        <f>ROUND(M879*20%,2)</f>
        <v>631.48</v>
      </c>
      <c r="O879" s="61">
        <f>M879+N879</f>
        <v>3788.86</v>
      </c>
      <c r="P879" s="109">
        <f>ROUND(O879/5/12,2)</f>
        <v>63.15</v>
      </c>
      <c r="Q879" s="70">
        <v>69</v>
      </c>
      <c r="R879" s="110">
        <f>ROUND(P879*3/Q879,2)</f>
        <v>2.75</v>
      </c>
      <c r="S879" s="146">
        <f>ROUND(441.63/Q879,2)</f>
        <v>6.4</v>
      </c>
    </row>
    <row r="880" spans="1:19" ht="15.7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16"/>
      <c r="P880" s="16"/>
      <c r="Q880" s="7"/>
      <c r="R880" s="7"/>
      <c r="S880" s="1"/>
    </row>
    <row r="881" spans="1:19" ht="15.75" x14ac:dyDescent="0.25">
      <c r="A881" s="7"/>
      <c r="B881" s="8" t="s">
        <v>746</v>
      </c>
      <c r="C881" s="8"/>
      <c r="D881" s="8"/>
      <c r="E881" s="8"/>
      <c r="F881" s="8"/>
      <c r="G881" s="8"/>
      <c r="H881" s="9" t="s">
        <v>747</v>
      </c>
      <c r="I881" s="8"/>
      <c r="J881" s="8"/>
      <c r="K881" s="8"/>
      <c r="L881" s="8"/>
      <c r="M881" s="8"/>
      <c r="N881" s="8"/>
      <c r="O881" s="17"/>
      <c r="P881" s="17"/>
      <c r="Q881" s="8"/>
      <c r="S881" s="1"/>
    </row>
    <row r="882" spans="1:19" ht="15.75" x14ac:dyDescent="0.25">
      <c r="A882" s="7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17"/>
      <c r="P882" s="17"/>
      <c r="Q882" s="8"/>
      <c r="R882" s="9"/>
      <c r="S882" s="1"/>
    </row>
    <row r="883" spans="1:19" ht="15.75" x14ac:dyDescent="0.25">
      <c r="A883" s="163" t="s">
        <v>884</v>
      </c>
      <c r="B883" s="163"/>
      <c r="C883" s="163"/>
      <c r="D883" s="163"/>
      <c r="E883" s="163"/>
      <c r="F883" s="163"/>
      <c r="G883" s="163"/>
      <c r="H883" s="162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"/>
    </row>
    <row r="884" spans="1:19" ht="15.75" x14ac:dyDescent="0.25">
      <c r="A884" s="1"/>
      <c r="B884" s="1" t="s">
        <v>748</v>
      </c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4"/>
      <c r="Q884" s="1"/>
      <c r="R884" s="1"/>
      <c r="S884" s="1"/>
    </row>
  </sheetData>
  <mergeCells count="1509">
    <mergeCell ref="P877:P878"/>
    <mergeCell ref="P468:P470"/>
    <mergeCell ref="P473:P475"/>
    <mergeCell ref="P478:P483"/>
    <mergeCell ref="P495:P496"/>
    <mergeCell ref="P509:P511"/>
    <mergeCell ref="P515:P518"/>
    <mergeCell ref="P519:P524"/>
    <mergeCell ref="P528:P529"/>
    <mergeCell ref="P556:P557"/>
    <mergeCell ref="P558:P559"/>
    <mergeCell ref="P564:P568"/>
    <mergeCell ref="P572:P577"/>
    <mergeCell ref="P579:P580"/>
    <mergeCell ref="P590:P592"/>
    <mergeCell ref="P603:P604"/>
    <mergeCell ref="P624:P625"/>
    <mergeCell ref="P632:P635"/>
    <mergeCell ref="H12:H13"/>
    <mergeCell ref="I12:I13"/>
    <mergeCell ref="J12:J13"/>
    <mergeCell ref="H27:H29"/>
    <mergeCell ref="O21:O26"/>
    <mergeCell ref="P708:P709"/>
    <mergeCell ref="P724:P725"/>
    <mergeCell ref="P728:P729"/>
    <mergeCell ref="P733:P734"/>
    <mergeCell ref="P745:P748"/>
    <mergeCell ref="P788:P789"/>
    <mergeCell ref="P791:P795"/>
    <mergeCell ref="P822:P824"/>
    <mergeCell ref="P838:P841"/>
    <mergeCell ref="P868:P870"/>
    <mergeCell ref="P871:P873"/>
    <mergeCell ref="P874:P876"/>
    <mergeCell ref="P865:P866"/>
    <mergeCell ref="P40:P42"/>
    <mergeCell ref="D32:D34"/>
    <mergeCell ref="D16:D18"/>
    <mergeCell ref="D19:D20"/>
    <mergeCell ref="D21:D26"/>
    <mergeCell ref="M36:M38"/>
    <mergeCell ref="O32:O34"/>
    <mergeCell ref="Q32:Q34"/>
    <mergeCell ref="R32:R34"/>
    <mergeCell ref="S32:S34"/>
    <mergeCell ref="O40:O42"/>
    <mergeCell ref="Q40:Q42"/>
    <mergeCell ref="R40:R42"/>
    <mergeCell ref="S40:S42"/>
    <mergeCell ref="I36:I38"/>
    <mergeCell ref="J36:J38"/>
    <mergeCell ref="K36:K38"/>
    <mergeCell ref="L36:L38"/>
    <mergeCell ref="R36:R38"/>
    <mergeCell ref="S36:S38"/>
    <mergeCell ref="H36:H38"/>
    <mergeCell ref="N877:N878"/>
    <mergeCell ref="O877:O878"/>
    <mergeCell ref="Q877:Q878"/>
    <mergeCell ref="R877:R878"/>
    <mergeCell ref="S877:S878"/>
    <mergeCell ref="D12:D13"/>
    <mergeCell ref="D27:D29"/>
    <mergeCell ref="H877:H878"/>
    <mergeCell ref="I877:I878"/>
    <mergeCell ref="J877:J878"/>
    <mergeCell ref="K877:K878"/>
    <mergeCell ref="L877:L878"/>
    <mergeCell ref="M877:M878"/>
    <mergeCell ref="O874:O876"/>
    <mergeCell ref="Q874:Q876"/>
    <mergeCell ref="R874:R876"/>
    <mergeCell ref="S874:S876"/>
    <mergeCell ref="H871:H873"/>
    <mergeCell ref="N868:N870"/>
    <mergeCell ref="O868:O870"/>
    <mergeCell ref="Q868:Q870"/>
    <mergeCell ref="G838:G841"/>
    <mergeCell ref="H838:H841"/>
    <mergeCell ref="R868:R870"/>
    <mergeCell ref="S868:S870"/>
    <mergeCell ref="H868:H870"/>
    <mergeCell ref="I868:I870"/>
    <mergeCell ref="J868:J870"/>
    <mergeCell ref="K868:K870"/>
    <mergeCell ref="L868:L870"/>
    <mergeCell ref="M868:M870"/>
    <mergeCell ref="O865:O866"/>
    <mergeCell ref="A877:A878"/>
    <mergeCell ref="B877:B878"/>
    <mergeCell ref="E877:E878"/>
    <mergeCell ref="F877:F878"/>
    <mergeCell ref="G877:G878"/>
    <mergeCell ref="I874:I876"/>
    <mergeCell ref="J874:J876"/>
    <mergeCell ref="K874:K876"/>
    <mergeCell ref="L874:L876"/>
    <mergeCell ref="M874:M876"/>
    <mergeCell ref="N874:N876"/>
    <mergeCell ref="O871:O873"/>
    <mergeCell ref="Q871:Q873"/>
    <mergeCell ref="R871:R873"/>
    <mergeCell ref="S871:S873"/>
    <mergeCell ref="A874:A876"/>
    <mergeCell ref="B874:B876"/>
    <mergeCell ref="E874:E876"/>
    <mergeCell ref="F874:F876"/>
    <mergeCell ref="G874:G876"/>
    <mergeCell ref="H874:H876"/>
    <mergeCell ref="I871:I873"/>
    <mergeCell ref="J871:J873"/>
    <mergeCell ref="K871:K873"/>
    <mergeCell ref="L871:L873"/>
    <mergeCell ref="M871:M873"/>
    <mergeCell ref="N871:N873"/>
    <mergeCell ref="A871:A873"/>
    <mergeCell ref="B871:B873"/>
    <mergeCell ref="E871:E873"/>
    <mergeCell ref="F871:F873"/>
    <mergeCell ref="G871:G873"/>
    <mergeCell ref="A822:A824"/>
    <mergeCell ref="B822:B824"/>
    <mergeCell ref="A868:A870"/>
    <mergeCell ref="B868:B870"/>
    <mergeCell ref="E868:E870"/>
    <mergeCell ref="F868:F870"/>
    <mergeCell ref="G868:G870"/>
    <mergeCell ref="I865:I866"/>
    <mergeCell ref="J865:J866"/>
    <mergeCell ref="K865:K866"/>
    <mergeCell ref="L865:L866"/>
    <mergeCell ref="M865:M866"/>
    <mergeCell ref="N865:N866"/>
    <mergeCell ref="R822:R824"/>
    <mergeCell ref="S822:S824"/>
    <mergeCell ref="H822:H824"/>
    <mergeCell ref="I822:I824"/>
    <mergeCell ref="J822:J824"/>
    <mergeCell ref="K822:K824"/>
    <mergeCell ref="L822:L824"/>
    <mergeCell ref="M822:M824"/>
    <mergeCell ref="E822:E824"/>
    <mergeCell ref="F822:F824"/>
    <mergeCell ref="G822:G824"/>
    <mergeCell ref="N822:N824"/>
    <mergeCell ref="O822:O824"/>
    <mergeCell ref="Q822:Q824"/>
    <mergeCell ref="O838:O841"/>
    <mergeCell ref="Q838:Q841"/>
    <mergeCell ref="R838:R841"/>
    <mergeCell ref="S838:S841"/>
    <mergeCell ref="A865:A866"/>
    <mergeCell ref="B865:B866"/>
    <mergeCell ref="E865:E866"/>
    <mergeCell ref="F865:F866"/>
    <mergeCell ref="G865:G866"/>
    <mergeCell ref="H865:H866"/>
    <mergeCell ref="I838:I841"/>
    <mergeCell ref="J838:J841"/>
    <mergeCell ref="K838:K841"/>
    <mergeCell ref="L838:L841"/>
    <mergeCell ref="M838:M841"/>
    <mergeCell ref="N838:N841"/>
    <mergeCell ref="A838:A841"/>
    <mergeCell ref="B838:B841"/>
    <mergeCell ref="E838:E841"/>
    <mergeCell ref="F838:F841"/>
    <mergeCell ref="Q865:Q866"/>
    <mergeCell ref="R865:R866"/>
    <mergeCell ref="S865:S866"/>
    <mergeCell ref="I791:I795"/>
    <mergeCell ref="J791:J795"/>
    <mergeCell ref="K791:K795"/>
    <mergeCell ref="L791:L795"/>
    <mergeCell ref="M791:M795"/>
    <mergeCell ref="N791:N795"/>
    <mergeCell ref="O788:O789"/>
    <mergeCell ref="Q788:Q789"/>
    <mergeCell ref="R788:R789"/>
    <mergeCell ref="S788:S789"/>
    <mergeCell ref="A791:A795"/>
    <mergeCell ref="B791:B795"/>
    <mergeCell ref="E791:E795"/>
    <mergeCell ref="I788:I789"/>
    <mergeCell ref="J788:J789"/>
    <mergeCell ref="K788:K789"/>
    <mergeCell ref="L788:L789"/>
    <mergeCell ref="M788:M789"/>
    <mergeCell ref="N788:N789"/>
    <mergeCell ref="A788:A789"/>
    <mergeCell ref="B788:B789"/>
    <mergeCell ref="E788:E789"/>
    <mergeCell ref="F788:F789"/>
    <mergeCell ref="G788:G789"/>
    <mergeCell ref="O791:O795"/>
    <mergeCell ref="Q791:Q795"/>
    <mergeCell ref="R791:R795"/>
    <mergeCell ref="S791:S795"/>
    <mergeCell ref="F791:F795"/>
    <mergeCell ref="G791:G795"/>
    <mergeCell ref="H791:H795"/>
    <mergeCell ref="M728:M729"/>
    <mergeCell ref="N728:N729"/>
    <mergeCell ref="A728:A729"/>
    <mergeCell ref="B728:B729"/>
    <mergeCell ref="E728:E729"/>
    <mergeCell ref="F728:F729"/>
    <mergeCell ref="G728:G729"/>
    <mergeCell ref="H788:H789"/>
    <mergeCell ref="N745:N748"/>
    <mergeCell ref="H728:H729"/>
    <mergeCell ref="O724:O725"/>
    <mergeCell ref="Q724:Q725"/>
    <mergeCell ref="S745:S748"/>
    <mergeCell ref="H745:H748"/>
    <mergeCell ref="I745:I748"/>
    <mergeCell ref="J745:J748"/>
    <mergeCell ref="K745:K748"/>
    <mergeCell ref="L745:L748"/>
    <mergeCell ref="M745:M748"/>
    <mergeCell ref="O733:O734"/>
    <mergeCell ref="Q733:Q734"/>
    <mergeCell ref="R733:R734"/>
    <mergeCell ref="S733:S734"/>
    <mergeCell ref="E733:E734"/>
    <mergeCell ref="F733:F734"/>
    <mergeCell ref="G733:G734"/>
    <mergeCell ref="O745:O748"/>
    <mergeCell ref="Q745:Q748"/>
    <mergeCell ref="R745:R748"/>
    <mergeCell ref="S724:S725"/>
    <mergeCell ref="H724:H725"/>
    <mergeCell ref="I724:I725"/>
    <mergeCell ref="J724:J725"/>
    <mergeCell ref="K724:K725"/>
    <mergeCell ref="L724:L725"/>
    <mergeCell ref="M724:M725"/>
    <mergeCell ref="O708:O709"/>
    <mergeCell ref="Q708:Q709"/>
    <mergeCell ref="R708:R709"/>
    <mergeCell ref="S708:S709"/>
    <mergeCell ref="A745:A748"/>
    <mergeCell ref="B745:B748"/>
    <mergeCell ref="E745:E748"/>
    <mergeCell ref="F745:F748"/>
    <mergeCell ref="G745:G748"/>
    <mergeCell ref="I733:I734"/>
    <mergeCell ref="J733:J734"/>
    <mergeCell ref="K733:K734"/>
    <mergeCell ref="L733:L734"/>
    <mergeCell ref="M733:M734"/>
    <mergeCell ref="N733:N734"/>
    <mergeCell ref="O728:O729"/>
    <mergeCell ref="Q728:Q729"/>
    <mergeCell ref="R728:R729"/>
    <mergeCell ref="S728:S729"/>
    <mergeCell ref="A733:A734"/>
    <mergeCell ref="D733:D734"/>
    <mergeCell ref="B733:B734"/>
    <mergeCell ref="H733:H734"/>
    <mergeCell ref="I728:I729"/>
    <mergeCell ref="J728:J729"/>
    <mergeCell ref="K728:K729"/>
    <mergeCell ref="L728:L729"/>
    <mergeCell ref="R702:R703"/>
    <mergeCell ref="S702:S703"/>
    <mergeCell ref="H702:H703"/>
    <mergeCell ref="I702:I703"/>
    <mergeCell ref="J702:J703"/>
    <mergeCell ref="K702:K703"/>
    <mergeCell ref="L702:L703"/>
    <mergeCell ref="M702:M703"/>
    <mergeCell ref="O681:O682"/>
    <mergeCell ref="Q681:Q682"/>
    <mergeCell ref="R681:R682"/>
    <mergeCell ref="S681:S682"/>
    <mergeCell ref="A724:A725"/>
    <mergeCell ref="B724:B725"/>
    <mergeCell ref="E724:E725"/>
    <mergeCell ref="F724:F725"/>
    <mergeCell ref="G724:G725"/>
    <mergeCell ref="I708:I709"/>
    <mergeCell ref="J708:J709"/>
    <mergeCell ref="K708:K709"/>
    <mergeCell ref="L708:L709"/>
    <mergeCell ref="M708:M709"/>
    <mergeCell ref="N708:N709"/>
    <mergeCell ref="A708:A709"/>
    <mergeCell ref="B708:B709"/>
    <mergeCell ref="E708:E709"/>
    <mergeCell ref="F708:F709"/>
    <mergeCell ref="G708:G709"/>
    <mergeCell ref="H708:H709"/>
    <mergeCell ref="B681:B682"/>
    <mergeCell ref="N724:N725"/>
    <mergeCell ref="R724:R725"/>
    <mergeCell ref="G681:G682"/>
    <mergeCell ref="H681:H682"/>
    <mergeCell ref="I657:I658"/>
    <mergeCell ref="J657:J658"/>
    <mergeCell ref="K657:K658"/>
    <mergeCell ref="L657:L658"/>
    <mergeCell ref="M657:M658"/>
    <mergeCell ref="N657:N658"/>
    <mergeCell ref="A657:A658"/>
    <mergeCell ref="B657:B658"/>
    <mergeCell ref="E657:E658"/>
    <mergeCell ref="F657:F658"/>
    <mergeCell ref="G657:G658"/>
    <mergeCell ref="N702:N703"/>
    <mergeCell ref="H657:H658"/>
    <mergeCell ref="O702:O703"/>
    <mergeCell ref="Q702:Q703"/>
    <mergeCell ref="P657:P658"/>
    <mergeCell ref="P681:P682"/>
    <mergeCell ref="P702:P703"/>
    <mergeCell ref="D681:D682"/>
    <mergeCell ref="O632:O635"/>
    <mergeCell ref="Q632:Q635"/>
    <mergeCell ref="R632:R635"/>
    <mergeCell ref="S632:S635"/>
    <mergeCell ref="H632:H635"/>
    <mergeCell ref="I632:I635"/>
    <mergeCell ref="J632:J635"/>
    <mergeCell ref="K632:K635"/>
    <mergeCell ref="L632:L635"/>
    <mergeCell ref="M632:M635"/>
    <mergeCell ref="O624:O625"/>
    <mergeCell ref="Q624:Q625"/>
    <mergeCell ref="R624:R625"/>
    <mergeCell ref="S624:S625"/>
    <mergeCell ref="A702:A703"/>
    <mergeCell ref="B702:B703"/>
    <mergeCell ref="E702:E703"/>
    <mergeCell ref="F702:F703"/>
    <mergeCell ref="G702:G703"/>
    <mergeCell ref="I681:I682"/>
    <mergeCell ref="J681:J682"/>
    <mergeCell ref="K681:K682"/>
    <mergeCell ref="L681:L682"/>
    <mergeCell ref="M681:M682"/>
    <mergeCell ref="N681:N682"/>
    <mergeCell ref="O657:O658"/>
    <mergeCell ref="Q657:Q658"/>
    <mergeCell ref="R657:R658"/>
    <mergeCell ref="S657:S658"/>
    <mergeCell ref="A681:A682"/>
    <mergeCell ref="E681:E682"/>
    <mergeCell ref="F681:F682"/>
    <mergeCell ref="A632:A635"/>
    <mergeCell ref="B632:B635"/>
    <mergeCell ref="E632:E635"/>
    <mergeCell ref="F632:F635"/>
    <mergeCell ref="G632:G635"/>
    <mergeCell ref="I624:I625"/>
    <mergeCell ref="J624:J625"/>
    <mergeCell ref="K624:K625"/>
    <mergeCell ref="L624:L625"/>
    <mergeCell ref="M624:M625"/>
    <mergeCell ref="N624:N625"/>
    <mergeCell ref="A624:A625"/>
    <mergeCell ref="B624:B625"/>
    <mergeCell ref="E624:E625"/>
    <mergeCell ref="F624:F625"/>
    <mergeCell ref="G624:G625"/>
    <mergeCell ref="H624:H625"/>
    <mergeCell ref="N632:N635"/>
    <mergeCell ref="R579:R580"/>
    <mergeCell ref="S579:S580"/>
    <mergeCell ref="A590:A592"/>
    <mergeCell ref="B590:B592"/>
    <mergeCell ref="E590:E592"/>
    <mergeCell ref="F590:F592"/>
    <mergeCell ref="G590:G592"/>
    <mergeCell ref="H579:H580"/>
    <mergeCell ref="I579:I580"/>
    <mergeCell ref="J579:J580"/>
    <mergeCell ref="K579:K580"/>
    <mergeCell ref="L579:L580"/>
    <mergeCell ref="M579:M580"/>
    <mergeCell ref="K603:K604"/>
    <mergeCell ref="L603:L604"/>
    <mergeCell ref="M603:M604"/>
    <mergeCell ref="N590:N592"/>
    <mergeCell ref="O590:O592"/>
    <mergeCell ref="Q590:Q592"/>
    <mergeCell ref="R590:R592"/>
    <mergeCell ref="S590:S592"/>
    <mergeCell ref="A603:A604"/>
    <mergeCell ref="B603:B604"/>
    <mergeCell ref="E603:E604"/>
    <mergeCell ref="F603:F604"/>
    <mergeCell ref="G603:G604"/>
    <mergeCell ref="H590:H592"/>
    <mergeCell ref="I590:I592"/>
    <mergeCell ref="N603:N604"/>
    <mergeCell ref="O603:O604"/>
    <mergeCell ref="Q603:Q604"/>
    <mergeCell ref="R603:R604"/>
    <mergeCell ref="O572:O577"/>
    <mergeCell ref="Q572:Q577"/>
    <mergeCell ref="R572:R577"/>
    <mergeCell ref="S572:S577"/>
    <mergeCell ref="S603:S604"/>
    <mergeCell ref="H603:H604"/>
    <mergeCell ref="I603:I604"/>
    <mergeCell ref="J603:J604"/>
    <mergeCell ref="A579:A580"/>
    <mergeCell ref="B579:B580"/>
    <mergeCell ref="E579:E580"/>
    <mergeCell ref="F579:F580"/>
    <mergeCell ref="G579:G580"/>
    <mergeCell ref="I572:I577"/>
    <mergeCell ref="J572:J577"/>
    <mergeCell ref="K572:K577"/>
    <mergeCell ref="L572:L577"/>
    <mergeCell ref="M572:M577"/>
    <mergeCell ref="N572:N577"/>
    <mergeCell ref="A572:A577"/>
    <mergeCell ref="B572:B577"/>
    <mergeCell ref="E572:E577"/>
    <mergeCell ref="F572:F577"/>
    <mergeCell ref="G572:G577"/>
    <mergeCell ref="H572:H577"/>
    <mergeCell ref="J590:J592"/>
    <mergeCell ref="K590:K592"/>
    <mergeCell ref="L590:L592"/>
    <mergeCell ref="M590:M592"/>
    <mergeCell ref="N579:N580"/>
    <mergeCell ref="O579:O580"/>
    <mergeCell ref="Q579:Q580"/>
    <mergeCell ref="M556:M557"/>
    <mergeCell ref="N556:N557"/>
    <mergeCell ref="A556:A557"/>
    <mergeCell ref="B556:B557"/>
    <mergeCell ref="E556:E557"/>
    <mergeCell ref="F556:F557"/>
    <mergeCell ref="G556:G557"/>
    <mergeCell ref="N564:N568"/>
    <mergeCell ref="O564:O568"/>
    <mergeCell ref="H556:H557"/>
    <mergeCell ref="Q564:Q568"/>
    <mergeCell ref="R564:R568"/>
    <mergeCell ref="S564:S568"/>
    <mergeCell ref="H564:H568"/>
    <mergeCell ref="I564:I568"/>
    <mergeCell ref="J564:J568"/>
    <mergeCell ref="K564:K568"/>
    <mergeCell ref="L564:L568"/>
    <mergeCell ref="M564:M568"/>
    <mergeCell ref="N558:N559"/>
    <mergeCell ref="O558:O559"/>
    <mergeCell ref="Q558:Q559"/>
    <mergeCell ref="R558:R559"/>
    <mergeCell ref="S558:S559"/>
    <mergeCell ref="O528:O529"/>
    <mergeCell ref="Q528:Q529"/>
    <mergeCell ref="R528:R529"/>
    <mergeCell ref="S528:S529"/>
    <mergeCell ref="H528:H529"/>
    <mergeCell ref="I528:I529"/>
    <mergeCell ref="J528:J529"/>
    <mergeCell ref="K528:K529"/>
    <mergeCell ref="L528:L529"/>
    <mergeCell ref="M528:M529"/>
    <mergeCell ref="A564:A568"/>
    <mergeCell ref="B564:B568"/>
    <mergeCell ref="E564:E568"/>
    <mergeCell ref="F564:F568"/>
    <mergeCell ref="G564:G568"/>
    <mergeCell ref="H558:H559"/>
    <mergeCell ref="I558:I559"/>
    <mergeCell ref="J558:J559"/>
    <mergeCell ref="K558:K559"/>
    <mergeCell ref="L558:L559"/>
    <mergeCell ref="M558:M559"/>
    <mergeCell ref="O556:O557"/>
    <mergeCell ref="Q556:Q557"/>
    <mergeCell ref="R556:R557"/>
    <mergeCell ref="S556:S557"/>
    <mergeCell ref="A558:A559"/>
    <mergeCell ref="B558:B559"/>
    <mergeCell ref="E558:E559"/>
    <mergeCell ref="F558:F559"/>
    <mergeCell ref="G558:G559"/>
    <mergeCell ref="I556:I557"/>
    <mergeCell ref="J556:J557"/>
    <mergeCell ref="A528:A529"/>
    <mergeCell ref="B528:B529"/>
    <mergeCell ref="E528:E529"/>
    <mergeCell ref="F528:F529"/>
    <mergeCell ref="G528:G529"/>
    <mergeCell ref="I519:I524"/>
    <mergeCell ref="J519:J524"/>
    <mergeCell ref="K519:K524"/>
    <mergeCell ref="L519:L524"/>
    <mergeCell ref="M519:M524"/>
    <mergeCell ref="N519:N524"/>
    <mergeCell ref="A519:A524"/>
    <mergeCell ref="B519:B524"/>
    <mergeCell ref="E519:E524"/>
    <mergeCell ref="F519:F524"/>
    <mergeCell ref="G519:G524"/>
    <mergeCell ref="H519:H524"/>
    <mergeCell ref="N528:N529"/>
    <mergeCell ref="R478:R483"/>
    <mergeCell ref="S478:S483"/>
    <mergeCell ref="A515:A518"/>
    <mergeCell ref="B515:B518"/>
    <mergeCell ref="E515:E518"/>
    <mergeCell ref="F515:F518"/>
    <mergeCell ref="G515:G518"/>
    <mergeCell ref="I509:I511"/>
    <mergeCell ref="J509:J511"/>
    <mergeCell ref="K509:K511"/>
    <mergeCell ref="L509:L511"/>
    <mergeCell ref="M509:M511"/>
    <mergeCell ref="N509:N511"/>
    <mergeCell ref="A509:A511"/>
    <mergeCell ref="B509:B511"/>
    <mergeCell ref="E509:E511"/>
    <mergeCell ref="F509:F511"/>
    <mergeCell ref="G509:G511"/>
    <mergeCell ref="H509:H511"/>
    <mergeCell ref="N515:N518"/>
    <mergeCell ref="H515:H518"/>
    <mergeCell ref="I515:I518"/>
    <mergeCell ref="J515:J518"/>
    <mergeCell ref="O509:O511"/>
    <mergeCell ref="Q509:Q511"/>
    <mergeCell ref="R509:R511"/>
    <mergeCell ref="S509:S511"/>
    <mergeCell ref="D509:D511"/>
    <mergeCell ref="A495:A496"/>
    <mergeCell ref="B495:B496"/>
    <mergeCell ref="E495:E496"/>
    <mergeCell ref="F495:F496"/>
    <mergeCell ref="G495:G496"/>
    <mergeCell ref="I478:I483"/>
    <mergeCell ref="J478:J483"/>
    <mergeCell ref="K478:K483"/>
    <mergeCell ref="L478:L483"/>
    <mergeCell ref="M478:M483"/>
    <mergeCell ref="N478:N483"/>
    <mergeCell ref="A478:A483"/>
    <mergeCell ref="B478:B483"/>
    <mergeCell ref="E478:E483"/>
    <mergeCell ref="F478:F483"/>
    <mergeCell ref="G478:G483"/>
    <mergeCell ref="H478:H483"/>
    <mergeCell ref="N495:N496"/>
    <mergeCell ref="H495:H496"/>
    <mergeCell ref="I495:I496"/>
    <mergeCell ref="J495:J496"/>
    <mergeCell ref="K495:K496"/>
    <mergeCell ref="L495:L496"/>
    <mergeCell ref="M495:M496"/>
    <mergeCell ref="A473:A475"/>
    <mergeCell ref="B473:B475"/>
    <mergeCell ref="E473:E475"/>
    <mergeCell ref="F473:F475"/>
    <mergeCell ref="G473:G475"/>
    <mergeCell ref="I468:I470"/>
    <mergeCell ref="J468:J470"/>
    <mergeCell ref="K468:K470"/>
    <mergeCell ref="L468:L470"/>
    <mergeCell ref="M468:M470"/>
    <mergeCell ref="N468:N470"/>
    <mergeCell ref="O465:O466"/>
    <mergeCell ref="Q465:Q466"/>
    <mergeCell ref="R465:R466"/>
    <mergeCell ref="S465:S466"/>
    <mergeCell ref="A468:A470"/>
    <mergeCell ref="B468:B470"/>
    <mergeCell ref="E468:E470"/>
    <mergeCell ref="F468:F470"/>
    <mergeCell ref="G468:G470"/>
    <mergeCell ref="H468:H470"/>
    <mergeCell ref="I465:I466"/>
    <mergeCell ref="J465:J466"/>
    <mergeCell ref="K465:K466"/>
    <mergeCell ref="L465:L466"/>
    <mergeCell ref="M465:M466"/>
    <mergeCell ref="N465:N466"/>
    <mergeCell ref="N473:N475"/>
    <mergeCell ref="O473:O475"/>
    <mergeCell ref="Q473:Q475"/>
    <mergeCell ref="R473:R475"/>
    <mergeCell ref="S473:S475"/>
    <mergeCell ref="O438:O439"/>
    <mergeCell ref="Q438:Q439"/>
    <mergeCell ref="R438:R439"/>
    <mergeCell ref="S438:S439"/>
    <mergeCell ref="O456:O457"/>
    <mergeCell ref="Q456:Q457"/>
    <mergeCell ref="R456:R457"/>
    <mergeCell ref="S456:S457"/>
    <mergeCell ref="A465:A466"/>
    <mergeCell ref="B465:B466"/>
    <mergeCell ref="E465:E466"/>
    <mergeCell ref="F465:F466"/>
    <mergeCell ref="G465:G466"/>
    <mergeCell ref="H465:H466"/>
    <mergeCell ref="I456:I457"/>
    <mergeCell ref="J456:J457"/>
    <mergeCell ref="K456:K457"/>
    <mergeCell ref="L456:L457"/>
    <mergeCell ref="M456:M457"/>
    <mergeCell ref="N456:N457"/>
    <mergeCell ref="A456:A457"/>
    <mergeCell ref="B456:B457"/>
    <mergeCell ref="E456:E457"/>
    <mergeCell ref="F456:F457"/>
    <mergeCell ref="G456:G457"/>
    <mergeCell ref="O414:O415"/>
    <mergeCell ref="Q414:Q415"/>
    <mergeCell ref="R414:R415"/>
    <mergeCell ref="S414:S415"/>
    <mergeCell ref="A443:A449"/>
    <mergeCell ref="B443:B449"/>
    <mergeCell ref="E443:E449"/>
    <mergeCell ref="F443:F449"/>
    <mergeCell ref="G443:G449"/>
    <mergeCell ref="I438:I439"/>
    <mergeCell ref="J438:J439"/>
    <mergeCell ref="K438:K439"/>
    <mergeCell ref="L438:L439"/>
    <mergeCell ref="M438:M439"/>
    <mergeCell ref="N438:N439"/>
    <mergeCell ref="A438:A439"/>
    <mergeCell ref="B438:B439"/>
    <mergeCell ref="E438:E439"/>
    <mergeCell ref="F438:F439"/>
    <mergeCell ref="G438:G439"/>
    <mergeCell ref="H438:H439"/>
    <mergeCell ref="N443:N449"/>
    <mergeCell ref="O443:O449"/>
    <mergeCell ref="Q443:Q449"/>
    <mergeCell ref="R443:R449"/>
    <mergeCell ref="S443:S449"/>
    <mergeCell ref="H443:H449"/>
    <mergeCell ref="I443:I449"/>
    <mergeCell ref="J443:J449"/>
    <mergeCell ref="K443:K449"/>
    <mergeCell ref="L443:L449"/>
    <mergeCell ref="M443:M449"/>
    <mergeCell ref="N389:N390"/>
    <mergeCell ref="O389:O390"/>
    <mergeCell ref="Q389:Q390"/>
    <mergeCell ref="R389:R390"/>
    <mergeCell ref="S389:S390"/>
    <mergeCell ref="A418:A419"/>
    <mergeCell ref="B418:B419"/>
    <mergeCell ref="E418:E419"/>
    <mergeCell ref="F418:F419"/>
    <mergeCell ref="G418:G419"/>
    <mergeCell ref="I414:I415"/>
    <mergeCell ref="J414:J415"/>
    <mergeCell ref="K414:K415"/>
    <mergeCell ref="L414:L415"/>
    <mergeCell ref="M414:M415"/>
    <mergeCell ref="N414:N415"/>
    <mergeCell ref="A414:A415"/>
    <mergeCell ref="B414:B415"/>
    <mergeCell ref="E414:E415"/>
    <mergeCell ref="F414:F415"/>
    <mergeCell ref="G414:G415"/>
    <mergeCell ref="H414:H415"/>
    <mergeCell ref="N418:N419"/>
    <mergeCell ref="O418:O419"/>
    <mergeCell ref="Q418:Q419"/>
    <mergeCell ref="R418:R419"/>
    <mergeCell ref="S418:S419"/>
    <mergeCell ref="H418:H419"/>
    <mergeCell ref="I418:I419"/>
    <mergeCell ref="J418:J419"/>
    <mergeCell ref="K418:K419"/>
    <mergeCell ref="L418:L419"/>
    <mergeCell ref="A396:A397"/>
    <mergeCell ref="B396:B397"/>
    <mergeCell ref="E396:E397"/>
    <mergeCell ref="F396:F397"/>
    <mergeCell ref="G396:G397"/>
    <mergeCell ref="H389:H390"/>
    <mergeCell ref="I389:I390"/>
    <mergeCell ref="J389:J390"/>
    <mergeCell ref="K389:K390"/>
    <mergeCell ref="L389:L390"/>
    <mergeCell ref="M389:M390"/>
    <mergeCell ref="N373:N376"/>
    <mergeCell ref="O373:O376"/>
    <mergeCell ref="Q373:Q376"/>
    <mergeCell ref="R373:R376"/>
    <mergeCell ref="S373:S376"/>
    <mergeCell ref="A389:A390"/>
    <mergeCell ref="B389:B390"/>
    <mergeCell ref="E389:E390"/>
    <mergeCell ref="F389:F390"/>
    <mergeCell ref="G389:G390"/>
    <mergeCell ref="H373:H376"/>
    <mergeCell ref="I373:I376"/>
    <mergeCell ref="J373:J376"/>
    <mergeCell ref="K373:K376"/>
    <mergeCell ref="L373:L376"/>
    <mergeCell ref="M373:M376"/>
    <mergeCell ref="N396:N397"/>
    <mergeCell ref="O396:O397"/>
    <mergeCell ref="Q396:Q397"/>
    <mergeCell ref="R396:R397"/>
    <mergeCell ref="S396:S397"/>
    <mergeCell ref="S362:S363"/>
    <mergeCell ref="O364:O365"/>
    <mergeCell ref="Q364:Q365"/>
    <mergeCell ref="R364:R365"/>
    <mergeCell ref="S364:S365"/>
    <mergeCell ref="A373:A376"/>
    <mergeCell ref="B373:B376"/>
    <mergeCell ref="E373:E376"/>
    <mergeCell ref="F373:F376"/>
    <mergeCell ref="G373:G376"/>
    <mergeCell ref="I364:I365"/>
    <mergeCell ref="J364:J365"/>
    <mergeCell ref="K364:K365"/>
    <mergeCell ref="L364:L365"/>
    <mergeCell ref="M364:M365"/>
    <mergeCell ref="N364:N365"/>
    <mergeCell ref="A364:A365"/>
    <mergeCell ref="B364:B365"/>
    <mergeCell ref="E364:E365"/>
    <mergeCell ref="F364:F365"/>
    <mergeCell ref="G364:G365"/>
    <mergeCell ref="H364:H365"/>
    <mergeCell ref="Q352:Q353"/>
    <mergeCell ref="A362:A363"/>
    <mergeCell ref="B362:B363"/>
    <mergeCell ref="E362:E363"/>
    <mergeCell ref="F362:F363"/>
    <mergeCell ref="G362:G363"/>
    <mergeCell ref="I359:I360"/>
    <mergeCell ref="J359:J360"/>
    <mergeCell ref="K359:K360"/>
    <mergeCell ref="L359:L360"/>
    <mergeCell ref="M359:M360"/>
    <mergeCell ref="N359:N360"/>
    <mergeCell ref="O357:O358"/>
    <mergeCell ref="Q357:Q358"/>
    <mergeCell ref="R357:R358"/>
    <mergeCell ref="S357:S358"/>
    <mergeCell ref="A359:A360"/>
    <mergeCell ref="B359:B360"/>
    <mergeCell ref="E359:E360"/>
    <mergeCell ref="F359:F360"/>
    <mergeCell ref="G359:G360"/>
    <mergeCell ref="H359:H360"/>
    <mergeCell ref="I357:I358"/>
    <mergeCell ref="J357:J358"/>
    <mergeCell ref="K357:K358"/>
    <mergeCell ref="L357:L358"/>
    <mergeCell ref="M357:M358"/>
    <mergeCell ref="N357:N358"/>
    <mergeCell ref="N362:N363"/>
    <mergeCell ref="O362:O363"/>
    <mergeCell ref="Q362:Q363"/>
    <mergeCell ref="R362:R363"/>
    <mergeCell ref="A303:A304"/>
    <mergeCell ref="B303:B304"/>
    <mergeCell ref="E303:E304"/>
    <mergeCell ref="F303:F304"/>
    <mergeCell ref="G303:G304"/>
    <mergeCell ref="I296:I299"/>
    <mergeCell ref="J296:J299"/>
    <mergeCell ref="K296:K299"/>
    <mergeCell ref="L296:L299"/>
    <mergeCell ref="M296:M299"/>
    <mergeCell ref="N296:N299"/>
    <mergeCell ref="A296:A299"/>
    <mergeCell ref="B296:B299"/>
    <mergeCell ref="R352:R353"/>
    <mergeCell ref="S352:S353"/>
    <mergeCell ref="A357:A358"/>
    <mergeCell ref="B357:B358"/>
    <mergeCell ref="E357:E358"/>
    <mergeCell ref="F357:F358"/>
    <mergeCell ref="G357:G358"/>
    <mergeCell ref="H357:H358"/>
    <mergeCell ref="I352:I353"/>
    <mergeCell ref="J352:J353"/>
    <mergeCell ref="K352:K353"/>
    <mergeCell ref="L352:L353"/>
    <mergeCell ref="M352:M353"/>
    <mergeCell ref="N352:N353"/>
    <mergeCell ref="A352:A353"/>
    <mergeCell ref="B352:B353"/>
    <mergeCell ref="E352:E353"/>
    <mergeCell ref="F352:F353"/>
    <mergeCell ref="O352:O353"/>
    <mergeCell ref="Q273:Q283"/>
    <mergeCell ref="R273:R283"/>
    <mergeCell ref="S273:S283"/>
    <mergeCell ref="I273:I283"/>
    <mergeCell ref="J273:J283"/>
    <mergeCell ref="K273:K283"/>
    <mergeCell ref="L273:L283"/>
    <mergeCell ref="H303:H304"/>
    <mergeCell ref="I303:I304"/>
    <mergeCell ref="J303:J304"/>
    <mergeCell ref="K303:K304"/>
    <mergeCell ref="L303:L304"/>
    <mergeCell ref="M303:M304"/>
    <mergeCell ref="O296:O299"/>
    <mergeCell ref="Q296:Q299"/>
    <mergeCell ref="R296:R299"/>
    <mergeCell ref="S296:S299"/>
    <mergeCell ref="A286:A288"/>
    <mergeCell ref="B286:B288"/>
    <mergeCell ref="E286:E288"/>
    <mergeCell ref="F286:F288"/>
    <mergeCell ref="G286:G288"/>
    <mergeCell ref="A273:A283"/>
    <mergeCell ref="B273:B283"/>
    <mergeCell ref="E273:E283"/>
    <mergeCell ref="F273:F283"/>
    <mergeCell ref="E296:E299"/>
    <mergeCell ref="F296:F299"/>
    <mergeCell ref="G296:G299"/>
    <mergeCell ref="H296:H299"/>
    <mergeCell ref="N303:N304"/>
    <mergeCell ref="D303:D304"/>
    <mergeCell ref="R267:R270"/>
    <mergeCell ref="S267:S270"/>
    <mergeCell ref="H267:H270"/>
    <mergeCell ref="I267:I270"/>
    <mergeCell ref="J267:J270"/>
    <mergeCell ref="K267:K270"/>
    <mergeCell ref="L267:L270"/>
    <mergeCell ref="M267:M270"/>
    <mergeCell ref="O303:O304"/>
    <mergeCell ref="Q303:Q304"/>
    <mergeCell ref="R303:R304"/>
    <mergeCell ref="S303:S304"/>
    <mergeCell ref="A290:A295"/>
    <mergeCell ref="B290:B295"/>
    <mergeCell ref="E290:E295"/>
    <mergeCell ref="F290:F295"/>
    <mergeCell ref="G290:G295"/>
    <mergeCell ref="A267:A270"/>
    <mergeCell ref="B267:B270"/>
    <mergeCell ref="E267:E270"/>
    <mergeCell ref="F267:F270"/>
    <mergeCell ref="G267:G270"/>
    <mergeCell ref="I259:I261"/>
    <mergeCell ref="J259:J261"/>
    <mergeCell ref="K259:K261"/>
    <mergeCell ref="L259:L261"/>
    <mergeCell ref="M259:M261"/>
    <mergeCell ref="N259:N261"/>
    <mergeCell ref="O256:O257"/>
    <mergeCell ref="Q256:Q257"/>
    <mergeCell ref="R256:R257"/>
    <mergeCell ref="S256:S257"/>
    <mergeCell ref="A259:A261"/>
    <mergeCell ref="B259:B261"/>
    <mergeCell ref="E259:E261"/>
    <mergeCell ref="F259:F261"/>
    <mergeCell ref="G259:G261"/>
    <mergeCell ref="H259:H261"/>
    <mergeCell ref="I256:I257"/>
    <mergeCell ref="K256:K257"/>
    <mergeCell ref="L256:L257"/>
    <mergeCell ref="M256:M257"/>
    <mergeCell ref="N256:N257"/>
    <mergeCell ref="A256:A257"/>
    <mergeCell ref="B256:B257"/>
    <mergeCell ref="E256:E257"/>
    <mergeCell ref="F256:F257"/>
    <mergeCell ref="G256:G257"/>
    <mergeCell ref="N267:N270"/>
    <mergeCell ref="R225:R230"/>
    <mergeCell ref="S225:S230"/>
    <mergeCell ref="A251:A252"/>
    <mergeCell ref="B251:B252"/>
    <mergeCell ref="E251:E252"/>
    <mergeCell ref="F251:F252"/>
    <mergeCell ref="G251:G252"/>
    <mergeCell ref="I244:I245"/>
    <mergeCell ref="J244:J245"/>
    <mergeCell ref="K244:K245"/>
    <mergeCell ref="L244:L245"/>
    <mergeCell ref="M244:M245"/>
    <mergeCell ref="N244:N245"/>
    <mergeCell ref="A244:A245"/>
    <mergeCell ref="B244:B245"/>
    <mergeCell ref="E244:E245"/>
    <mergeCell ref="F244:F245"/>
    <mergeCell ref="G244:G245"/>
    <mergeCell ref="H244:H245"/>
    <mergeCell ref="I251:I252"/>
    <mergeCell ref="J251:J252"/>
    <mergeCell ref="K251:K252"/>
    <mergeCell ref="L251:L252"/>
    <mergeCell ref="M251:M252"/>
    <mergeCell ref="O244:O245"/>
    <mergeCell ref="Q244:Q245"/>
    <mergeCell ref="R244:R245"/>
    <mergeCell ref="S244:S245"/>
    <mergeCell ref="D244:D245"/>
    <mergeCell ref="B225:B230"/>
    <mergeCell ref="E225:E230"/>
    <mergeCell ref="F225:F230"/>
    <mergeCell ref="G225:G230"/>
    <mergeCell ref="I217:I222"/>
    <mergeCell ref="J217:J222"/>
    <mergeCell ref="K217:K222"/>
    <mergeCell ref="L217:L222"/>
    <mergeCell ref="M217:M222"/>
    <mergeCell ref="N217:N222"/>
    <mergeCell ref="A217:A222"/>
    <mergeCell ref="B217:B222"/>
    <mergeCell ref="E217:E222"/>
    <mergeCell ref="F217:F222"/>
    <mergeCell ref="G217:G222"/>
    <mergeCell ref="N239:N241"/>
    <mergeCell ref="A239:A241"/>
    <mergeCell ref="B239:B241"/>
    <mergeCell ref="E239:E241"/>
    <mergeCell ref="F239:F241"/>
    <mergeCell ref="G239:G241"/>
    <mergeCell ref="A225:A230"/>
    <mergeCell ref="H239:H241"/>
    <mergeCell ref="I239:I241"/>
    <mergeCell ref="J239:J241"/>
    <mergeCell ref="K239:K241"/>
    <mergeCell ref="L239:L241"/>
    <mergeCell ref="M239:M241"/>
    <mergeCell ref="N225:N230"/>
    <mergeCell ref="O239:O241"/>
    <mergeCell ref="H217:H222"/>
    <mergeCell ref="N208:N216"/>
    <mergeCell ref="O208:O216"/>
    <mergeCell ref="Q208:Q216"/>
    <mergeCell ref="R208:R216"/>
    <mergeCell ref="S208:S216"/>
    <mergeCell ref="H208:H216"/>
    <mergeCell ref="I208:I216"/>
    <mergeCell ref="J208:J216"/>
    <mergeCell ref="K208:K216"/>
    <mergeCell ref="L208:L216"/>
    <mergeCell ref="M208:M216"/>
    <mergeCell ref="O192:O194"/>
    <mergeCell ref="Q192:Q194"/>
    <mergeCell ref="R192:R194"/>
    <mergeCell ref="S192:S194"/>
    <mergeCell ref="H225:H230"/>
    <mergeCell ref="I225:I230"/>
    <mergeCell ref="J225:J230"/>
    <mergeCell ref="K225:K230"/>
    <mergeCell ref="L225:L230"/>
    <mergeCell ref="M225:M230"/>
    <mergeCell ref="O217:O222"/>
    <mergeCell ref="Q217:Q222"/>
    <mergeCell ref="R217:R222"/>
    <mergeCell ref="S217:S222"/>
    <mergeCell ref="Q239:Q241"/>
    <mergeCell ref="R239:R241"/>
    <mergeCell ref="S239:S241"/>
    <mergeCell ref="O225:O230"/>
    <mergeCell ref="Q225:Q230"/>
    <mergeCell ref="O185:O186"/>
    <mergeCell ref="Q185:Q186"/>
    <mergeCell ref="R185:R186"/>
    <mergeCell ref="S185:S186"/>
    <mergeCell ref="H185:H186"/>
    <mergeCell ref="I185:I186"/>
    <mergeCell ref="J185:J186"/>
    <mergeCell ref="K185:K186"/>
    <mergeCell ref="L185:L186"/>
    <mergeCell ref="M185:M186"/>
    <mergeCell ref="O183:O184"/>
    <mergeCell ref="Q183:Q184"/>
    <mergeCell ref="R183:R184"/>
    <mergeCell ref="S183:S184"/>
    <mergeCell ref="A185:A186"/>
    <mergeCell ref="A208:A216"/>
    <mergeCell ref="B208:B216"/>
    <mergeCell ref="E208:E216"/>
    <mergeCell ref="F208:F216"/>
    <mergeCell ref="G208:G216"/>
    <mergeCell ref="I192:I194"/>
    <mergeCell ref="J192:J194"/>
    <mergeCell ref="K192:K194"/>
    <mergeCell ref="L192:L194"/>
    <mergeCell ref="M192:M194"/>
    <mergeCell ref="N192:N194"/>
    <mergeCell ref="A192:A194"/>
    <mergeCell ref="B192:B194"/>
    <mergeCell ref="E192:E194"/>
    <mergeCell ref="F192:F194"/>
    <mergeCell ref="G192:G194"/>
    <mergeCell ref="H192:H194"/>
    <mergeCell ref="D179:D180"/>
    <mergeCell ref="B185:B186"/>
    <mergeCell ref="E185:E186"/>
    <mergeCell ref="F185:F186"/>
    <mergeCell ref="G185:G186"/>
    <mergeCell ref="I183:I184"/>
    <mergeCell ref="J183:J184"/>
    <mergeCell ref="K183:K184"/>
    <mergeCell ref="L183:L184"/>
    <mergeCell ref="M183:M184"/>
    <mergeCell ref="N183:N184"/>
    <mergeCell ref="A183:A184"/>
    <mergeCell ref="B183:B184"/>
    <mergeCell ref="E183:E184"/>
    <mergeCell ref="F183:F184"/>
    <mergeCell ref="G183:G184"/>
    <mergeCell ref="H183:H184"/>
    <mergeCell ref="N185:N186"/>
    <mergeCell ref="D185:D186"/>
    <mergeCell ref="A179:A180"/>
    <mergeCell ref="B179:B180"/>
    <mergeCell ref="E179:E180"/>
    <mergeCell ref="F179:F180"/>
    <mergeCell ref="G179:G180"/>
    <mergeCell ref="H168:H171"/>
    <mergeCell ref="I168:I171"/>
    <mergeCell ref="J168:J171"/>
    <mergeCell ref="K168:K171"/>
    <mergeCell ref="L168:L171"/>
    <mergeCell ref="M168:M171"/>
    <mergeCell ref="O131:O132"/>
    <mergeCell ref="Q131:Q132"/>
    <mergeCell ref="R131:R132"/>
    <mergeCell ref="S131:S132"/>
    <mergeCell ref="A168:A171"/>
    <mergeCell ref="B168:B171"/>
    <mergeCell ref="E168:E171"/>
    <mergeCell ref="F168:F171"/>
    <mergeCell ref="G168:G171"/>
    <mergeCell ref="I131:I132"/>
    <mergeCell ref="J131:J132"/>
    <mergeCell ref="K131:K132"/>
    <mergeCell ref="L131:L132"/>
    <mergeCell ref="M131:M132"/>
    <mergeCell ref="N131:N132"/>
    <mergeCell ref="A131:A132"/>
    <mergeCell ref="B131:B132"/>
    <mergeCell ref="E131:E132"/>
    <mergeCell ref="F131:F132"/>
    <mergeCell ref="G131:G132"/>
    <mergeCell ref="N179:N180"/>
    <mergeCell ref="A125:A126"/>
    <mergeCell ref="B125:B126"/>
    <mergeCell ref="E125:E126"/>
    <mergeCell ref="F125:F126"/>
    <mergeCell ref="G125:G126"/>
    <mergeCell ref="I108:I110"/>
    <mergeCell ref="J108:J110"/>
    <mergeCell ref="K108:K110"/>
    <mergeCell ref="L108:L110"/>
    <mergeCell ref="M108:M110"/>
    <mergeCell ref="N108:N110"/>
    <mergeCell ref="O103:O106"/>
    <mergeCell ref="Q103:Q106"/>
    <mergeCell ref="R103:R106"/>
    <mergeCell ref="S103:S106"/>
    <mergeCell ref="A108:A110"/>
    <mergeCell ref="B108:B110"/>
    <mergeCell ref="E108:E110"/>
    <mergeCell ref="F108:F110"/>
    <mergeCell ref="G108:G110"/>
    <mergeCell ref="H108:H110"/>
    <mergeCell ref="I103:I106"/>
    <mergeCell ref="J103:J106"/>
    <mergeCell ref="K103:K106"/>
    <mergeCell ref="L103:L106"/>
    <mergeCell ref="M103:M106"/>
    <mergeCell ref="N103:N106"/>
    <mergeCell ref="A103:A106"/>
    <mergeCell ref="B103:B106"/>
    <mergeCell ref="E103:E106"/>
    <mergeCell ref="F103:F106"/>
    <mergeCell ref="G103:G106"/>
    <mergeCell ref="A79:A80"/>
    <mergeCell ref="B79:B80"/>
    <mergeCell ref="E79:E80"/>
    <mergeCell ref="N87:N88"/>
    <mergeCell ref="O87:O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O81:O82"/>
    <mergeCell ref="Q81:Q82"/>
    <mergeCell ref="R81:R82"/>
    <mergeCell ref="S81:S82"/>
    <mergeCell ref="A87:A88"/>
    <mergeCell ref="B87:B88"/>
    <mergeCell ref="E87:E88"/>
    <mergeCell ref="F87:F88"/>
    <mergeCell ref="G87:G88"/>
    <mergeCell ref="I81:I82"/>
    <mergeCell ref="J81:J82"/>
    <mergeCell ref="K81:K82"/>
    <mergeCell ref="L81:L82"/>
    <mergeCell ref="M81:M82"/>
    <mergeCell ref="N81:N82"/>
    <mergeCell ref="A81:A82"/>
    <mergeCell ref="B81:B82"/>
    <mergeCell ref="E81:E82"/>
    <mergeCell ref="M76:M77"/>
    <mergeCell ref="N65:N66"/>
    <mergeCell ref="O65:O66"/>
    <mergeCell ref="Q65:Q66"/>
    <mergeCell ref="R65:R66"/>
    <mergeCell ref="S65:S66"/>
    <mergeCell ref="A76:A77"/>
    <mergeCell ref="B76:B77"/>
    <mergeCell ref="E76:E77"/>
    <mergeCell ref="F76:F77"/>
    <mergeCell ref="G76:G77"/>
    <mergeCell ref="H65:H66"/>
    <mergeCell ref="I65:I66"/>
    <mergeCell ref="J65:J66"/>
    <mergeCell ref="K65:K66"/>
    <mergeCell ref="L65:L66"/>
    <mergeCell ref="M65:M66"/>
    <mergeCell ref="N76:N77"/>
    <mergeCell ref="O76:O77"/>
    <mergeCell ref="Q76:Q77"/>
    <mergeCell ref="R76:R77"/>
    <mergeCell ref="S76:S77"/>
    <mergeCell ref="S59:S60"/>
    <mergeCell ref="A65:A66"/>
    <mergeCell ref="B65:B66"/>
    <mergeCell ref="E65:E66"/>
    <mergeCell ref="F65:F66"/>
    <mergeCell ref="G65:G66"/>
    <mergeCell ref="H59:H60"/>
    <mergeCell ref="I59:I60"/>
    <mergeCell ref="J59:J60"/>
    <mergeCell ref="K59:K60"/>
    <mergeCell ref="L59:L60"/>
    <mergeCell ref="M59:M60"/>
    <mergeCell ref="N54:N55"/>
    <mergeCell ref="O54:O55"/>
    <mergeCell ref="Q54:Q55"/>
    <mergeCell ref="R54:R55"/>
    <mergeCell ref="S54:S55"/>
    <mergeCell ref="A59:A60"/>
    <mergeCell ref="B59:B60"/>
    <mergeCell ref="E59:E60"/>
    <mergeCell ref="F59:F60"/>
    <mergeCell ref="G59:G60"/>
    <mergeCell ref="H54:H55"/>
    <mergeCell ref="I54:I55"/>
    <mergeCell ref="J54:J55"/>
    <mergeCell ref="K54:K55"/>
    <mergeCell ref="L54:L55"/>
    <mergeCell ref="M54:M55"/>
    <mergeCell ref="A54:A55"/>
    <mergeCell ref="B54:B55"/>
    <mergeCell ref="E54:E55"/>
    <mergeCell ref="F54:F55"/>
    <mergeCell ref="G54:G55"/>
    <mergeCell ref="I40:I42"/>
    <mergeCell ref="J40:J42"/>
    <mergeCell ref="K40:K42"/>
    <mergeCell ref="L40:L42"/>
    <mergeCell ref="M40:M42"/>
    <mergeCell ref="N40:N42"/>
    <mergeCell ref="A40:A42"/>
    <mergeCell ref="B40:B42"/>
    <mergeCell ref="E40:E42"/>
    <mergeCell ref="F40:F42"/>
    <mergeCell ref="G40:G42"/>
    <mergeCell ref="H40:H42"/>
    <mergeCell ref="D54:D55"/>
    <mergeCell ref="S27:S29"/>
    <mergeCell ref="A32:A34"/>
    <mergeCell ref="B32:B34"/>
    <mergeCell ref="E32:E34"/>
    <mergeCell ref="F32:F34"/>
    <mergeCell ref="G32:G34"/>
    <mergeCell ref="H32:H34"/>
    <mergeCell ref="I27:I29"/>
    <mergeCell ref="J27:J29"/>
    <mergeCell ref="K27:K29"/>
    <mergeCell ref="L27:L29"/>
    <mergeCell ref="M27:M29"/>
    <mergeCell ref="N27:N29"/>
    <mergeCell ref="A27:A29"/>
    <mergeCell ref="B27:B29"/>
    <mergeCell ref="E27:E29"/>
    <mergeCell ref="F27:F29"/>
    <mergeCell ref="G27:G29"/>
    <mergeCell ref="G19:G20"/>
    <mergeCell ref="H19:H20"/>
    <mergeCell ref="N21:N26"/>
    <mergeCell ref="H21:H26"/>
    <mergeCell ref="I21:I26"/>
    <mergeCell ref="J21:J26"/>
    <mergeCell ref="K21:K26"/>
    <mergeCell ref="L21:L26"/>
    <mergeCell ref="M21:M26"/>
    <mergeCell ref="A36:A38"/>
    <mergeCell ref="B36:B38"/>
    <mergeCell ref="E36:E38"/>
    <mergeCell ref="F36:F38"/>
    <mergeCell ref="G36:G38"/>
    <mergeCell ref="I32:I34"/>
    <mergeCell ref="J32:J34"/>
    <mergeCell ref="K32:K34"/>
    <mergeCell ref="L32:L34"/>
    <mergeCell ref="M32:M34"/>
    <mergeCell ref="N32:N34"/>
    <mergeCell ref="K16:K18"/>
    <mergeCell ref="L16:L18"/>
    <mergeCell ref="M16:M18"/>
    <mergeCell ref="N12:N13"/>
    <mergeCell ref="O12:O13"/>
    <mergeCell ref="Q12:Q13"/>
    <mergeCell ref="R12:R13"/>
    <mergeCell ref="S12:S13"/>
    <mergeCell ref="A16:A18"/>
    <mergeCell ref="B16:B18"/>
    <mergeCell ref="P12:P13"/>
    <mergeCell ref="K12:K13"/>
    <mergeCell ref="L12:L13"/>
    <mergeCell ref="M12:M13"/>
    <mergeCell ref="A21:A26"/>
    <mergeCell ref="E16:E18"/>
    <mergeCell ref="F16:F18"/>
    <mergeCell ref="G16:G18"/>
    <mergeCell ref="B21:B26"/>
    <mergeCell ref="E21:E26"/>
    <mergeCell ref="F21:F26"/>
    <mergeCell ref="G21:G26"/>
    <mergeCell ref="I19:I20"/>
    <mergeCell ref="J19:J20"/>
    <mergeCell ref="K19:K20"/>
    <mergeCell ref="L19:L20"/>
    <mergeCell ref="M19:M20"/>
    <mergeCell ref="N19:N20"/>
    <mergeCell ref="A19:A20"/>
    <mergeCell ref="B19:B20"/>
    <mergeCell ref="E19:E20"/>
    <mergeCell ref="F19:F20"/>
    <mergeCell ref="S21:S26"/>
    <mergeCell ref="O19:O20"/>
    <mergeCell ref="Q19:Q20"/>
    <mergeCell ref="R19:R20"/>
    <mergeCell ref="S19:S20"/>
    <mergeCell ref="P21:P26"/>
    <mergeCell ref="P27:P29"/>
    <mergeCell ref="P19:P20"/>
    <mergeCell ref="P16:P18"/>
    <mergeCell ref="D36:D38"/>
    <mergeCell ref="P32:P34"/>
    <mergeCell ref="P36:P38"/>
    <mergeCell ref="D40:D42"/>
    <mergeCell ref="N36:N38"/>
    <mergeCell ref="O36:O38"/>
    <mergeCell ref="Q36:Q38"/>
    <mergeCell ref="B6:R6"/>
    <mergeCell ref="A7:R7"/>
    <mergeCell ref="O8:R8"/>
    <mergeCell ref="A12:A13"/>
    <mergeCell ref="B12:B13"/>
    <mergeCell ref="E12:E13"/>
    <mergeCell ref="F12:F13"/>
    <mergeCell ref="G12:G13"/>
    <mergeCell ref="N16:N18"/>
    <mergeCell ref="O16:O18"/>
    <mergeCell ref="Q16:Q18"/>
    <mergeCell ref="R16:R18"/>
    <mergeCell ref="S16:S18"/>
    <mergeCell ref="H16:H18"/>
    <mergeCell ref="I16:I18"/>
    <mergeCell ref="J16:J18"/>
    <mergeCell ref="D59:D60"/>
    <mergeCell ref="D65:D66"/>
    <mergeCell ref="D76:D77"/>
    <mergeCell ref="D868:D870"/>
    <mergeCell ref="D871:D873"/>
    <mergeCell ref="D874:D876"/>
    <mergeCell ref="D788:D789"/>
    <mergeCell ref="D745:D748"/>
    <mergeCell ref="D728:D729"/>
    <mergeCell ref="D724:D725"/>
    <mergeCell ref="D708:D709"/>
    <mergeCell ref="D603:D604"/>
    <mergeCell ref="D590:D592"/>
    <mergeCell ref="D579:D580"/>
    <mergeCell ref="D572:D577"/>
    <mergeCell ref="Q21:Q26"/>
    <mergeCell ref="R21:R26"/>
    <mergeCell ref="O27:O29"/>
    <mergeCell ref="Q27:Q29"/>
    <mergeCell ref="R27:R29"/>
    <mergeCell ref="N59:N60"/>
    <mergeCell ref="O59:O60"/>
    <mergeCell ref="Q59:Q60"/>
    <mergeCell ref="R59:R60"/>
    <mergeCell ref="F81:F82"/>
    <mergeCell ref="G81:G82"/>
    <mergeCell ref="H81:H82"/>
    <mergeCell ref="H76:H77"/>
    <mergeCell ref="I76:I77"/>
    <mergeCell ref="J76:J77"/>
    <mergeCell ref="K76:K77"/>
    <mergeCell ref="L76:L77"/>
    <mergeCell ref="M473:M475"/>
    <mergeCell ref="O468:O470"/>
    <mergeCell ref="D564:D568"/>
    <mergeCell ref="O515:O518"/>
    <mergeCell ref="Q515:Q518"/>
    <mergeCell ref="R515:R518"/>
    <mergeCell ref="S515:S518"/>
    <mergeCell ref="K515:K518"/>
    <mergeCell ref="D877:D878"/>
    <mergeCell ref="D865:D866"/>
    <mergeCell ref="D838:D841"/>
    <mergeCell ref="D822:D824"/>
    <mergeCell ref="D791:D795"/>
    <mergeCell ref="L515:L518"/>
    <mergeCell ref="M515:M518"/>
    <mergeCell ref="O519:O524"/>
    <mergeCell ref="Q519:Q524"/>
    <mergeCell ref="R519:R524"/>
    <mergeCell ref="S519:S524"/>
    <mergeCell ref="D702:D703"/>
    <mergeCell ref="D657:D658"/>
    <mergeCell ref="D632:D635"/>
    <mergeCell ref="D624:D625"/>
    <mergeCell ref="Q468:Q470"/>
    <mergeCell ref="R468:R470"/>
    <mergeCell ref="S468:S470"/>
    <mergeCell ref="O495:O496"/>
    <mergeCell ref="Q495:Q496"/>
    <mergeCell ref="R495:R496"/>
    <mergeCell ref="S495:S496"/>
    <mergeCell ref="O478:O483"/>
    <mergeCell ref="Q478:Q483"/>
    <mergeCell ref="D495:D496"/>
    <mergeCell ref="D478:D483"/>
    <mergeCell ref="D473:D475"/>
    <mergeCell ref="D468:D470"/>
    <mergeCell ref="D465:D466"/>
    <mergeCell ref="D456:D457"/>
    <mergeCell ref="D558:D559"/>
    <mergeCell ref="D528:D529"/>
    <mergeCell ref="D519:D524"/>
    <mergeCell ref="D515:D518"/>
    <mergeCell ref="D556:D557"/>
    <mergeCell ref="H456:H457"/>
    <mergeCell ref="H473:H475"/>
    <mergeCell ref="I473:I475"/>
    <mergeCell ref="J473:J475"/>
    <mergeCell ref="K473:K475"/>
    <mergeCell ref="L473:L475"/>
    <mergeCell ref="K556:K557"/>
    <mergeCell ref="L556:L557"/>
    <mergeCell ref="D81:D82"/>
    <mergeCell ref="D87:D88"/>
    <mergeCell ref="D103:D106"/>
    <mergeCell ref="D108:D110"/>
    <mergeCell ref="D183:D184"/>
    <mergeCell ref="D418:D419"/>
    <mergeCell ref="D414:D415"/>
    <mergeCell ref="D438:D439"/>
    <mergeCell ref="F79:F80"/>
    <mergeCell ref="G79:G80"/>
    <mergeCell ref="N79:N80"/>
    <mergeCell ref="O79:O80"/>
    <mergeCell ref="Q79:Q80"/>
    <mergeCell ref="R79:R80"/>
    <mergeCell ref="S79:S80"/>
    <mergeCell ref="D79:D80"/>
    <mergeCell ref="J79:J80"/>
    <mergeCell ref="K79:K80"/>
    <mergeCell ref="L79:L80"/>
    <mergeCell ref="M79:M80"/>
    <mergeCell ref="N251:N252"/>
    <mergeCell ref="H251:H252"/>
    <mergeCell ref="D267:D270"/>
    <mergeCell ref="H79:H80"/>
    <mergeCell ref="I79:I80"/>
    <mergeCell ref="K179:K180"/>
    <mergeCell ref="L179:L180"/>
    <mergeCell ref="M179:M180"/>
    <mergeCell ref="N168:N171"/>
    <mergeCell ref="O168:O171"/>
    <mergeCell ref="Q168:Q171"/>
    <mergeCell ref="R168:R171"/>
    <mergeCell ref="D443:D449"/>
    <mergeCell ref="D396:D397"/>
    <mergeCell ref="D389:D390"/>
    <mergeCell ref="D373:D376"/>
    <mergeCell ref="D364:D365"/>
    <mergeCell ref="D362:D363"/>
    <mergeCell ref="D352:D353"/>
    <mergeCell ref="D357:D358"/>
    <mergeCell ref="D359:D360"/>
    <mergeCell ref="G352:G353"/>
    <mergeCell ref="H352:H353"/>
    <mergeCell ref="H362:H363"/>
    <mergeCell ref="I362:I363"/>
    <mergeCell ref="J362:J363"/>
    <mergeCell ref="K362:K363"/>
    <mergeCell ref="L362:L363"/>
    <mergeCell ref="M362:M363"/>
    <mergeCell ref="H396:H397"/>
    <mergeCell ref="I396:I397"/>
    <mergeCell ref="J396:J397"/>
    <mergeCell ref="K396:K397"/>
    <mergeCell ref="L396:L397"/>
    <mergeCell ref="M396:M397"/>
    <mergeCell ref="M418:M419"/>
    <mergeCell ref="R251:R252"/>
    <mergeCell ref="S251:S252"/>
    <mergeCell ref="N290:N295"/>
    <mergeCell ref="O290:O295"/>
    <mergeCell ref="Q290:Q295"/>
    <mergeCell ref="R290:R295"/>
    <mergeCell ref="J256:J257"/>
    <mergeCell ref="G273:G283"/>
    <mergeCell ref="M273:M283"/>
    <mergeCell ref="N273:N283"/>
    <mergeCell ref="O286:O288"/>
    <mergeCell ref="Q286:Q288"/>
    <mergeCell ref="R286:R288"/>
    <mergeCell ref="S286:S288"/>
    <mergeCell ref="K290:K295"/>
    <mergeCell ref="L290:L295"/>
    <mergeCell ref="M290:M295"/>
    <mergeCell ref="N286:N288"/>
    <mergeCell ref="H273:H283"/>
    <mergeCell ref="O267:O270"/>
    <mergeCell ref="Q267:Q270"/>
    <mergeCell ref="O259:O261"/>
    <mergeCell ref="Q259:Q261"/>
    <mergeCell ref="R259:R261"/>
    <mergeCell ref="S259:S261"/>
    <mergeCell ref="H286:H288"/>
    <mergeCell ref="I286:I288"/>
    <mergeCell ref="J286:J288"/>
    <mergeCell ref="K286:K288"/>
    <mergeCell ref="L286:L288"/>
    <mergeCell ref="M286:M288"/>
    <mergeCell ref="O273:O283"/>
    <mergeCell ref="H103:H106"/>
    <mergeCell ref="H131:H132"/>
    <mergeCell ref="N125:N126"/>
    <mergeCell ref="O125:O126"/>
    <mergeCell ref="Q125:Q126"/>
    <mergeCell ref="J125:J126"/>
    <mergeCell ref="K125:K126"/>
    <mergeCell ref="L125:L126"/>
    <mergeCell ref="M125:M126"/>
    <mergeCell ref="O108:O110"/>
    <mergeCell ref="Q108:Q110"/>
    <mergeCell ref="R108:R110"/>
    <mergeCell ref="S108:S110"/>
    <mergeCell ref="O179:O180"/>
    <mergeCell ref="Q179:Q180"/>
    <mergeCell ref="R179:R180"/>
    <mergeCell ref="S179:S180"/>
    <mergeCell ref="H179:H180"/>
    <mergeCell ref="I179:I180"/>
    <mergeCell ref="J179:J180"/>
    <mergeCell ref="S168:S171"/>
    <mergeCell ref="R125:R126"/>
    <mergeCell ref="S125:S126"/>
    <mergeCell ref="H125:H126"/>
    <mergeCell ref="I125:I126"/>
    <mergeCell ref="S290:S295"/>
    <mergeCell ref="H290:H295"/>
    <mergeCell ref="I290:I295"/>
    <mergeCell ref="J290:J295"/>
    <mergeCell ref="P465:P466"/>
    <mergeCell ref="P456:P457"/>
    <mergeCell ref="D168:D171"/>
    <mergeCell ref="D131:D132"/>
    <mergeCell ref="D125:D126"/>
    <mergeCell ref="O359:O360"/>
    <mergeCell ref="Q359:Q360"/>
    <mergeCell ref="R359:R360"/>
    <mergeCell ref="S359:S360"/>
    <mergeCell ref="D296:D299"/>
    <mergeCell ref="D290:D295"/>
    <mergeCell ref="D286:D288"/>
    <mergeCell ref="D273:D283"/>
    <mergeCell ref="D239:D241"/>
    <mergeCell ref="D225:D230"/>
    <mergeCell ref="D217:D222"/>
    <mergeCell ref="D208:D216"/>
    <mergeCell ref="D192:D194"/>
    <mergeCell ref="D259:D261"/>
    <mergeCell ref="D256:D257"/>
    <mergeCell ref="D251:D252"/>
    <mergeCell ref="H256:H257"/>
    <mergeCell ref="O251:O252"/>
    <mergeCell ref="Q251:Q252"/>
  </mergeCells>
  <pageMargins left="0" right="0" top="0.74803149606299213" bottom="0.74803149606299213" header="0.31496062992125984" footer="0.31496062992125984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до рішення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2020-03-02T14:53:30Z</dcterms:modified>
</cp:coreProperties>
</file>