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2480" tabRatio="585" activeTab="4"/>
  </bookViews>
  <sheets>
    <sheet name="дод1" sheetId="105" r:id="rId1"/>
    <sheet name="dod2" sheetId="118" r:id="rId2"/>
    <sheet name="dod3" sheetId="97" r:id="rId3"/>
    <sheet name="dod4" sheetId="107" r:id="rId4"/>
    <sheet name="dod5" sheetId="98" r:id="rId5"/>
    <sheet name="dod6" sheetId="108" r:id="rId6"/>
    <sheet name="dod7" sheetId="116" r:id="rId7"/>
    <sheet name="dod8" sheetId="104" r:id="rId8"/>
    <sheet name="dod3 базовий" sheetId="119" r:id="rId9"/>
    <sheet name="РІЗНИЦЯ" sheetId="120" r:id="rId10"/>
  </sheets>
  <definedNames>
    <definedName name="_GoBack" localSheetId="4">'dod5'!#REF!</definedName>
    <definedName name="_xlnm.Print_Titles" localSheetId="2">'dod3'!$11:$11</definedName>
    <definedName name="_xlnm.Print_Titles" localSheetId="8">'dod3 базовий'!$11:$11</definedName>
    <definedName name="_xlnm.Print_Titles" localSheetId="9">РІЗНИЦЯ!$11:$11</definedName>
    <definedName name="_xlnm.Print_Area" localSheetId="1">'dod2'!$A$1:$F$36</definedName>
    <definedName name="_xlnm.Print_Area" localSheetId="2">'dod3'!$A$1:$P$194</definedName>
    <definedName name="_xlnm.Print_Area" localSheetId="8">'dod3 базовий'!$A$1:$P$184</definedName>
    <definedName name="_xlnm.Print_Area" localSheetId="3">'dod4'!$B$1:$Q$15</definedName>
    <definedName name="_xlnm.Print_Area" localSheetId="4">'dod5'!$B$1:$J$214</definedName>
    <definedName name="_xlnm.Print_Area" localSheetId="5">'dod6'!$A$1:$E$33</definedName>
    <definedName name="_xlnm.Print_Area" localSheetId="6">'dod7'!$A$1:$F$21</definedName>
    <definedName name="_xlnm.Print_Area" localSheetId="7">'dod8'!$A$1:$I$189</definedName>
    <definedName name="_xlnm.Print_Area" localSheetId="0">дод1!$A$1:$F$103</definedName>
    <definedName name="_xlnm.Print_Area" localSheetId="9">РІЗНИЦЯ!$A$1:$P$193</definedName>
    <definedName name="С16" localSheetId="1">#REF!</definedName>
    <definedName name="С16" localSheetId="8">#REF!</definedName>
    <definedName name="С16" localSheetId="0">#REF!</definedName>
    <definedName name="С16" localSheetId="9">#REF!</definedName>
    <definedName name="С16">#REF!</definedName>
  </definedNames>
  <calcPr calcId="124519"/>
</workbook>
</file>

<file path=xl/calcChain.xml><?xml version="1.0" encoding="utf-8"?>
<calcChain xmlns="http://schemas.openxmlformats.org/spreadsheetml/2006/main">
  <c r="O161" i="97"/>
  <c r="O160"/>
  <c r="J176" i="98"/>
  <c r="J180"/>
  <c r="G7" i="104"/>
  <c r="H7" l="1"/>
  <c r="J8" i="98"/>
  <c r="F14" i="97"/>
  <c r="O14"/>
  <c r="F29" l="1"/>
  <c r="F15"/>
  <c r="J16" i="98" l="1"/>
  <c r="F28" i="97"/>
  <c r="O28"/>
  <c r="G181" l="1"/>
  <c r="H181"/>
  <c r="I181"/>
  <c r="K181"/>
  <c r="L181"/>
  <c r="M181"/>
  <c r="J104" i="98" l="1"/>
  <c r="O151" i="97"/>
  <c r="I35" i="104" l="1"/>
  <c r="I28"/>
  <c r="J23" i="98" l="1"/>
  <c r="O32" i="97"/>
  <c r="F144"/>
  <c r="F25"/>
  <c r="F124"/>
  <c r="F125"/>
  <c r="G13" i="104"/>
  <c r="H13"/>
  <c r="J13" i="98"/>
  <c r="O25" i="97"/>
  <c r="F42" l="1"/>
  <c r="G43" i="104"/>
  <c r="K44" i="97" l="1"/>
  <c r="N43"/>
  <c r="K43"/>
  <c r="F45"/>
  <c r="D95" i="105"/>
  <c r="C100"/>
  <c r="J35" i="98" l="1"/>
  <c r="O44" i="97"/>
  <c r="N44" s="1"/>
  <c r="F44"/>
  <c r="D11" i="108"/>
  <c r="J52" i="98"/>
  <c r="J80"/>
  <c r="O129" i="97"/>
  <c r="J93" i="98"/>
  <c r="J105"/>
  <c r="O145" i="97"/>
  <c r="O146" i="120" s="1"/>
  <c r="O153" i="97"/>
  <c r="O154" i="120" s="1"/>
  <c r="F145" i="97"/>
  <c r="F146" i="120" s="1"/>
  <c r="F152" i="97"/>
  <c r="F153" i="120" s="1"/>
  <c r="F151" i="97"/>
  <c r="F152" i="120" s="1"/>
  <c r="F142"/>
  <c r="G142"/>
  <c r="H142"/>
  <c r="I142"/>
  <c r="K142"/>
  <c r="L142"/>
  <c r="M142"/>
  <c r="O142"/>
  <c r="E142"/>
  <c r="G140"/>
  <c r="H140"/>
  <c r="I140"/>
  <c r="K140"/>
  <c r="L140"/>
  <c r="M140"/>
  <c r="F141"/>
  <c r="G141"/>
  <c r="H141"/>
  <c r="I141"/>
  <c r="K141"/>
  <c r="L141"/>
  <c r="M141"/>
  <c r="O141"/>
  <c r="F143"/>
  <c r="G143"/>
  <c r="H143"/>
  <c r="I143"/>
  <c r="K143"/>
  <c r="L143"/>
  <c r="M143"/>
  <c r="O143"/>
  <c r="F144"/>
  <c r="G144"/>
  <c r="H144"/>
  <c r="I144"/>
  <c r="K144"/>
  <c r="L144"/>
  <c r="M144"/>
  <c r="G145"/>
  <c r="H145"/>
  <c r="I145"/>
  <c r="K145"/>
  <c r="L145"/>
  <c r="M145"/>
  <c r="O145"/>
  <c r="G146"/>
  <c r="H146"/>
  <c r="I146"/>
  <c r="K146"/>
  <c r="L146"/>
  <c r="M146"/>
  <c r="F147"/>
  <c r="G147"/>
  <c r="H147"/>
  <c r="I147"/>
  <c r="K147"/>
  <c r="L147"/>
  <c r="M147"/>
  <c r="E148"/>
  <c r="F148"/>
  <c r="G148"/>
  <c r="H148"/>
  <c r="I148"/>
  <c r="K148"/>
  <c r="L148"/>
  <c r="M148"/>
  <c r="O148"/>
  <c r="G149"/>
  <c r="H149"/>
  <c r="I149"/>
  <c r="L149"/>
  <c r="M149"/>
  <c r="F150"/>
  <c r="G150"/>
  <c r="H150"/>
  <c r="I150"/>
  <c r="K150"/>
  <c r="L150"/>
  <c r="M150"/>
  <c r="O150"/>
  <c r="G151"/>
  <c r="H151"/>
  <c r="I151"/>
  <c r="L151"/>
  <c r="M151"/>
  <c r="G152"/>
  <c r="H152"/>
  <c r="I152"/>
  <c r="K152"/>
  <c r="L152"/>
  <c r="M152"/>
  <c r="G153"/>
  <c r="H153"/>
  <c r="I153"/>
  <c r="K153"/>
  <c r="L153"/>
  <c r="M153"/>
  <c r="F154"/>
  <c r="G154"/>
  <c r="H154"/>
  <c r="I154"/>
  <c r="K154"/>
  <c r="L154"/>
  <c r="M154"/>
  <c r="F155"/>
  <c r="G155"/>
  <c r="H155"/>
  <c r="I155"/>
  <c r="K155"/>
  <c r="L155"/>
  <c r="M155"/>
  <c r="O155"/>
  <c r="G156"/>
  <c r="H156"/>
  <c r="I156"/>
  <c r="K156"/>
  <c r="L156"/>
  <c r="M156"/>
  <c r="O156"/>
  <c r="G139"/>
  <c r="H139"/>
  <c r="I139"/>
  <c r="L139"/>
  <c r="M139"/>
  <c r="O152" i="97"/>
  <c r="O153" i="120" s="1"/>
  <c r="O152"/>
  <c r="O146" i="97"/>
  <c r="O147" i="120" s="1"/>
  <c r="O143" i="97"/>
  <c r="O144" i="120" s="1"/>
  <c r="O140" i="97"/>
  <c r="O140" i="120" s="1"/>
  <c r="F140" i="97"/>
  <c r="F140" i="120" s="1"/>
  <c r="J123" i="98"/>
  <c r="J114"/>
  <c r="J103"/>
  <c r="H96"/>
  <c r="I101"/>
  <c r="H101" s="1"/>
  <c r="J101"/>
  <c r="J92"/>
  <c r="J90"/>
  <c r="F100" i="97"/>
  <c r="F99"/>
  <c r="F88"/>
  <c r="F183" i="120"/>
  <c r="G183"/>
  <c r="H183"/>
  <c r="I183"/>
  <c r="K183"/>
  <c r="L183"/>
  <c r="M183"/>
  <c r="F184"/>
  <c r="G184"/>
  <c r="H184"/>
  <c r="I184"/>
  <c r="K184"/>
  <c r="L184"/>
  <c r="M184"/>
  <c r="O184"/>
  <c r="F177"/>
  <c r="G177"/>
  <c r="H177"/>
  <c r="I177"/>
  <c r="K177"/>
  <c r="L177"/>
  <c r="M177"/>
  <c r="O177"/>
  <c r="F178"/>
  <c r="G178"/>
  <c r="H178"/>
  <c r="I178"/>
  <c r="K178"/>
  <c r="L178"/>
  <c r="M178"/>
  <c r="O178"/>
  <c r="F179"/>
  <c r="G179"/>
  <c r="H179"/>
  <c r="I179"/>
  <c r="K179"/>
  <c r="L179"/>
  <c r="M179"/>
  <c r="O179"/>
  <c r="F180"/>
  <c r="G180"/>
  <c r="H180"/>
  <c r="I180"/>
  <c r="K180"/>
  <c r="L180"/>
  <c r="M180"/>
  <c r="O180"/>
  <c r="E179"/>
  <c r="E180"/>
  <c r="F166"/>
  <c r="G166"/>
  <c r="H166"/>
  <c r="I166"/>
  <c r="K166"/>
  <c r="L166"/>
  <c r="M166"/>
  <c r="G81"/>
  <c r="H81"/>
  <c r="I81"/>
  <c r="K81"/>
  <c r="L81"/>
  <c r="M81"/>
  <c r="O81"/>
  <c r="F83" i="97"/>
  <c r="F83" i="120" s="1"/>
  <c r="F81" i="97"/>
  <c r="E81" s="1"/>
  <c r="E81" i="120" s="1"/>
  <c r="N81" i="97"/>
  <c r="J81" s="1"/>
  <c r="J81" i="120" s="1"/>
  <c r="I101"/>
  <c r="F102"/>
  <c r="G102"/>
  <c r="H102"/>
  <c r="I102"/>
  <c r="K102"/>
  <c r="L102"/>
  <c r="M102"/>
  <c r="O102"/>
  <c r="I99"/>
  <c r="K99"/>
  <c r="L99"/>
  <c r="M99"/>
  <c r="G100"/>
  <c r="H100"/>
  <c r="I100"/>
  <c r="K100"/>
  <c r="L100"/>
  <c r="M100"/>
  <c r="O100"/>
  <c r="I98"/>
  <c r="N96"/>
  <c r="J96" s="1"/>
  <c r="P96" s="1"/>
  <c r="I88"/>
  <c r="K88"/>
  <c r="L88"/>
  <c r="M88"/>
  <c r="G89"/>
  <c r="H89"/>
  <c r="I89"/>
  <c r="K89"/>
  <c r="L89"/>
  <c r="M89"/>
  <c r="O89"/>
  <c r="G90"/>
  <c r="H90"/>
  <c r="I90"/>
  <c r="K90"/>
  <c r="L90"/>
  <c r="M90"/>
  <c r="O90"/>
  <c r="F91"/>
  <c r="G91"/>
  <c r="H91"/>
  <c r="I91"/>
  <c r="K91"/>
  <c r="L91"/>
  <c r="M91"/>
  <c r="O91"/>
  <c r="F92"/>
  <c r="G92"/>
  <c r="H92"/>
  <c r="I92"/>
  <c r="K92"/>
  <c r="L92"/>
  <c r="M92"/>
  <c r="O92"/>
  <c r="F93"/>
  <c r="F95"/>
  <c r="G95"/>
  <c r="H95"/>
  <c r="I95"/>
  <c r="K95"/>
  <c r="L95"/>
  <c r="M95"/>
  <c r="O95"/>
  <c r="G82"/>
  <c r="H82"/>
  <c r="I82"/>
  <c r="K82"/>
  <c r="L82"/>
  <c r="M82"/>
  <c r="N82"/>
  <c r="O82"/>
  <c r="G83"/>
  <c r="H83"/>
  <c r="I83"/>
  <c r="K83"/>
  <c r="L83"/>
  <c r="M83"/>
  <c r="N83"/>
  <c r="O83"/>
  <c r="F84"/>
  <c r="G84"/>
  <c r="H84"/>
  <c r="I84"/>
  <c r="K84"/>
  <c r="L84"/>
  <c r="M84"/>
  <c r="N84"/>
  <c r="O84"/>
  <c r="F85"/>
  <c r="G85"/>
  <c r="H85"/>
  <c r="I85"/>
  <c r="K85"/>
  <c r="L85"/>
  <c r="M85"/>
  <c r="O85"/>
  <c r="G87"/>
  <c r="H87"/>
  <c r="I87"/>
  <c r="K87"/>
  <c r="L87"/>
  <c r="M87"/>
  <c r="F80"/>
  <c r="G80"/>
  <c r="H80"/>
  <c r="I80"/>
  <c r="K80"/>
  <c r="L80"/>
  <c r="M80"/>
  <c r="O80"/>
  <c r="N78"/>
  <c r="J78" s="1"/>
  <c r="F70"/>
  <c r="G70"/>
  <c r="H70"/>
  <c r="I70"/>
  <c r="K70"/>
  <c r="L70"/>
  <c r="M70"/>
  <c r="O70"/>
  <c r="F71"/>
  <c r="G71"/>
  <c r="H71"/>
  <c r="I71"/>
  <c r="K71"/>
  <c r="L71"/>
  <c r="M71"/>
  <c r="O71"/>
  <c r="G72"/>
  <c r="H72"/>
  <c r="I72"/>
  <c r="K72"/>
  <c r="L72"/>
  <c r="M72"/>
  <c r="O72"/>
  <c r="F73"/>
  <c r="G73"/>
  <c r="H73"/>
  <c r="I73"/>
  <c r="K73"/>
  <c r="L73"/>
  <c r="M73"/>
  <c r="O73"/>
  <c r="F74"/>
  <c r="G74"/>
  <c r="H74"/>
  <c r="I74"/>
  <c r="K74"/>
  <c r="L74"/>
  <c r="M74"/>
  <c r="O74"/>
  <c r="F75"/>
  <c r="G75"/>
  <c r="H75"/>
  <c r="I75"/>
  <c r="K75"/>
  <c r="L75"/>
  <c r="M75"/>
  <c r="O75"/>
  <c r="F76"/>
  <c r="G76"/>
  <c r="H76"/>
  <c r="I76"/>
  <c r="K76"/>
  <c r="L76"/>
  <c r="M76"/>
  <c r="O76"/>
  <c r="F77"/>
  <c r="G77"/>
  <c r="H77"/>
  <c r="I77"/>
  <c r="K77"/>
  <c r="L77"/>
  <c r="M77"/>
  <c r="O77"/>
  <c r="F64"/>
  <c r="G64"/>
  <c r="H64"/>
  <c r="I64"/>
  <c r="K64"/>
  <c r="L64"/>
  <c r="M64"/>
  <c r="O64"/>
  <c r="F65"/>
  <c r="G65"/>
  <c r="H65"/>
  <c r="I65"/>
  <c r="K65"/>
  <c r="L65"/>
  <c r="M65"/>
  <c r="O65"/>
  <c r="F66"/>
  <c r="G66"/>
  <c r="H66"/>
  <c r="I66"/>
  <c r="K66"/>
  <c r="L66"/>
  <c r="M66"/>
  <c r="O66"/>
  <c r="F67"/>
  <c r="G67"/>
  <c r="H67"/>
  <c r="I67"/>
  <c r="K67"/>
  <c r="L67"/>
  <c r="M67"/>
  <c r="O67"/>
  <c r="F68"/>
  <c r="G68"/>
  <c r="H68"/>
  <c r="I68"/>
  <c r="K68"/>
  <c r="L68"/>
  <c r="M68"/>
  <c r="O68"/>
  <c r="F58"/>
  <c r="G58"/>
  <c r="H58"/>
  <c r="I58"/>
  <c r="K58"/>
  <c r="L58"/>
  <c r="M58"/>
  <c r="O58"/>
  <c r="F59"/>
  <c r="G59"/>
  <c r="H59"/>
  <c r="I59"/>
  <c r="K59"/>
  <c r="L59"/>
  <c r="M59"/>
  <c r="O59"/>
  <c r="F61"/>
  <c r="G61"/>
  <c r="H61"/>
  <c r="I61"/>
  <c r="K61"/>
  <c r="L61"/>
  <c r="M61"/>
  <c r="O61"/>
  <c r="G62"/>
  <c r="H62"/>
  <c r="I62"/>
  <c r="K62"/>
  <c r="L62"/>
  <c r="M62"/>
  <c r="O62"/>
  <c r="I55"/>
  <c r="F17" i="116"/>
  <c r="F8"/>
  <c r="N179" i="97"/>
  <c r="N178"/>
  <c r="N176"/>
  <c r="N177"/>
  <c r="J205" i="98"/>
  <c r="O182" i="97"/>
  <c r="O181" s="1"/>
  <c r="N181" s="1"/>
  <c r="F181"/>
  <c r="N183"/>
  <c r="J183" s="1"/>
  <c r="H186" i="104" s="1"/>
  <c r="E183" i="97"/>
  <c r="G186" i="104" s="1"/>
  <c r="J195" i="98"/>
  <c r="O165" i="97"/>
  <c r="O166" i="120" s="1"/>
  <c r="G95" i="104"/>
  <c r="I95" s="1"/>
  <c r="H97"/>
  <c r="H96" s="1"/>
  <c r="N102" i="97"/>
  <c r="J102" s="1"/>
  <c r="J102" i="120" s="1"/>
  <c r="E102" i="97"/>
  <c r="G97" i="104" s="1"/>
  <c r="G96" s="1"/>
  <c r="O101" i="97"/>
  <c r="N101" s="1"/>
  <c r="N101" i="120" s="1"/>
  <c r="M101" i="97"/>
  <c r="M101" i="120" s="1"/>
  <c r="L101" i="97"/>
  <c r="L101" i="120" s="1"/>
  <c r="K101" i="97"/>
  <c r="K101" i="120" s="1"/>
  <c r="H101" i="97"/>
  <c r="H101" i="120" s="1"/>
  <c r="G101" i="97"/>
  <c r="G101" i="120" s="1"/>
  <c r="F101" i="97"/>
  <c r="E101" s="1"/>
  <c r="E101" i="120" s="1"/>
  <c r="J59" i="98"/>
  <c r="J58"/>
  <c r="J57" s="1"/>
  <c r="O99" i="97"/>
  <c r="O99" i="120" s="1"/>
  <c r="O88" i="97"/>
  <c r="H88"/>
  <c r="G88"/>
  <c r="J51" i="98"/>
  <c r="O87" i="97"/>
  <c r="O87" i="120" s="1"/>
  <c r="F87" i="97"/>
  <c r="F87" i="120" s="1"/>
  <c r="J50" i="98" l="1"/>
  <c r="N151" i="97"/>
  <c r="N150" s="1"/>
  <c r="G75" i="104"/>
  <c r="J106" i="98"/>
  <c r="N142" i="120"/>
  <c r="J142"/>
  <c r="F182"/>
  <c r="P142"/>
  <c r="N184"/>
  <c r="J184"/>
  <c r="N102"/>
  <c r="E184"/>
  <c r="F101"/>
  <c r="E102"/>
  <c r="O183"/>
  <c r="O182" s="1"/>
  <c r="N182" s="1"/>
  <c r="J182" s="1"/>
  <c r="H75" i="104"/>
  <c r="I75" s="1"/>
  <c r="O101" i="120"/>
  <c r="N81"/>
  <c r="F81"/>
  <c r="P81" i="97"/>
  <c r="P81" i="120" s="1"/>
  <c r="I186" i="104"/>
  <c r="P183" i="97"/>
  <c r="P184" i="120" s="1"/>
  <c r="I97" i="104"/>
  <c r="I96"/>
  <c r="P102" i="97"/>
  <c r="P102" i="120" s="1"/>
  <c r="J101" i="97"/>
  <c r="D28" i="108"/>
  <c r="D24"/>
  <c r="D23"/>
  <c r="D22"/>
  <c r="D21"/>
  <c r="F25" i="120"/>
  <c r="G25"/>
  <c r="H25"/>
  <c r="I25"/>
  <c r="K25"/>
  <c r="L25"/>
  <c r="M25"/>
  <c r="O25"/>
  <c r="F24"/>
  <c r="G24"/>
  <c r="H24"/>
  <c r="I24"/>
  <c r="J24"/>
  <c r="K24"/>
  <c r="L24"/>
  <c r="M24"/>
  <c r="O24"/>
  <c r="G23"/>
  <c r="H23"/>
  <c r="I23"/>
  <c r="K23"/>
  <c r="L23"/>
  <c r="M23"/>
  <c r="O23"/>
  <c r="F21"/>
  <c r="G21"/>
  <c r="H21"/>
  <c r="I21"/>
  <c r="L21"/>
  <c r="M21"/>
  <c r="O21"/>
  <c r="G15"/>
  <c r="H15"/>
  <c r="I15"/>
  <c r="K15"/>
  <c r="L15"/>
  <c r="M15"/>
  <c r="G16"/>
  <c r="H16"/>
  <c r="I16"/>
  <c r="K16"/>
  <c r="L16"/>
  <c r="M16"/>
  <c r="O16"/>
  <c r="G17"/>
  <c r="H17"/>
  <c r="I17"/>
  <c r="K17"/>
  <c r="L17"/>
  <c r="M17"/>
  <c r="O17"/>
  <c r="F18"/>
  <c r="G18"/>
  <c r="H18"/>
  <c r="I18"/>
  <c r="K18"/>
  <c r="L18"/>
  <c r="M18"/>
  <c r="O18"/>
  <c r="F19"/>
  <c r="G19"/>
  <c r="H19"/>
  <c r="I19"/>
  <c r="K19"/>
  <c r="L19"/>
  <c r="M19"/>
  <c r="O19"/>
  <c r="F20"/>
  <c r="G20"/>
  <c r="H20"/>
  <c r="I20"/>
  <c r="L20"/>
  <c r="M20"/>
  <c r="G14"/>
  <c r="H14"/>
  <c r="I14"/>
  <c r="K14"/>
  <c r="L14"/>
  <c r="M14"/>
  <c r="I12"/>
  <c r="N21" i="97"/>
  <c r="K21"/>
  <c r="K21" i="120" s="1"/>
  <c r="P101" i="97" l="1"/>
  <c r="P101" i="120" s="1"/>
  <c r="J101"/>
  <c r="G13"/>
  <c r="G12" s="1"/>
  <c r="L13"/>
  <c r="L12" s="1"/>
  <c r="H13"/>
  <c r="H12" s="1"/>
  <c r="M13"/>
  <c r="M12" s="1"/>
  <c r="I13" i="104"/>
  <c r="I14"/>
  <c r="I15"/>
  <c r="I16"/>
  <c r="I17"/>
  <c r="I18"/>
  <c r="I19"/>
  <c r="I20"/>
  <c r="N25" i="97"/>
  <c r="E25"/>
  <c r="E25" i="120" s="1"/>
  <c r="G12" i="104"/>
  <c r="F23" i="97"/>
  <c r="F23" i="120" s="1"/>
  <c r="F17" i="97"/>
  <c r="F17" i="120" s="1"/>
  <c r="H8" i="104"/>
  <c r="I8" s="1"/>
  <c r="J9" i="98"/>
  <c r="O15" i="97"/>
  <c r="O14" i="120"/>
  <c r="F14"/>
  <c r="F155" i="97"/>
  <c r="F156" i="120" s="1"/>
  <c r="J37" i="97"/>
  <c r="K33"/>
  <c r="N33"/>
  <c r="L33"/>
  <c r="K29"/>
  <c r="L29"/>
  <c r="H27" i="104"/>
  <c r="G27"/>
  <c r="J17" i="98"/>
  <c r="O29" i="97"/>
  <c r="H24" i="104"/>
  <c r="G24"/>
  <c r="F34" i="97"/>
  <c r="J28" i="98"/>
  <c r="O39" i="97"/>
  <c r="O35"/>
  <c r="J26" i="98"/>
  <c r="O34" i="97"/>
  <c r="J22" i="98"/>
  <c r="O31" i="97"/>
  <c r="F36"/>
  <c r="F31"/>
  <c r="F32"/>
  <c r="F30"/>
  <c r="J7" i="98" l="1"/>
  <c r="J25" i="97"/>
  <c r="J25" i="120" s="1"/>
  <c r="N25"/>
  <c r="J15" i="98"/>
  <c r="I7" i="104"/>
  <c r="P25" i="97" l="1"/>
  <c r="P25" i="120" s="1"/>
  <c r="I29"/>
  <c r="K29"/>
  <c r="L29"/>
  <c r="M29"/>
  <c r="I30"/>
  <c r="K30"/>
  <c r="L30"/>
  <c r="M30"/>
  <c r="O30"/>
  <c r="I31"/>
  <c r="K31"/>
  <c r="L31"/>
  <c r="M31"/>
  <c r="O31"/>
  <c r="F32"/>
  <c r="H32"/>
  <c r="I32"/>
  <c r="K32"/>
  <c r="L32"/>
  <c r="M32"/>
  <c r="O32"/>
  <c r="I33"/>
  <c r="K33"/>
  <c r="L33"/>
  <c r="M33"/>
  <c r="O33"/>
  <c r="F34"/>
  <c r="H34"/>
  <c r="I34"/>
  <c r="K34"/>
  <c r="L34"/>
  <c r="M34"/>
  <c r="O34"/>
  <c r="I35"/>
  <c r="O35"/>
  <c r="F36"/>
  <c r="H36"/>
  <c r="I36"/>
  <c r="K36"/>
  <c r="L36"/>
  <c r="M36"/>
  <c r="O36"/>
  <c r="G37"/>
  <c r="H37"/>
  <c r="I37"/>
  <c r="J37"/>
  <c r="K37"/>
  <c r="L37"/>
  <c r="M37"/>
  <c r="N37"/>
  <c r="O37"/>
  <c r="F38"/>
  <c r="G38"/>
  <c r="H38"/>
  <c r="I38"/>
  <c r="K38"/>
  <c r="L38"/>
  <c r="M38"/>
  <c r="O38"/>
  <c r="F39"/>
  <c r="G39"/>
  <c r="H39"/>
  <c r="I39"/>
  <c r="K39"/>
  <c r="L39"/>
  <c r="M39"/>
  <c r="H28"/>
  <c r="I28"/>
  <c r="K28"/>
  <c r="L28"/>
  <c r="M28"/>
  <c r="G36" i="97"/>
  <c r="G36" i="120" s="1"/>
  <c r="G34" i="97"/>
  <c r="G34" i="120" s="1"/>
  <c r="F33" i="97"/>
  <c r="G33"/>
  <c r="G32"/>
  <c r="G32" i="120" s="1"/>
  <c r="G31" i="97"/>
  <c r="G31" i="120" s="1"/>
  <c r="G30" i="97"/>
  <c r="G30" i="120" s="1"/>
  <c r="G29" i="97"/>
  <c r="G29" i="120" s="1"/>
  <c r="G28" i="97"/>
  <c r="G28" i="120" s="1"/>
  <c r="H118"/>
  <c r="I118"/>
  <c r="K118"/>
  <c r="L118"/>
  <c r="M118"/>
  <c r="F120"/>
  <c r="G120"/>
  <c r="H120"/>
  <c r="I120"/>
  <c r="K120"/>
  <c r="L120"/>
  <c r="M120"/>
  <c r="O120"/>
  <c r="G121"/>
  <c r="H121"/>
  <c r="I121"/>
  <c r="K121"/>
  <c r="L121"/>
  <c r="M121"/>
  <c r="F122"/>
  <c r="G122"/>
  <c r="H122"/>
  <c r="I122"/>
  <c r="K122"/>
  <c r="L122"/>
  <c r="M122"/>
  <c r="N122"/>
  <c r="O122"/>
  <c r="I123"/>
  <c r="L123"/>
  <c r="M123"/>
  <c r="G124"/>
  <c r="H124"/>
  <c r="I124"/>
  <c r="K124"/>
  <c r="L124"/>
  <c r="M124"/>
  <c r="O124"/>
  <c r="G125"/>
  <c r="H125"/>
  <c r="I125"/>
  <c r="K125"/>
  <c r="L125"/>
  <c r="M125"/>
  <c r="O125"/>
  <c r="I126"/>
  <c r="F127"/>
  <c r="G127"/>
  <c r="H127"/>
  <c r="I127"/>
  <c r="K127"/>
  <c r="L127"/>
  <c r="M127"/>
  <c r="O127"/>
  <c r="G129"/>
  <c r="H129"/>
  <c r="I129"/>
  <c r="K129"/>
  <c r="L129"/>
  <c r="M129"/>
  <c r="G130"/>
  <c r="H130"/>
  <c r="I130"/>
  <c r="K130"/>
  <c r="L130"/>
  <c r="M130"/>
  <c r="O130"/>
  <c r="F132"/>
  <c r="G132"/>
  <c r="H132"/>
  <c r="I132"/>
  <c r="K132"/>
  <c r="L132"/>
  <c r="M132"/>
  <c r="O132"/>
  <c r="F133"/>
  <c r="G133"/>
  <c r="H133"/>
  <c r="I133"/>
  <c r="L133"/>
  <c r="M133"/>
  <c r="G134"/>
  <c r="H134"/>
  <c r="I134"/>
  <c r="K134"/>
  <c r="L134"/>
  <c r="M134"/>
  <c r="O134"/>
  <c r="F135"/>
  <c r="G135"/>
  <c r="H135"/>
  <c r="I135"/>
  <c r="K135"/>
  <c r="L135"/>
  <c r="M135"/>
  <c r="O135"/>
  <c r="F136"/>
  <c r="G136"/>
  <c r="H136"/>
  <c r="I136"/>
  <c r="K136"/>
  <c r="L136"/>
  <c r="M136"/>
  <c r="O136"/>
  <c r="G136" i="104"/>
  <c r="H136"/>
  <c r="H135" s="1"/>
  <c r="J85" i="98"/>
  <c r="J84" s="1"/>
  <c r="O133" i="97"/>
  <c r="O133" i="120" s="1"/>
  <c r="F125"/>
  <c r="F124"/>
  <c r="F130" i="97"/>
  <c r="F130" i="120" s="1"/>
  <c r="J75" i="98"/>
  <c r="O118" i="97"/>
  <c r="O118" i="120" s="1"/>
  <c r="F118" i="97"/>
  <c r="F118" i="120" s="1"/>
  <c r="G118" i="97"/>
  <c r="G118" i="120" s="1"/>
  <c r="J77" i="98"/>
  <c r="O121" i="97"/>
  <c r="O121" i="120" s="1"/>
  <c r="F121" i="97"/>
  <c r="F121" i="120" s="1"/>
  <c r="J79" i="98"/>
  <c r="H82"/>
  <c r="I83"/>
  <c r="H83" s="1"/>
  <c r="F129" i="97"/>
  <c r="F129" i="120" s="1"/>
  <c r="F191"/>
  <c r="G191"/>
  <c r="H191"/>
  <c r="I191"/>
  <c r="K191"/>
  <c r="L191"/>
  <c r="M191"/>
  <c r="N191"/>
  <c r="O191"/>
  <c r="G189"/>
  <c r="H189"/>
  <c r="I189"/>
  <c r="K189"/>
  <c r="L189"/>
  <c r="M189"/>
  <c r="N189"/>
  <c r="O189"/>
  <c r="F190"/>
  <c r="G190"/>
  <c r="H190"/>
  <c r="I190"/>
  <c r="K190"/>
  <c r="L190"/>
  <c r="M190"/>
  <c r="N190"/>
  <c r="O190"/>
  <c r="F188"/>
  <c r="G188"/>
  <c r="H188"/>
  <c r="I188"/>
  <c r="K188"/>
  <c r="L188"/>
  <c r="M188"/>
  <c r="N188"/>
  <c r="O188"/>
  <c r="G187"/>
  <c r="H187"/>
  <c r="I187"/>
  <c r="K187"/>
  <c r="L187"/>
  <c r="M187"/>
  <c r="N187"/>
  <c r="O187"/>
  <c r="F186" i="97"/>
  <c r="I110" i="104"/>
  <c r="F114" i="120"/>
  <c r="G114"/>
  <c r="H114"/>
  <c r="I114"/>
  <c r="K114"/>
  <c r="L114"/>
  <c r="M114"/>
  <c r="O114"/>
  <c r="I111"/>
  <c r="H112"/>
  <c r="I112"/>
  <c r="K112"/>
  <c r="L112"/>
  <c r="M112"/>
  <c r="G113"/>
  <c r="H113"/>
  <c r="I113"/>
  <c r="K113"/>
  <c r="L113"/>
  <c r="M113"/>
  <c r="O113"/>
  <c r="F110"/>
  <c r="G110"/>
  <c r="H110"/>
  <c r="I110"/>
  <c r="K110"/>
  <c r="L110"/>
  <c r="M110"/>
  <c r="O110"/>
  <c r="G105"/>
  <c r="H105"/>
  <c r="I105"/>
  <c r="K105"/>
  <c r="L105"/>
  <c r="M105"/>
  <c r="O105"/>
  <c r="F106"/>
  <c r="G106"/>
  <c r="H106"/>
  <c r="I106"/>
  <c r="K106"/>
  <c r="L106"/>
  <c r="M106"/>
  <c r="O106"/>
  <c r="F107"/>
  <c r="G107"/>
  <c r="H107"/>
  <c r="I107"/>
  <c r="K107"/>
  <c r="L107"/>
  <c r="M107"/>
  <c r="F108"/>
  <c r="G108"/>
  <c r="H108"/>
  <c r="I108"/>
  <c r="K108"/>
  <c r="L108"/>
  <c r="M108"/>
  <c r="F109"/>
  <c r="G109"/>
  <c r="H109"/>
  <c r="I109"/>
  <c r="K109"/>
  <c r="L109"/>
  <c r="M109"/>
  <c r="I103"/>
  <c r="N114" i="97"/>
  <c r="J114" s="1"/>
  <c r="J114" i="120" s="1"/>
  <c r="N110" i="97"/>
  <c r="N110" i="120" s="1"/>
  <c r="E114" i="97"/>
  <c r="E114" i="120" s="1"/>
  <c r="E110" i="97"/>
  <c r="G105" i="104" s="1"/>
  <c r="F113" i="97"/>
  <c r="F113" i="120" s="1"/>
  <c r="J70" i="98"/>
  <c r="J62" s="1"/>
  <c r="O112" i="97"/>
  <c r="O112" i="120" s="1"/>
  <c r="F112" i="97"/>
  <c r="F112" i="120" s="1"/>
  <c r="G112" i="97"/>
  <c r="G112" i="120" s="1"/>
  <c r="F105" i="97"/>
  <c r="F105" i="120" s="1"/>
  <c r="O109" i="97"/>
  <c r="O109" i="120" s="1"/>
  <c r="O108" i="97"/>
  <c r="O108" i="120" s="1"/>
  <c r="H192" i="98"/>
  <c r="H190"/>
  <c r="H173"/>
  <c r="H172"/>
  <c r="H69"/>
  <c r="H56"/>
  <c r="H55"/>
  <c r="H54"/>
  <c r="H39"/>
  <c r="H37"/>
  <c r="H32"/>
  <c r="H21"/>
  <c r="H20"/>
  <c r="H11"/>
  <c r="O107" i="97"/>
  <c r="O107" i="120" s="1"/>
  <c r="F169"/>
  <c r="G169"/>
  <c r="H169"/>
  <c r="I169"/>
  <c r="K169"/>
  <c r="L169"/>
  <c r="M169"/>
  <c r="G170"/>
  <c r="H170"/>
  <c r="I170"/>
  <c r="K170"/>
  <c r="L170"/>
  <c r="M170"/>
  <c r="O170"/>
  <c r="F171"/>
  <c r="G171"/>
  <c r="H171"/>
  <c r="I171"/>
  <c r="K171"/>
  <c r="L171"/>
  <c r="M171"/>
  <c r="O171"/>
  <c r="G172"/>
  <c r="H172"/>
  <c r="I172"/>
  <c r="L172"/>
  <c r="M172"/>
  <c r="G173"/>
  <c r="H173"/>
  <c r="I173"/>
  <c r="K173"/>
  <c r="L173"/>
  <c r="M173"/>
  <c r="H175" i="104"/>
  <c r="J203" i="98"/>
  <c r="J202" s="1"/>
  <c r="J200" s="1"/>
  <c r="O172" i="97"/>
  <c r="O173" i="120" s="1"/>
  <c r="F172" i="97"/>
  <c r="H169" i="104"/>
  <c r="G169"/>
  <c r="J110" i="97" l="1"/>
  <c r="H105" i="104" s="1"/>
  <c r="G112"/>
  <c r="E110" i="120"/>
  <c r="J74" i="98"/>
  <c r="H112" i="104"/>
  <c r="N114" i="120"/>
  <c r="N186"/>
  <c r="O186"/>
  <c r="K186"/>
  <c r="G186"/>
  <c r="J110"/>
  <c r="M186"/>
  <c r="I186"/>
  <c r="L186"/>
  <c r="H186"/>
  <c r="P114" i="97"/>
  <c r="P114" i="120" s="1"/>
  <c r="I105" i="104"/>
  <c r="O168" i="97"/>
  <c r="G170" i="104"/>
  <c r="I171"/>
  <c r="F169" i="97"/>
  <c r="F170" i="120" s="1"/>
  <c r="J44" i="98"/>
  <c r="F52" i="97"/>
  <c r="O52"/>
  <c r="I189" i="98"/>
  <c r="G189"/>
  <c r="J189"/>
  <c r="I188"/>
  <c r="H188" s="1"/>
  <c r="J188"/>
  <c r="J186"/>
  <c r="I179"/>
  <c r="G179"/>
  <c r="J179"/>
  <c r="I112" i="104" l="1"/>
  <c r="P110" i="97"/>
  <c r="P110" i="120" s="1"/>
  <c r="H189" i="98"/>
  <c r="H179"/>
  <c r="J175"/>
  <c r="I171"/>
  <c r="H171" s="1"/>
  <c r="I170"/>
  <c r="G170"/>
  <c r="J170"/>
  <c r="I169"/>
  <c r="G169"/>
  <c r="J169"/>
  <c r="I168"/>
  <c r="G168"/>
  <c r="J168"/>
  <c r="G167"/>
  <c r="H167" s="1"/>
  <c r="J167"/>
  <c r="H170" l="1"/>
  <c r="H168"/>
  <c r="H169"/>
  <c r="I166"/>
  <c r="G166"/>
  <c r="G165"/>
  <c r="I165"/>
  <c r="J165"/>
  <c r="J164" s="1"/>
  <c r="J163" s="1"/>
  <c r="F160" i="120"/>
  <c r="G160"/>
  <c r="H160"/>
  <c r="I160"/>
  <c r="K160"/>
  <c r="L160"/>
  <c r="M160"/>
  <c r="F161"/>
  <c r="G161"/>
  <c r="H161"/>
  <c r="I161"/>
  <c r="K161"/>
  <c r="L161"/>
  <c r="M161"/>
  <c r="F162"/>
  <c r="G162"/>
  <c r="H162"/>
  <c r="I162"/>
  <c r="K162"/>
  <c r="L162"/>
  <c r="M162"/>
  <c r="F163"/>
  <c r="G163"/>
  <c r="H163"/>
  <c r="I163"/>
  <c r="K163"/>
  <c r="L163"/>
  <c r="M163"/>
  <c r="O163"/>
  <c r="O159" i="97"/>
  <c r="O160" i="120" s="1"/>
  <c r="H166" i="98" l="1"/>
  <c r="H165"/>
  <c r="H43" i="104"/>
  <c r="J31" i="98"/>
  <c r="O42" i="97"/>
  <c r="J43" i="98"/>
  <c r="J42"/>
  <c r="J41" s="1"/>
  <c r="F47" i="97"/>
  <c r="J30" i="98" l="1"/>
  <c r="F54" i="120"/>
  <c r="G54"/>
  <c r="H54"/>
  <c r="I54"/>
  <c r="K54"/>
  <c r="L54"/>
  <c r="M54"/>
  <c r="O54"/>
  <c r="I51"/>
  <c r="G52"/>
  <c r="H52"/>
  <c r="I52"/>
  <c r="K52"/>
  <c r="L52"/>
  <c r="M52"/>
  <c r="O52"/>
  <c r="F53"/>
  <c r="G53"/>
  <c r="H53"/>
  <c r="I53"/>
  <c r="K53"/>
  <c r="L53"/>
  <c r="M53"/>
  <c r="O53"/>
  <c r="I48"/>
  <c r="O48"/>
  <c r="F49"/>
  <c r="G49"/>
  <c r="H49"/>
  <c r="I49"/>
  <c r="K49"/>
  <c r="L49"/>
  <c r="M49"/>
  <c r="O49"/>
  <c r="F50"/>
  <c r="G50"/>
  <c r="H50"/>
  <c r="I50"/>
  <c r="K50"/>
  <c r="L50"/>
  <c r="M50"/>
  <c r="O50"/>
  <c r="G42"/>
  <c r="H42"/>
  <c r="I42"/>
  <c r="K42"/>
  <c r="L42"/>
  <c r="M42"/>
  <c r="G43"/>
  <c r="H43"/>
  <c r="I43"/>
  <c r="K43"/>
  <c r="L43"/>
  <c r="M43"/>
  <c r="O43"/>
  <c r="G44"/>
  <c r="H44"/>
  <c r="I44"/>
  <c r="K44"/>
  <c r="L44"/>
  <c r="M44"/>
  <c r="O44"/>
  <c r="G45"/>
  <c r="H45"/>
  <c r="I45"/>
  <c r="L45"/>
  <c r="M45"/>
  <c r="O45"/>
  <c r="G46"/>
  <c r="H46"/>
  <c r="I46"/>
  <c r="L46"/>
  <c r="M46"/>
  <c r="G47"/>
  <c r="H47"/>
  <c r="I47"/>
  <c r="K47"/>
  <c r="L47"/>
  <c r="M47"/>
  <c r="O185"/>
  <c r="N185"/>
  <c r="M185"/>
  <c r="L185"/>
  <c r="K185"/>
  <c r="G185"/>
  <c r="I185"/>
  <c r="H185"/>
  <c r="O181"/>
  <c r="M181"/>
  <c r="L181"/>
  <c r="K181"/>
  <c r="I181"/>
  <c r="H181"/>
  <c r="G181"/>
  <c r="I174"/>
  <c r="E174"/>
  <c r="M168"/>
  <c r="M167" s="1"/>
  <c r="L168"/>
  <c r="L167" s="1"/>
  <c r="I168"/>
  <c r="I167" s="1"/>
  <c r="H168"/>
  <c r="H167" s="1"/>
  <c r="G168"/>
  <c r="G167" s="1"/>
  <c r="O165"/>
  <c r="O164" s="1"/>
  <c r="M165"/>
  <c r="M164" s="1"/>
  <c r="L165"/>
  <c r="L164" s="1"/>
  <c r="K165"/>
  <c r="K164" s="1"/>
  <c r="I165"/>
  <c r="I164" s="1"/>
  <c r="H165"/>
  <c r="H164" s="1"/>
  <c r="G165"/>
  <c r="G164" s="1"/>
  <c r="M138"/>
  <c r="M137" s="1"/>
  <c r="L138"/>
  <c r="L137" s="1"/>
  <c r="I138"/>
  <c r="I137" s="1"/>
  <c r="H138"/>
  <c r="H137" s="1"/>
  <c r="G138"/>
  <c r="G137" s="1"/>
  <c r="I40"/>
  <c r="I27"/>
  <c r="N45" i="97"/>
  <c r="K45"/>
  <c r="K45" i="120" s="1"/>
  <c r="O51" i="97"/>
  <c r="N54"/>
  <c r="J54" s="1"/>
  <c r="J54" i="120" s="1"/>
  <c r="E54" i="97"/>
  <c r="E54" i="120" s="1"/>
  <c r="O47" i="97"/>
  <c r="F45" i="120"/>
  <c r="F43" i="97"/>
  <c r="O51" i="120" l="1"/>
  <c r="N54"/>
  <c r="I26"/>
  <c r="P54" i="97"/>
  <c r="P54" i="120" s="1"/>
  <c r="N181" l="1"/>
  <c r="J181"/>
  <c r="F181"/>
  <c r="F48" i="97" l="1"/>
  <c r="F48" i="120" s="1"/>
  <c r="G48" i="97"/>
  <c r="G48" i="120" s="1"/>
  <c r="H48" i="97"/>
  <c r="H48" i="120" s="1"/>
  <c r="K48" i="97"/>
  <c r="L48"/>
  <c r="L48" i="120" s="1"/>
  <c r="M48" i="97"/>
  <c r="M48" i="120" s="1"/>
  <c r="N50" i="97"/>
  <c r="N50" i="120" s="1"/>
  <c r="E50" i="97"/>
  <c r="E50" i="120" s="1"/>
  <c r="N49" i="97"/>
  <c r="N49" i="120" s="1"/>
  <c r="E49" i="97"/>
  <c r="J178" i="119"/>
  <c r="E178"/>
  <c r="J177"/>
  <c r="J190" i="120" s="1"/>
  <c r="E177" i="119"/>
  <c r="E190" i="120" s="1"/>
  <c r="J176" i="119"/>
  <c r="J189" i="120" s="1"/>
  <c r="F176" i="119"/>
  <c r="J175"/>
  <c r="F175"/>
  <c r="F187" i="120" s="1"/>
  <c r="O174" i="119"/>
  <c r="O173" s="1"/>
  <c r="N174"/>
  <c r="N173" s="1"/>
  <c r="M174"/>
  <c r="M173" s="1"/>
  <c r="L174"/>
  <c r="L173" s="1"/>
  <c r="K174"/>
  <c r="H174"/>
  <c r="H173" s="1"/>
  <c r="G174"/>
  <c r="G173" s="1"/>
  <c r="I173"/>
  <c r="N172"/>
  <c r="J172" s="1"/>
  <c r="E172"/>
  <c r="O171"/>
  <c r="N171" s="1"/>
  <c r="N170" s="1"/>
  <c r="M170"/>
  <c r="L170"/>
  <c r="K170"/>
  <c r="I170"/>
  <c r="H170"/>
  <c r="G170"/>
  <c r="N169"/>
  <c r="N180" i="120" s="1"/>
  <c r="N168" i="119"/>
  <c r="N179" i="120" s="1"/>
  <c r="N167" i="119"/>
  <c r="E167"/>
  <c r="N166"/>
  <c r="E166"/>
  <c r="O165"/>
  <c r="M165"/>
  <c r="L165"/>
  <c r="K165"/>
  <c r="I165"/>
  <c r="H165"/>
  <c r="G165"/>
  <c r="F165"/>
  <c r="E165" s="1"/>
  <c r="O163"/>
  <c r="M163"/>
  <c r="L163"/>
  <c r="K163"/>
  <c r="I163"/>
  <c r="H163"/>
  <c r="G163"/>
  <c r="F163"/>
  <c r="E163"/>
  <c r="N162"/>
  <c r="J162" s="1"/>
  <c r="F162"/>
  <c r="O161"/>
  <c r="N161" s="1"/>
  <c r="K161"/>
  <c r="N160"/>
  <c r="J160" s="1"/>
  <c r="E160"/>
  <c r="N159"/>
  <c r="J159" s="1"/>
  <c r="E159"/>
  <c r="O158"/>
  <c r="E158"/>
  <c r="M157"/>
  <c r="M156" s="1"/>
  <c r="L157"/>
  <c r="L156" s="1"/>
  <c r="I157"/>
  <c r="I156" s="1"/>
  <c r="H157"/>
  <c r="H156" s="1"/>
  <c r="G157"/>
  <c r="G156" s="1"/>
  <c r="N155"/>
  <c r="J155" s="1"/>
  <c r="E155"/>
  <c r="O154"/>
  <c r="M154"/>
  <c r="L154"/>
  <c r="K154"/>
  <c r="I154"/>
  <c r="H154"/>
  <c r="G154"/>
  <c r="E154"/>
  <c r="F154" s="1"/>
  <c r="F153" s="1"/>
  <c r="O153"/>
  <c r="M153"/>
  <c r="L153"/>
  <c r="K153"/>
  <c r="I153"/>
  <c r="H153"/>
  <c r="G153"/>
  <c r="E153"/>
  <c r="N152"/>
  <c r="J152" s="1"/>
  <c r="E152"/>
  <c r="O151"/>
  <c r="E151"/>
  <c r="O150"/>
  <c r="E150"/>
  <c r="N149"/>
  <c r="E149"/>
  <c r="M148"/>
  <c r="M147" s="1"/>
  <c r="M146" s="1"/>
  <c r="L148"/>
  <c r="L147" s="1"/>
  <c r="L146" s="1"/>
  <c r="K148"/>
  <c r="I148"/>
  <c r="I147" s="1"/>
  <c r="I146" s="1"/>
  <c r="H148"/>
  <c r="H147" s="1"/>
  <c r="H146" s="1"/>
  <c r="G148"/>
  <c r="G147" s="1"/>
  <c r="G146" s="1"/>
  <c r="F148"/>
  <c r="E148" s="1"/>
  <c r="N145"/>
  <c r="J145" s="1"/>
  <c r="E145"/>
  <c r="N144"/>
  <c r="J144" s="1"/>
  <c r="E144"/>
  <c r="N143"/>
  <c r="J143" s="1"/>
  <c r="E143"/>
  <c r="N142"/>
  <c r="J142" s="1"/>
  <c r="E142"/>
  <c r="N141"/>
  <c r="E141"/>
  <c r="O140"/>
  <c r="N140" s="1"/>
  <c r="K140"/>
  <c r="F140"/>
  <c r="N139"/>
  <c r="J139" s="1"/>
  <c r="E139"/>
  <c r="O138"/>
  <c r="N138" s="1"/>
  <c r="K138"/>
  <c r="F138"/>
  <c r="E138" s="1"/>
  <c r="N137"/>
  <c r="J137" s="1"/>
  <c r="P137" s="1"/>
  <c r="N136"/>
  <c r="J136" s="1"/>
  <c r="E136"/>
  <c r="N135"/>
  <c r="J135" s="1"/>
  <c r="E135"/>
  <c r="N134"/>
  <c r="J134" s="1"/>
  <c r="F134"/>
  <c r="N133"/>
  <c r="J133" s="1"/>
  <c r="E133"/>
  <c r="N132"/>
  <c r="J132" s="1"/>
  <c r="E132"/>
  <c r="N131"/>
  <c r="J131" s="1"/>
  <c r="E131"/>
  <c r="N130"/>
  <c r="J130" s="1"/>
  <c r="E130"/>
  <c r="O129"/>
  <c r="K129"/>
  <c r="F129"/>
  <c r="E129" s="1"/>
  <c r="M128"/>
  <c r="M127" s="1"/>
  <c r="L128"/>
  <c r="L127" s="1"/>
  <c r="I128"/>
  <c r="I127" s="1"/>
  <c r="H128"/>
  <c r="H127" s="1"/>
  <c r="G128"/>
  <c r="G127" s="1"/>
  <c r="N126"/>
  <c r="J126" s="1"/>
  <c r="E126"/>
  <c r="N125"/>
  <c r="J125" s="1"/>
  <c r="E125"/>
  <c r="N124"/>
  <c r="J124" s="1"/>
  <c r="F124"/>
  <c r="E124" s="1"/>
  <c r="N123"/>
  <c r="K123"/>
  <c r="K121" s="1"/>
  <c r="E123"/>
  <c r="N122"/>
  <c r="J122" s="1"/>
  <c r="E122"/>
  <c r="O121"/>
  <c r="M121"/>
  <c r="L121"/>
  <c r="I121"/>
  <c r="H121"/>
  <c r="G121"/>
  <c r="F121"/>
  <c r="E121" s="1"/>
  <c r="N120"/>
  <c r="N117" s="1"/>
  <c r="N116" s="1"/>
  <c r="E120"/>
  <c r="P120" s="1"/>
  <c r="O119"/>
  <c r="E119"/>
  <c r="M118"/>
  <c r="L118"/>
  <c r="K118"/>
  <c r="I118"/>
  <c r="H118"/>
  <c r="G118"/>
  <c r="F118"/>
  <c r="E118" s="1"/>
  <c r="E117"/>
  <c r="O116"/>
  <c r="M116"/>
  <c r="L116"/>
  <c r="K116"/>
  <c r="H116"/>
  <c r="G116"/>
  <c r="F116"/>
  <c r="E116" s="1"/>
  <c r="N115"/>
  <c r="J115" s="1"/>
  <c r="E115"/>
  <c r="N114"/>
  <c r="J114" s="1"/>
  <c r="E114"/>
  <c r="O113"/>
  <c r="N113" s="1"/>
  <c r="K113"/>
  <c r="H113"/>
  <c r="G113"/>
  <c r="F113"/>
  <c r="J112"/>
  <c r="E112"/>
  <c r="N111"/>
  <c r="J111" s="1"/>
  <c r="E111"/>
  <c r="N110"/>
  <c r="J110" s="1"/>
  <c r="E110"/>
  <c r="O109"/>
  <c r="N109" s="1"/>
  <c r="M109"/>
  <c r="L109"/>
  <c r="K109"/>
  <c r="I109"/>
  <c r="H109"/>
  <c r="G109"/>
  <c r="F109"/>
  <c r="E109" s="1"/>
  <c r="N108"/>
  <c r="J108" s="1"/>
  <c r="E108"/>
  <c r="O107"/>
  <c r="N107" s="1"/>
  <c r="M107"/>
  <c r="L107"/>
  <c r="K107"/>
  <c r="I107"/>
  <c r="H107"/>
  <c r="G107"/>
  <c r="F107"/>
  <c r="E107" s="1"/>
  <c r="N104"/>
  <c r="J104" s="1"/>
  <c r="E104"/>
  <c r="N103"/>
  <c r="J103" s="1"/>
  <c r="E103"/>
  <c r="O102"/>
  <c r="O96" s="1"/>
  <c r="O95" s="1"/>
  <c r="M102"/>
  <c r="M96" s="1"/>
  <c r="M95" s="1"/>
  <c r="L102"/>
  <c r="L96" s="1"/>
  <c r="L95" s="1"/>
  <c r="K102"/>
  <c r="K96" s="1"/>
  <c r="K95" s="1"/>
  <c r="H102"/>
  <c r="H96" s="1"/>
  <c r="H95" s="1"/>
  <c r="G102"/>
  <c r="G96" s="1"/>
  <c r="G95" s="1"/>
  <c r="F102"/>
  <c r="E102" s="1"/>
  <c r="N101"/>
  <c r="J101" s="1"/>
  <c r="E101"/>
  <c r="N100"/>
  <c r="J100" s="1"/>
  <c r="E100"/>
  <c r="N99"/>
  <c r="J99" s="1"/>
  <c r="E99"/>
  <c r="N98"/>
  <c r="J98" s="1"/>
  <c r="E98"/>
  <c r="N97"/>
  <c r="J97" s="1"/>
  <c r="E97"/>
  <c r="I95"/>
  <c r="N94"/>
  <c r="F94"/>
  <c r="N93"/>
  <c r="J93" s="1"/>
  <c r="H93"/>
  <c r="H92" s="1"/>
  <c r="G93"/>
  <c r="G92" s="1"/>
  <c r="F93"/>
  <c r="O92"/>
  <c r="M92"/>
  <c r="L92"/>
  <c r="K92"/>
  <c r="N90"/>
  <c r="J90" s="1"/>
  <c r="E90"/>
  <c r="N89"/>
  <c r="J89" s="1"/>
  <c r="E89"/>
  <c r="O88"/>
  <c r="M88"/>
  <c r="L88"/>
  <c r="L87" s="1"/>
  <c r="K88"/>
  <c r="K87" s="1"/>
  <c r="I88"/>
  <c r="I94" i="120" s="1"/>
  <c r="H88" i="119"/>
  <c r="G88"/>
  <c r="G87" s="1"/>
  <c r="F88"/>
  <c r="E88" s="1"/>
  <c r="O87"/>
  <c r="N87" s="1"/>
  <c r="E87"/>
  <c r="N86"/>
  <c r="J86" s="1"/>
  <c r="E86"/>
  <c r="N85"/>
  <c r="J85" s="1"/>
  <c r="E85"/>
  <c r="N84"/>
  <c r="J84" s="1"/>
  <c r="F84"/>
  <c r="E84" s="1"/>
  <c r="N83"/>
  <c r="J83" s="1"/>
  <c r="F83"/>
  <c r="E83" s="1"/>
  <c r="O82"/>
  <c r="O88" i="120" s="1"/>
  <c r="H82" i="119"/>
  <c r="G82"/>
  <c r="F82"/>
  <c r="F80" s="1"/>
  <c r="E80" s="1"/>
  <c r="N81"/>
  <c r="J81" s="1"/>
  <c r="E81"/>
  <c r="M80"/>
  <c r="L80"/>
  <c r="K80"/>
  <c r="I80"/>
  <c r="N79"/>
  <c r="J79" s="1"/>
  <c r="E79"/>
  <c r="J78"/>
  <c r="E78"/>
  <c r="J77"/>
  <c r="E77"/>
  <c r="J76"/>
  <c r="F76"/>
  <c r="N75"/>
  <c r="J75" s="1"/>
  <c r="E75"/>
  <c r="N73"/>
  <c r="J73" s="1"/>
  <c r="N72"/>
  <c r="J72" s="1"/>
  <c r="E72"/>
  <c r="N71"/>
  <c r="J71" s="1"/>
  <c r="E71"/>
  <c r="N70"/>
  <c r="J70" s="1"/>
  <c r="E70"/>
  <c r="N69"/>
  <c r="J69" s="1"/>
  <c r="E69"/>
  <c r="N68"/>
  <c r="J68" s="1"/>
  <c r="E68"/>
  <c r="N67"/>
  <c r="J67" s="1"/>
  <c r="F67"/>
  <c r="E67" s="1"/>
  <c r="N66"/>
  <c r="J66" s="1"/>
  <c r="E66"/>
  <c r="N65"/>
  <c r="J65" s="1"/>
  <c r="E65"/>
  <c r="O64"/>
  <c r="M64"/>
  <c r="L64"/>
  <c r="K64"/>
  <c r="I64"/>
  <c r="H64"/>
  <c r="G64"/>
  <c r="N63"/>
  <c r="J63" s="1"/>
  <c r="E63"/>
  <c r="N62"/>
  <c r="J62" s="1"/>
  <c r="E62"/>
  <c r="N61"/>
  <c r="J61" s="1"/>
  <c r="E61"/>
  <c r="N60"/>
  <c r="J60" s="1"/>
  <c r="E60"/>
  <c r="N59"/>
  <c r="J59" s="1"/>
  <c r="E59"/>
  <c r="O58"/>
  <c r="M58"/>
  <c r="L58"/>
  <c r="K58"/>
  <c r="I58"/>
  <c r="H58"/>
  <c r="G58"/>
  <c r="F58"/>
  <c r="E58" s="1"/>
  <c r="N57"/>
  <c r="J57" s="1"/>
  <c r="F57"/>
  <c r="N56"/>
  <c r="E56"/>
  <c r="O55"/>
  <c r="M55"/>
  <c r="L55"/>
  <c r="K55"/>
  <c r="I55"/>
  <c r="H55"/>
  <c r="G55"/>
  <c r="N54"/>
  <c r="J54" s="1"/>
  <c r="E54"/>
  <c r="N53"/>
  <c r="E53"/>
  <c r="O52"/>
  <c r="M52"/>
  <c r="L52"/>
  <c r="K52"/>
  <c r="I52"/>
  <c r="H52"/>
  <c r="G52"/>
  <c r="F52"/>
  <c r="E52" s="1"/>
  <c r="I50"/>
  <c r="N49"/>
  <c r="J49" s="1"/>
  <c r="E49"/>
  <c r="N48"/>
  <c r="J48" s="1"/>
  <c r="F48"/>
  <c r="F52" i="120" s="1"/>
  <c r="M47" i="119"/>
  <c r="L47"/>
  <c r="L40" s="1"/>
  <c r="L39" s="1"/>
  <c r="K47"/>
  <c r="H47"/>
  <c r="H40" s="1"/>
  <c r="H39" s="1"/>
  <c r="G47"/>
  <c r="G40" s="1"/>
  <c r="G39" s="1"/>
  <c r="O46"/>
  <c r="O47" i="120" s="1"/>
  <c r="F46" i="119"/>
  <c r="K45"/>
  <c r="N44"/>
  <c r="N45" i="120" s="1"/>
  <c r="E44" i="119"/>
  <c r="N43"/>
  <c r="J43" s="1"/>
  <c r="F43"/>
  <c r="F44" i="120" s="1"/>
  <c r="N42" i="119"/>
  <c r="J42" s="1"/>
  <c r="F42"/>
  <c r="F43" i="120" s="1"/>
  <c r="O41" i="119"/>
  <c r="F41"/>
  <c r="F42" i="120" s="1"/>
  <c r="M40" i="119"/>
  <c r="M39" s="1"/>
  <c r="I39"/>
  <c r="O38"/>
  <c r="E38"/>
  <c r="N37"/>
  <c r="J37" s="1"/>
  <c r="E37"/>
  <c r="F36"/>
  <c r="F34" s="1"/>
  <c r="E34" s="1"/>
  <c r="N35"/>
  <c r="J35" s="1"/>
  <c r="E35"/>
  <c r="M34"/>
  <c r="M26" s="1"/>
  <c r="M25" s="1"/>
  <c r="L34"/>
  <c r="L26" s="1"/>
  <c r="K34"/>
  <c r="K26" s="1"/>
  <c r="K25" s="1"/>
  <c r="H34"/>
  <c r="G34"/>
  <c r="N33"/>
  <c r="J33" s="1"/>
  <c r="E33"/>
  <c r="N32"/>
  <c r="H32"/>
  <c r="G32"/>
  <c r="G33" i="120" s="1"/>
  <c r="F32" i="119"/>
  <c r="N31"/>
  <c r="J31" s="1"/>
  <c r="E31"/>
  <c r="N30"/>
  <c r="J30" s="1"/>
  <c r="H30"/>
  <c r="F30"/>
  <c r="N29"/>
  <c r="J29" s="1"/>
  <c r="H29"/>
  <c r="F29"/>
  <c r="F30" i="120" s="1"/>
  <c r="O28" i="119"/>
  <c r="H28"/>
  <c r="F28"/>
  <c r="O27"/>
  <c r="F27"/>
  <c r="I26"/>
  <c r="I25" s="1"/>
  <c r="N24"/>
  <c r="E24"/>
  <c r="P24" s="1"/>
  <c r="N23"/>
  <c r="J23" s="1"/>
  <c r="E23"/>
  <c r="N21"/>
  <c r="N20" s="1"/>
  <c r="E21"/>
  <c r="O20"/>
  <c r="K20"/>
  <c r="K13" s="1"/>
  <c r="E20"/>
  <c r="N19"/>
  <c r="J19" s="1"/>
  <c r="E19"/>
  <c r="N18"/>
  <c r="J18" s="1"/>
  <c r="E18"/>
  <c r="N17"/>
  <c r="J17" s="1"/>
  <c r="E17"/>
  <c r="N16"/>
  <c r="J16" s="1"/>
  <c r="F16"/>
  <c r="E16" s="1"/>
  <c r="O15"/>
  <c r="F15"/>
  <c r="N14"/>
  <c r="E14"/>
  <c r="M13"/>
  <c r="L13"/>
  <c r="L12" s="1"/>
  <c r="H13"/>
  <c r="H12" s="1"/>
  <c r="G13"/>
  <c r="G12" s="1"/>
  <c r="I12"/>
  <c r="P17" l="1"/>
  <c r="O80"/>
  <c r="J50" i="97"/>
  <c r="J50" i="120" s="1"/>
  <c r="P99" i="119"/>
  <c r="P101"/>
  <c r="P77"/>
  <c r="E96"/>
  <c r="E95" s="1"/>
  <c r="H26"/>
  <c r="H25" s="1"/>
  <c r="E42"/>
  <c r="K40"/>
  <c r="K39" s="1"/>
  <c r="P97"/>
  <c r="E43"/>
  <c r="P43" s="1"/>
  <c r="J44"/>
  <c r="P44" s="1"/>
  <c r="E134"/>
  <c r="P134" s="1"/>
  <c r="F145" i="120"/>
  <c r="O45" i="119"/>
  <c r="O40" s="1"/>
  <c r="O39" s="1"/>
  <c r="N82"/>
  <c r="I87"/>
  <c r="I93" i="120" s="1"/>
  <c r="F96" i="119"/>
  <c r="F95" s="1"/>
  <c r="P115"/>
  <c r="J116"/>
  <c r="O170"/>
  <c r="J141"/>
  <c r="P141" s="1"/>
  <c r="N152" i="120"/>
  <c r="P126" i="119"/>
  <c r="P136"/>
  <c r="J168"/>
  <c r="P168" s="1"/>
  <c r="E162"/>
  <c r="P162" s="1"/>
  <c r="F173" i="120"/>
  <c r="P19" i="119"/>
  <c r="E82"/>
  <c r="F88" i="120"/>
  <c r="E93" i="119"/>
  <c r="F99" i="120"/>
  <c r="E94" i="119"/>
  <c r="F100" i="120"/>
  <c r="N151" i="119"/>
  <c r="J151" s="1"/>
  <c r="P151" s="1"/>
  <c r="O162" i="120"/>
  <c r="J166" i="119"/>
  <c r="P166" s="1"/>
  <c r="N177" i="120"/>
  <c r="E28" i="119"/>
  <c r="F29" i="120"/>
  <c r="E32" i="119"/>
  <c r="F33" i="120"/>
  <c r="N158" i="119"/>
  <c r="J158" s="1"/>
  <c r="P158" s="1"/>
  <c r="O169" i="120"/>
  <c r="P18" i="119"/>
  <c r="E27"/>
  <c r="F28" i="120"/>
  <c r="N28" i="119"/>
  <c r="J28" s="1"/>
  <c r="O29" i="120"/>
  <c r="E30" i="119"/>
  <c r="P30" s="1"/>
  <c r="F31" i="120"/>
  <c r="G26" i="119"/>
  <c r="G25" s="1"/>
  <c r="N38"/>
  <c r="J38" s="1"/>
  <c r="P38" s="1"/>
  <c r="O39" i="120"/>
  <c r="P67" i="119"/>
  <c r="G80"/>
  <c r="G51" s="1"/>
  <c r="G50" s="1"/>
  <c r="G88" i="120"/>
  <c r="P84" i="119"/>
  <c r="P86"/>
  <c r="G106"/>
  <c r="G105" s="1"/>
  <c r="N119"/>
  <c r="J119" s="1"/>
  <c r="P119" s="1"/>
  <c r="O129" i="120"/>
  <c r="N150" i="119"/>
  <c r="J150" s="1"/>
  <c r="O161" i="120"/>
  <c r="O157" i="119"/>
  <c r="O156" s="1"/>
  <c r="N15"/>
  <c r="J15" s="1"/>
  <c r="O15" i="120"/>
  <c r="E15" i="119"/>
  <c r="F15" i="120"/>
  <c r="J21" i="119"/>
  <c r="P21" s="1"/>
  <c r="N21" i="120"/>
  <c r="N27" i="119"/>
  <c r="J27" s="1"/>
  <c r="O28" i="120"/>
  <c r="J32" i="119"/>
  <c r="N33" i="120"/>
  <c r="N34" i="119"/>
  <c r="P54"/>
  <c r="H80"/>
  <c r="H51" s="1"/>
  <c r="H50" s="1"/>
  <c r="H88" i="120"/>
  <c r="P112" i="119"/>
  <c r="J167"/>
  <c r="P167" s="1"/>
  <c r="N178" i="120"/>
  <c r="E176" i="119"/>
  <c r="E189" i="120" s="1"/>
  <c r="F189"/>
  <c r="F186" s="1"/>
  <c r="F185" s="1"/>
  <c r="J49" i="97"/>
  <c r="J49" i="120" s="1"/>
  <c r="N48" i="97"/>
  <c r="N48" i="120" s="1"/>
  <c r="N41" i="119"/>
  <c r="J41" s="1"/>
  <c r="O42" i="120"/>
  <c r="E46" i="119"/>
  <c r="F47" i="120"/>
  <c r="P70" i="119"/>
  <c r="N121"/>
  <c r="J121" s="1"/>
  <c r="P121" s="1"/>
  <c r="P49" i="97"/>
  <c r="P49" i="120" s="1"/>
  <c r="E49"/>
  <c r="K48"/>
  <c r="P16" i="119"/>
  <c r="P23"/>
  <c r="F47"/>
  <c r="E47" s="1"/>
  <c r="P78"/>
  <c r="P98"/>
  <c r="P100"/>
  <c r="H106"/>
  <c r="H105" s="1"/>
  <c r="P124"/>
  <c r="P125"/>
  <c r="P135"/>
  <c r="F147"/>
  <c r="F146" s="1"/>
  <c r="P150"/>
  <c r="P155"/>
  <c r="J174"/>
  <c r="J173" s="1"/>
  <c r="P178"/>
  <c r="E36"/>
  <c r="P36" s="1"/>
  <c r="N46"/>
  <c r="J46" s="1"/>
  <c r="N58"/>
  <c r="J58" s="1"/>
  <c r="P58" s="1"/>
  <c r="P60"/>
  <c r="P75"/>
  <c r="J107"/>
  <c r="P107" s="1"/>
  <c r="M106"/>
  <c r="M105" s="1"/>
  <c r="J123"/>
  <c r="P123" s="1"/>
  <c r="O148"/>
  <c r="O147" s="1"/>
  <c r="O146" s="1"/>
  <c r="K173"/>
  <c r="P177"/>
  <c r="P190" i="120" s="1"/>
  <c r="E48" i="119"/>
  <c r="P48" s="1"/>
  <c r="K51"/>
  <c r="K50" s="1"/>
  <c r="P71"/>
  <c r="L51"/>
  <c r="L50" s="1"/>
  <c r="P81"/>
  <c r="P159"/>
  <c r="E57"/>
  <c r="P57" s="1"/>
  <c r="F55"/>
  <c r="E55" s="1"/>
  <c r="E76"/>
  <c r="P76" s="1"/>
  <c r="F73"/>
  <c r="E73" s="1"/>
  <c r="P73" s="1"/>
  <c r="O26"/>
  <c r="O25" s="1"/>
  <c r="N47"/>
  <c r="J47" s="1"/>
  <c r="J117"/>
  <c r="P117" s="1"/>
  <c r="J20"/>
  <c r="P20" s="1"/>
  <c r="J34"/>
  <c r="P34" s="1"/>
  <c r="F45"/>
  <c r="E45" s="1"/>
  <c r="P49"/>
  <c r="N64"/>
  <c r="J64" s="1"/>
  <c r="H87"/>
  <c r="M51"/>
  <c r="M50" s="1"/>
  <c r="M87"/>
  <c r="J94"/>
  <c r="N92"/>
  <c r="J92" s="1"/>
  <c r="P122"/>
  <c r="J138"/>
  <c r="P138" s="1"/>
  <c r="F161"/>
  <c r="O13"/>
  <c r="F13"/>
  <c r="F12" s="1"/>
  <c r="F64"/>
  <c r="E64" s="1"/>
  <c r="N88"/>
  <c r="J88" s="1"/>
  <c r="P88" s="1"/>
  <c r="O51"/>
  <c r="O50" s="1"/>
  <c r="L106"/>
  <c r="L105" s="1"/>
  <c r="P110"/>
  <c r="P160"/>
  <c r="P65"/>
  <c r="P69"/>
  <c r="P85"/>
  <c r="P139"/>
  <c r="P62"/>
  <c r="P68"/>
  <c r="P72"/>
  <c r="I106"/>
  <c r="I105" s="1"/>
  <c r="P114"/>
  <c r="P176"/>
  <c r="P189" i="120" s="1"/>
  <c r="E48" i="97"/>
  <c r="E41" i="119"/>
  <c r="P42"/>
  <c r="P59"/>
  <c r="P63"/>
  <c r="P66"/>
  <c r="P79"/>
  <c r="P90"/>
  <c r="P93"/>
  <c r="J14"/>
  <c r="P14" s="1"/>
  <c r="L25"/>
  <c r="P33"/>
  <c r="J87"/>
  <c r="P87" s="1"/>
  <c r="K12"/>
  <c r="E29"/>
  <c r="P29" s="1"/>
  <c r="F26"/>
  <c r="F25" s="1"/>
  <c r="P31"/>
  <c r="P35"/>
  <c r="P37"/>
  <c r="J53"/>
  <c r="P53" s="1"/>
  <c r="N52"/>
  <c r="J52" s="1"/>
  <c r="P52" s="1"/>
  <c r="J56"/>
  <c r="P56" s="1"/>
  <c r="N55"/>
  <c r="P61"/>
  <c r="P83"/>
  <c r="P89"/>
  <c r="P152"/>
  <c r="E147"/>
  <c r="E146" s="1"/>
  <c r="F92"/>
  <c r="E92" s="1"/>
  <c r="P103"/>
  <c r="J109"/>
  <c r="P109" s="1"/>
  <c r="P130"/>
  <c r="P132"/>
  <c r="P143"/>
  <c r="P145"/>
  <c r="J149"/>
  <c r="P149" s="1"/>
  <c r="N148"/>
  <c r="N147" s="1"/>
  <c r="N146" s="1"/>
  <c r="J161"/>
  <c r="K157"/>
  <c r="J169"/>
  <c r="P169" s="1"/>
  <c r="J171"/>
  <c r="J113"/>
  <c r="K106"/>
  <c r="K128"/>
  <c r="E140"/>
  <c r="F128"/>
  <c r="F127" s="1"/>
  <c r="E175"/>
  <c r="F174"/>
  <c r="F173" s="1"/>
  <c r="P116"/>
  <c r="M12"/>
  <c r="P104"/>
  <c r="P108"/>
  <c r="P111"/>
  <c r="E113"/>
  <c r="F106"/>
  <c r="F105" s="1"/>
  <c r="O128"/>
  <c r="O127" s="1"/>
  <c r="P131"/>
  <c r="P133"/>
  <c r="J140"/>
  <c r="P142"/>
  <c r="P144"/>
  <c r="K147"/>
  <c r="P172"/>
  <c r="E171"/>
  <c r="N102"/>
  <c r="N96" s="1"/>
  <c r="O118"/>
  <c r="O106" s="1"/>
  <c r="O105" s="1"/>
  <c r="N129"/>
  <c r="N128" s="1"/>
  <c r="N127" s="1"/>
  <c r="N154"/>
  <c r="N153" s="1"/>
  <c r="N165"/>
  <c r="N164" s="1"/>
  <c r="F33" i="118"/>
  <c r="F31"/>
  <c r="F30"/>
  <c r="F29"/>
  <c r="F14"/>
  <c r="F13"/>
  <c r="F12"/>
  <c r="E11"/>
  <c r="D11"/>
  <c r="C11"/>
  <c r="O119" i="97"/>
  <c r="O119" i="120" s="1"/>
  <c r="K119" i="97"/>
  <c r="K119" i="120" s="1"/>
  <c r="F119" i="97"/>
  <c r="F119" i="120" s="1"/>
  <c r="J122" i="97"/>
  <c r="E122"/>
  <c r="N45" i="119" l="1"/>
  <c r="P50" i="97"/>
  <c r="P50" i="120" s="1"/>
  <c r="P27" i="119"/>
  <c r="E13"/>
  <c r="E12" s="1"/>
  <c r="N118"/>
  <c r="J118" s="1"/>
  <c r="P118" s="1"/>
  <c r="P94"/>
  <c r="I179"/>
  <c r="N26"/>
  <c r="N25" s="1"/>
  <c r="P28"/>
  <c r="P32"/>
  <c r="P15"/>
  <c r="P46"/>
  <c r="J82"/>
  <c r="P82" s="1"/>
  <c r="N80"/>
  <c r="J80" s="1"/>
  <c r="P80" s="1"/>
  <c r="P92"/>
  <c r="O27" i="120"/>
  <c r="O26" s="1"/>
  <c r="O179" i="119"/>
  <c r="N157"/>
  <c r="N156" s="1"/>
  <c r="P113"/>
  <c r="N13"/>
  <c r="J13" s="1"/>
  <c r="J26"/>
  <c r="J25" s="1"/>
  <c r="P64"/>
  <c r="H179"/>
  <c r="G179"/>
  <c r="P47"/>
  <c r="F40"/>
  <c r="F39" s="1"/>
  <c r="H120" i="104"/>
  <c r="J122" i="120"/>
  <c r="G120" i="104"/>
  <c r="E122" i="120"/>
  <c r="J48" i="97"/>
  <c r="J48" i="120" s="1"/>
  <c r="O12" i="119"/>
  <c r="E48" i="120"/>
  <c r="J154" i="119"/>
  <c r="P154" s="1"/>
  <c r="P153" s="1"/>
  <c r="E26"/>
  <c r="L179"/>
  <c r="M179"/>
  <c r="E161"/>
  <c r="F157"/>
  <c r="F156" s="1"/>
  <c r="N163"/>
  <c r="J164"/>
  <c r="J129"/>
  <c r="P129" s="1"/>
  <c r="E106"/>
  <c r="P171"/>
  <c r="P170" s="1"/>
  <c r="J170"/>
  <c r="K156"/>
  <c r="J102"/>
  <c r="P102" s="1"/>
  <c r="E51"/>
  <c r="J55"/>
  <c r="P55" s="1"/>
  <c r="J147"/>
  <c r="K146"/>
  <c r="K179"/>
  <c r="J45"/>
  <c r="P45" s="1"/>
  <c r="N40"/>
  <c r="N95"/>
  <c r="J96"/>
  <c r="J165"/>
  <c r="P165" s="1"/>
  <c r="P175"/>
  <c r="E174"/>
  <c r="P140"/>
  <c r="K105"/>
  <c r="E128"/>
  <c r="F51"/>
  <c r="F50" s="1"/>
  <c r="P41"/>
  <c r="E40"/>
  <c r="J148"/>
  <c r="P148" s="1"/>
  <c r="F171"/>
  <c r="F170" s="1"/>
  <c r="E170"/>
  <c r="K127"/>
  <c r="J128"/>
  <c r="J127" s="1"/>
  <c r="N106"/>
  <c r="N105" s="1"/>
  <c r="F11" i="118"/>
  <c r="P122" i="97"/>
  <c r="P122" i="120" s="1"/>
  <c r="N12" i="119" l="1"/>
  <c r="J153"/>
  <c r="J157"/>
  <c r="J156" s="1"/>
  <c r="P26"/>
  <c r="P25" s="1"/>
  <c r="I120" i="104"/>
  <c r="F179" i="119"/>
  <c r="E25"/>
  <c r="N51"/>
  <c r="N179" s="1"/>
  <c r="P48" i="97"/>
  <c r="P48" i="120" s="1"/>
  <c r="J106" i="119"/>
  <c r="J105" s="1"/>
  <c r="E157"/>
  <c r="P157" s="1"/>
  <c r="P156" s="1"/>
  <c r="P161"/>
  <c r="J95"/>
  <c r="P96"/>
  <c r="P95" s="1"/>
  <c r="J146"/>
  <c r="P147"/>
  <c r="P146" s="1"/>
  <c r="E39"/>
  <c r="E127"/>
  <c r="P128"/>
  <c r="P127" s="1"/>
  <c r="P174"/>
  <c r="P173" s="1"/>
  <c r="E173"/>
  <c r="E50"/>
  <c r="E105"/>
  <c r="P164"/>
  <c r="P163" s="1"/>
  <c r="J163"/>
  <c r="P13"/>
  <c r="J12"/>
  <c r="N39"/>
  <c r="J40"/>
  <c r="J39" s="1"/>
  <c r="P106" l="1"/>
  <c r="P105" s="1"/>
  <c r="N50"/>
  <c r="J51"/>
  <c r="E156"/>
  <c r="E179"/>
  <c r="E189" s="1"/>
  <c r="P12"/>
  <c r="P40"/>
  <c r="P39" s="1"/>
  <c r="E93" i="97"/>
  <c r="J50" i="119" l="1"/>
  <c r="P51"/>
  <c r="P50" s="1"/>
  <c r="J179"/>
  <c r="G87" i="104"/>
  <c r="E93" i="120"/>
  <c r="P179" i="119"/>
  <c r="F89" i="97"/>
  <c r="F89" i="120" s="1"/>
  <c r="J83" i="97"/>
  <c r="E83"/>
  <c r="J82"/>
  <c r="F82"/>
  <c r="J84"/>
  <c r="N80"/>
  <c r="E80"/>
  <c r="E84"/>
  <c r="E84" i="120" s="1"/>
  <c r="F72" i="97"/>
  <c r="F72" i="120" s="1"/>
  <c r="F37" i="97"/>
  <c r="F37" i="120" s="1"/>
  <c r="N38" i="97"/>
  <c r="E38"/>
  <c r="H76" i="104" l="1"/>
  <c r="J82" i="120"/>
  <c r="G39" i="104"/>
  <c r="E38" i="120"/>
  <c r="E82" i="97"/>
  <c r="P82" s="1"/>
  <c r="P82" i="120" s="1"/>
  <c r="F82"/>
  <c r="F78" s="1"/>
  <c r="E78" s="1"/>
  <c r="P78" s="1"/>
  <c r="J38" i="97"/>
  <c r="P38" s="1"/>
  <c r="P38" i="120" s="1"/>
  <c r="N38"/>
  <c r="J80" i="97"/>
  <c r="P80" s="1"/>
  <c r="P80" i="120" s="1"/>
  <c r="N80"/>
  <c r="H78" i="104"/>
  <c r="J84" i="120"/>
  <c r="H77" i="104"/>
  <c r="J83" i="120"/>
  <c r="G77" i="104"/>
  <c r="E83" i="120"/>
  <c r="G74" i="104"/>
  <c r="E80" i="120"/>
  <c r="H39" i="104"/>
  <c r="I39" s="1"/>
  <c r="F189" i="119"/>
  <c r="P187"/>
  <c r="P84" i="97"/>
  <c r="P84" i="120" s="1"/>
  <c r="F78" i="97"/>
  <c r="P83"/>
  <c r="P83" i="120" s="1"/>
  <c r="G78" i="104"/>
  <c r="I77" l="1"/>
  <c r="J38" i="120"/>
  <c r="H74" i="104"/>
  <c r="H72" s="1"/>
  <c r="J80" i="120"/>
  <c r="G76" i="104"/>
  <c r="I76" s="1"/>
  <c r="E82" i="120"/>
  <c r="I78" i="104"/>
  <c r="N147" i="97"/>
  <c r="F62"/>
  <c r="F62" i="120" s="1"/>
  <c r="H33" i="97"/>
  <c r="H33" i="120" s="1"/>
  <c r="H31" i="97"/>
  <c r="H31" i="120" s="1"/>
  <c r="H30" i="97"/>
  <c r="H30" i="120" s="1"/>
  <c r="H29" i="97"/>
  <c r="H29" i="120" s="1"/>
  <c r="D16" i="105"/>
  <c r="D12" s="1"/>
  <c r="J147" i="97" l="1"/>
  <c r="J148" i="120" s="1"/>
  <c r="N148"/>
  <c r="G72" i="104"/>
  <c r="I72" s="1"/>
  <c r="I74"/>
  <c r="P147" i="97"/>
  <c r="P148" i="120" s="1"/>
  <c r="F134" i="97"/>
  <c r="N135"/>
  <c r="E135"/>
  <c r="N134"/>
  <c r="D26" i="105"/>
  <c r="C26" s="1"/>
  <c r="H148" i="104" l="1"/>
  <c r="I148" s="1"/>
  <c r="J135" i="97"/>
  <c r="J135" i="120" s="1"/>
  <c r="N135"/>
  <c r="G133" i="104"/>
  <c r="E135" i="120"/>
  <c r="E134" i="97"/>
  <c r="F134" i="120"/>
  <c r="J134" i="97"/>
  <c r="H132" i="104" s="1"/>
  <c r="N134" i="120"/>
  <c r="H133" i="104"/>
  <c r="I27" i="97"/>
  <c r="I107" i="104"/>
  <c r="I109"/>
  <c r="J134" i="120" l="1"/>
  <c r="P135" i="97"/>
  <c r="P135" i="120" s="1"/>
  <c r="I133" i="104"/>
  <c r="P134" i="97"/>
  <c r="P134" i="120" s="1"/>
  <c r="G132" i="104"/>
  <c r="I132" s="1"/>
  <c r="E134" i="120"/>
  <c r="H38" i="104"/>
  <c r="G99" i="97" l="1"/>
  <c r="G99" i="120" s="1"/>
  <c r="H99" i="97"/>
  <c r="H99" i="120" s="1"/>
  <c r="G35" i="97" l="1"/>
  <c r="G35" i="120" s="1"/>
  <c r="G27" s="1"/>
  <c r="G26" s="1"/>
  <c r="F35" i="97"/>
  <c r="E37"/>
  <c r="E37" i="120" s="1"/>
  <c r="M98" i="97"/>
  <c r="M98" i="120" s="1"/>
  <c r="L98" i="97"/>
  <c r="L98" i="120" s="1"/>
  <c r="K98" i="97"/>
  <c r="K98" i="120" s="1"/>
  <c r="H98" i="97"/>
  <c r="H98" i="120" s="1"/>
  <c r="G98" i="97"/>
  <c r="G98" i="120" s="1"/>
  <c r="F98" i="97"/>
  <c r="F98" i="120" s="1"/>
  <c r="O111" i="97"/>
  <c r="M111"/>
  <c r="L111"/>
  <c r="K111"/>
  <c r="H111"/>
  <c r="G111"/>
  <c r="F111"/>
  <c r="N113"/>
  <c r="E113"/>
  <c r="N112"/>
  <c r="E112"/>
  <c r="O98"/>
  <c r="O98" i="120" s="1"/>
  <c r="N100" i="97"/>
  <c r="N100" i="120" s="1"/>
  <c r="E100" i="97"/>
  <c r="N99"/>
  <c r="E99"/>
  <c r="F90"/>
  <c r="N90"/>
  <c r="N89"/>
  <c r="N89" i="120" s="1"/>
  <c r="M51" i="97"/>
  <c r="L51"/>
  <c r="K51"/>
  <c r="G51"/>
  <c r="H51"/>
  <c r="F51"/>
  <c r="F51" i="120" s="1"/>
  <c r="N53" i="97"/>
  <c r="E53"/>
  <c r="N52"/>
  <c r="M35"/>
  <c r="L35"/>
  <c r="K35"/>
  <c r="E36"/>
  <c r="H35"/>
  <c r="H35" i="120" s="1"/>
  <c r="H27" s="1"/>
  <c r="H26" s="1"/>
  <c r="N36" i="97"/>
  <c r="G108" i="104" l="1"/>
  <c r="E112" i="120"/>
  <c r="F111"/>
  <c r="F104" s="1"/>
  <c r="F103" s="1"/>
  <c r="F104" i="97"/>
  <c r="L104"/>
  <c r="L111" i="120"/>
  <c r="L104" s="1"/>
  <c r="L103" s="1"/>
  <c r="L27" i="97"/>
  <c r="L35" i="120"/>
  <c r="L27" s="1"/>
  <c r="L26" s="1"/>
  <c r="J90" i="97"/>
  <c r="J90" i="120" s="1"/>
  <c r="N90"/>
  <c r="J112" i="97"/>
  <c r="P112" s="1"/>
  <c r="P112" i="120" s="1"/>
  <c r="N112"/>
  <c r="G104" i="97"/>
  <c r="G111" i="120"/>
  <c r="G104" s="1"/>
  <c r="G103" s="1"/>
  <c r="M111"/>
  <c r="M104" s="1"/>
  <c r="M103" s="1"/>
  <c r="M104" i="97"/>
  <c r="M27"/>
  <c r="M35" i="120"/>
  <c r="M27" s="1"/>
  <c r="M26" s="1"/>
  <c r="E90" i="97"/>
  <c r="E90" i="120" s="1"/>
  <c r="F90"/>
  <c r="G111" i="104"/>
  <c r="E113" i="120"/>
  <c r="H104" i="97"/>
  <c r="H111" i="120"/>
  <c r="H104" s="1"/>
  <c r="H103" s="1"/>
  <c r="O111"/>
  <c r="O104" s="1"/>
  <c r="O103" s="1"/>
  <c r="O104" i="97"/>
  <c r="K27"/>
  <c r="K35" i="120"/>
  <c r="K27" s="1"/>
  <c r="K26" s="1"/>
  <c r="J99" i="97"/>
  <c r="N99" i="120"/>
  <c r="J113" i="97"/>
  <c r="P113" s="1"/>
  <c r="P113" i="120" s="1"/>
  <c r="N113"/>
  <c r="K104" i="97"/>
  <c r="K111" i="120"/>
  <c r="K104" s="1"/>
  <c r="K103" s="1"/>
  <c r="G94" i="104"/>
  <c r="E100" i="120"/>
  <c r="G93" i="104"/>
  <c r="E99" i="120"/>
  <c r="N35" i="97"/>
  <c r="N35" i="120" s="1"/>
  <c r="N36"/>
  <c r="F27" i="97"/>
  <c r="F35" i="120"/>
  <c r="F27" s="1"/>
  <c r="F26" s="1"/>
  <c r="G37" i="104"/>
  <c r="E36" i="120"/>
  <c r="G41" i="97"/>
  <c r="G51" i="120"/>
  <c r="G41" s="1"/>
  <c r="J53" i="97"/>
  <c r="P53" s="1"/>
  <c r="P53" i="120" s="1"/>
  <c r="N53"/>
  <c r="K51"/>
  <c r="G48" i="104"/>
  <c r="E53" i="120"/>
  <c r="L41" i="97"/>
  <c r="L51" i="120"/>
  <c r="L41" s="1"/>
  <c r="J52" i="97"/>
  <c r="N52" i="120"/>
  <c r="H41" i="97"/>
  <c r="H51" i="120"/>
  <c r="H41" s="1"/>
  <c r="M41" i="97"/>
  <c r="M51" i="120"/>
  <c r="M41" s="1"/>
  <c r="E52" i="97"/>
  <c r="N111"/>
  <c r="N111" i="120" s="1"/>
  <c r="P37" i="97"/>
  <c r="P37" i="120" s="1"/>
  <c r="G38" i="104"/>
  <c r="I38" s="1"/>
  <c r="N98" i="97"/>
  <c r="N98" i="120" s="1"/>
  <c r="J100" i="97"/>
  <c r="P99"/>
  <c r="P99" i="120" s="1"/>
  <c r="J36" i="97"/>
  <c r="J36" i="120" s="1"/>
  <c r="N51" i="97"/>
  <c r="N51" i="120" s="1"/>
  <c r="P90" i="97" l="1"/>
  <c r="P90" i="120" s="1"/>
  <c r="H111" i="104"/>
  <c r="I111" s="1"/>
  <c r="J113" i="120"/>
  <c r="H108" i="104"/>
  <c r="I108" s="1"/>
  <c r="J112" i="120"/>
  <c r="H94" i="104"/>
  <c r="J100" i="120"/>
  <c r="H93" i="104"/>
  <c r="I93" s="1"/>
  <c r="J99" i="120"/>
  <c r="P52" i="97"/>
  <c r="P52" i="120" s="1"/>
  <c r="M40"/>
  <c r="H47" i="104"/>
  <c r="J52" i="120"/>
  <c r="H48" i="104"/>
  <c r="I48" s="1"/>
  <c r="J53" i="120"/>
  <c r="H40"/>
  <c r="L40"/>
  <c r="G40"/>
  <c r="G47" i="104"/>
  <c r="E52" i="120"/>
  <c r="P100" i="97"/>
  <c r="P100" i="120" s="1"/>
  <c r="I94" i="104"/>
  <c r="P36" i="97"/>
  <c r="P36" i="120" s="1"/>
  <c r="H37" i="104"/>
  <c r="I37" s="1"/>
  <c r="I47" l="1"/>
  <c r="I146"/>
  <c r="H173"/>
  <c r="H168" s="1"/>
  <c r="G173"/>
  <c r="G168" s="1"/>
  <c r="I27"/>
  <c r="I24"/>
  <c r="J94" i="98"/>
  <c r="J89"/>
  <c r="J88" l="1"/>
  <c r="E18" i="97"/>
  <c r="E18" i="120" s="1"/>
  <c r="N18" i="97"/>
  <c r="J18" l="1"/>
  <c r="H10" i="104" s="1"/>
  <c r="I10" s="1"/>
  <c r="N18" i="120"/>
  <c r="P18" i="97" l="1"/>
  <c r="P18" i="120" s="1"/>
  <c r="J18"/>
  <c r="D72" i="105"/>
  <c r="F18" i="116" l="1"/>
  <c r="H27" i="97" l="1"/>
  <c r="G27" l="1"/>
  <c r="I67" i="98" l="1"/>
  <c r="H67" s="1"/>
  <c r="I86"/>
  <c r="H86" s="1"/>
  <c r="J162" l="1"/>
  <c r="N162" i="97" l="1"/>
  <c r="E162"/>
  <c r="N161"/>
  <c r="E161"/>
  <c r="N160"/>
  <c r="N159"/>
  <c r="N160" i="120" s="1"/>
  <c r="E160" i="97"/>
  <c r="E159"/>
  <c r="O158"/>
  <c r="M158"/>
  <c r="L158"/>
  <c r="K158"/>
  <c r="I158"/>
  <c r="H158"/>
  <c r="G158"/>
  <c r="F158"/>
  <c r="E158" l="1"/>
  <c r="F159" i="120"/>
  <c r="F158" s="1"/>
  <c r="F157" s="1"/>
  <c r="G160" i="104"/>
  <c r="E160" i="120"/>
  <c r="G157" i="97"/>
  <c r="G159" i="120"/>
  <c r="G158" s="1"/>
  <c r="J161" i="97"/>
  <c r="J162" i="120" s="1"/>
  <c r="N162"/>
  <c r="M157" i="97"/>
  <c r="M159" i="120"/>
  <c r="M158" s="1"/>
  <c r="G163" i="104"/>
  <c r="E163" i="120"/>
  <c r="K157" i="97"/>
  <c r="K159" i="120"/>
  <c r="K158" s="1"/>
  <c r="G162" i="104"/>
  <c r="E162" i="120"/>
  <c r="L157" i="97"/>
  <c r="L159" i="120"/>
  <c r="L158" s="1"/>
  <c r="G161" i="104"/>
  <c r="E161" i="120"/>
  <c r="H157" i="97"/>
  <c r="H159" i="120"/>
  <c r="H158" s="1"/>
  <c r="I157" i="97"/>
  <c r="I159" i="120"/>
  <c r="I158" s="1"/>
  <c r="O157" i="97"/>
  <c r="O159" i="120"/>
  <c r="O158" s="1"/>
  <c r="O157" s="1"/>
  <c r="J160" i="97"/>
  <c r="N161" i="120"/>
  <c r="J162" i="97"/>
  <c r="P162" s="1"/>
  <c r="P163" i="120" s="1"/>
  <c r="N163"/>
  <c r="F157" i="97"/>
  <c r="N158"/>
  <c r="N159" i="120" s="1"/>
  <c r="J159" i="97"/>
  <c r="J160" i="120" s="1"/>
  <c r="I164" i="97"/>
  <c r="H164"/>
  <c r="G164"/>
  <c r="L164"/>
  <c r="K164"/>
  <c r="M164"/>
  <c r="J177"/>
  <c r="J178" i="120" s="1"/>
  <c r="J176" i="97"/>
  <c r="J177" i="120" s="1"/>
  <c r="E176" i="97"/>
  <c r="O175"/>
  <c r="M175"/>
  <c r="L175"/>
  <c r="K175"/>
  <c r="I175"/>
  <c r="H175"/>
  <c r="G175"/>
  <c r="F175"/>
  <c r="F174" s="1"/>
  <c r="E177"/>
  <c r="E178" i="120" s="1"/>
  <c r="H176" l="1"/>
  <c r="H175" s="1"/>
  <c r="H174" s="1"/>
  <c r="H174" i="97"/>
  <c r="M176" i="120"/>
  <c r="M175" s="1"/>
  <c r="M174" s="1"/>
  <c r="M174" i="97"/>
  <c r="I176" i="120"/>
  <c r="I174" i="97"/>
  <c r="O176" i="120"/>
  <c r="O175" s="1"/>
  <c r="O174" s="1"/>
  <c r="O174" i="97"/>
  <c r="K176" i="120"/>
  <c r="K175" s="1"/>
  <c r="K174" s="1"/>
  <c r="K174" i="97"/>
  <c r="G176" i="120"/>
  <c r="G175" s="1"/>
  <c r="G174" s="1"/>
  <c r="G174" i="97"/>
  <c r="L176" i="120"/>
  <c r="L175" s="1"/>
  <c r="L174" s="1"/>
  <c r="L174" i="97"/>
  <c r="E175"/>
  <c r="E176" i="120" s="1"/>
  <c r="F176"/>
  <c r="F175" s="1"/>
  <c r="F174" s="1"/>
  <c r="G179" i="104"/>
  <c r="E177" i="120"/>
  <c r="G159" i="104"/>
  <c r="G158" s="1"/>
  <c r="G157" s="1"/>
  <c r="H161"/>
  <c r="I161" s="1"/>
  <c r="J161" i="120"/>
  <c r="H162" i="104"/>
  <c r="I162" s="1"/>
  <c r="H157" i="120"/>
  <c r="L157"/>
  <c r="K157"/>
  <c r="M157"/>
  <c r="G157"/>
  <c r="I157"/>
  <c r="N158"/>
  <c r="N157" s="1"/>
  <c r="P160" i="97"/>
  <c r="P161" i="120" s="1"/>
  <c r="P161" i="97"/>
  <c r="P162" i="120" s="1"/>
  <c r="H163" i="104"/>
  <c r="I163" s="1"/>
  <c r="J163" i="120"/>
  <c r="E157" i="97"/>
  <c r="E159" i="120"/>
  <c r="E158" s="1"/>
  <c r="E157" s="1"/>
  <c r="J158" i="97"/>
  <c r="N157"/>
  <c r="J157" s="1"/>
  <c r="P159"/>
  <c r="P160" i="120" s="1"/>
  <c r="H160" i="104"/>
  <c r="P176" i="97"/>
  <c r="P177" i="120" s="1"/>
  <c r="H179" i="104"/>
  <c r="I179" s="1"/>
  <c r="N175" i="97"/>
  <c r="N176" i="120" s="1"/>
  <c r="N175" s="1"/>
  <c r="P177" i="97"/>
  <c r="P178" i="120" s="1"/>
  <c r="L138" i="97"/>
  <c r="M138"/>
  <c r="G138"/>
  <c r="H138"/>
  <c r="I138"/>
  <c r="N153"/>
  <c r="E153"/>
  <c r="N146"/>
  <c r="E146"/>
  <c r="N142"/>
  <c r="E142"/>
  <c r="N19"/>
  <c r="E19"/>
  <c r="E19" i="120" s="1"/>
  <c r="F16" i="97"/>
  <c r="N144"/>
  <c r="E144"/>
  <c r="N155"/>
  <c r="E155"/>
  <c r="N154"/>
  <c r="E154"/>
  <c r="N152"/>
  <c r="E152"/>
  <c r="J151"/>
  <c r="E151"/>
  <c r="O150"/>
  <c r="K150"/>
  <c r="K151" i="120" s="1"/>
  <c r="F150" i="97"/>
  <c r="H152" i="104" l="1"/>
  <c r="H151" s="1"/>
  <c r="J152" i="120"/>
  <c r="J154" i="97"/>
  <c r="N155" i="120"/>
  <c r="J144" i="97"/>
  <c r="N145" i="120"/>
  <c r="N151"/>
  <c r="O151"/>
  <c r="J152" i="97"/>
  <c r="N153" i="120"/>
  <c r="J155" i="97"/>
  <c r="N156" i="120"/>
  <c r="J146" i="97"/>
  <c r="N147" i="120"/>
  <c r="J142" i="97"/>
  <c r="P142" s="1"/>
  <c r="P143" i="120" s="1"/>
  <c r="N143"/>
  <c r="J153" i="97"/>
  <c r="N154" i="120"/>
  <c r="E150" i="97"/>
  <c r="E151" i="120" s="1"/>
  <c r="F151"/>
  <c r="G156" i="104"/>
  <c r="E156" i="120"/>
  <c r="G152" i="104"/>
  <c r="G151" s="1"/>
  <c r="I151" s="1"/>
  <c r="E152" i="120"/>
  <c r="G155" i="104"/>
  <c r="E155" i="120"/>
  <c r="G144" i="104"/>
  <c r="E145" i="120"/>
  <c r="G153" i="104"/>
  <c r="E153" i="120"/>
  <c r="G147" i="104"/>
  <c r="E147" i="120"/>
  <c r="G142" i="104"/>
  <c r="E143" i="120"/>
  <c r="G154" i="104"/>
  <c r="E154" i="120"/>
  <c r="J19" i="97"/>
  <c r="J19" i="120" s="1"/>
  <c r="N19"/>
  <c r="J175"/>
  <c r="N174"/>
  <c r="F16"/>
  <c r="F13" s="1"/>
  <c r="F13" i="97"/>
  <c r="P158"/>
  <c r="P159" i="120" s="1"/>
  <c r="J159"/>
  <c r="J158"/>
  <c r="H159" i="104"/>
  <c r="I160"/>
  <c r="J175" i="97"/>
  <c r="N174"/>
  <c r="P19"/>
  <c r="P19" i="120" s="1"/>
  <c r="P154" i="97"/>
  <c r="P155" i="120" s="1"/>
  <c r="P153" i="97"/>
  <c r="P154" i="120" s="1"/>
  <c r="P146" i="97"/>
  <c r="P147" i="120" s="1"/>
  <c r="P144" i="97"/>
  <c r="P145" i="120" s="1"/>
  <c r="P155" i="97"/>
  <c r="P156" i="120" s="1"/>
  <c r="P152" i="97"/>
  <c r="P153" i="120" s="1"/>
  <c r="J150" i="97"/>
  <c r="P151"/>
  <c r="P152" i="120" s="1"/>
  <c r="H147" i="104" l="1"/>
  <c r="J147" i="120"/>
  <c r="H153" i="104"/>
  <c r="I153" s="1"/>
  <c r="J153" i="120"/>
  <c r="H144" i="104"/>
  <c r="I144" s="1"/>
  <c r="J145" i="120"/>
  <c r="H142" i="104"/>
  <c r="I142" s="1"/>
  <c r="J143" i="120"/>
  <c r="H156" i="104"/>
  <c r="I156" s="1"/>
  <c r="J156" i="120"/>
  <c r="H155" i="104"/>
  <c r="I155" s="1"/>
  <c r="J155" i="120"/>
  <c r="I147" i="104"/>
  <c r="H154"/>
  <c r="I154" s="1"/>
  <c r="J154" i="120"/>
  <c r="P150" i="97"/>
  <c r="P151" i="120" s="1"/>
  <c r="J151"/>
  <c r="I152" i="104"/>
  <c r="J174" i="120"/>
  <c r="P175"/>
  <c r="P174" s="1"/>
  <c r="P175" i="97"/>
  <c r="P176" i="120" s="1"/>
  <c r="J176"/>
  <c r="E13"/>
  <c r="E12" s="1"/>
  <c r="F12"/>
  <c r="J157"/>
  <c r="P158"/>
  <c r="P157" s="1"/>
  <c r="H158" i="104"/>
  <c r="I159"/>
  <c r="E145" i="97"/>
  <c r="O148"/>
  <c r="K148"/>
  <c r="K149" i="120" s="1"/>
  <c r="F148" i="97"/>
  <c r="F149" i="120" s="1"/>
  <c r="N149" i="97"/>
  <c r="E149"/>
  <c r="N145"/>
  <c r="E141"/>
  <c r="N141"/>
  <c r="O139"/>
  <c r="K139"/>
  <c r="F139"/>
  <c r="E143"/>
  <c r="N143"/>
  <c r="N140"/>
  <c r="E140"/>
  <c r="J141" l="1"/>
  <c r="P141" s="1"/>
  <c r="P141" i="120" s="1"/>
  <c r="N141"/>
  <c r="J143" i="97"/>
  <c r="N144" i="120"/>
  <c r="N148" i="97"/>
  <c r="N149" i="120" s="1"/>
  <c r="O149"/>
  <c r="J149" i="97"/>
  <c r="P149" s="1"/>
  <c r="P150" i="120" s="1"/>
  <c r="N150"/>
  <c r="J145" i="97"/>
  <c r="P145" s="1"/>
  <c r="P146" i="120" s="1"/>
  <c r="N146"/>
  <c r="O138" i="97"/>
  <c r="O139" i="120"/>
  <c r="K138" i="97"/>
  <c r="K139" i="120"/>
  <c r="K138" s="1"/>
  <c r="K137" s="1"/>
  <c r="F138" i="97"/>
  <c r="F139" i="120"/>
  <c r="F138" s="1"/>
  <c r="F137" s="1"/>
  <c r="G150" i="104"/>
  <c r="E150" i="120"/>
  <c r="G145" i="104"/>
  <c r="E146" i="120"/>
  <c r="J140" i="97"/>
  <c r="P140" s="1"/>
  <c r="P140" i="120" s="1"/>
  <c r="N140"/>
  <c r="G143" i="104"/>
  <c r="E144" i="120"/>
  <c r="G140" i="104"/>
  <c r="E140" i="120"/>
  <c r="G141" i="104"/>
  <c r="E141" i="120"/>
  <c r="G149" i="104"/>
  <c r="E148" i="97"/>
  <c r="E149" i="120" s="1"/>
  <c r="P143" i="97"/>
  <c r="P144" i="120" s="1"/>
  <c r="G139" i="104" l="1"/>
  <c r="J148" i="97"/>
  <c r="J149" i="120" s="1"/>
  <c r="H141" i="104"/>
  <c r="I141" s="1"/>
  <c r="J141" i="120"/>
  <c r="H150" i="104"/>
  <c r="J150" i="120"/>
  <c r="H143" i="104"/>
  <c r="I143" s="1"/>
  <c r="J144" i="120"/>
  <c r="O138"/>
  <c r="O137" s="1"/>
  <c r="H145" i="104"/>
  <c r="I145" s="1"/>
  <c r="J146" i="120"/>
  <c r="H140" i="104"/>
  <c r="J140" i="120"/>
  <c r="G138" i="104"/>
  <c r="P148" i="97" l="1"/>
  <c r="P149" i="120" s="1"/>
  <c r="H149" i="104"/>
  <c r="I149" s="1"/>
  <c r="I150"/>
  <c r="H139"/>
  <c r="I140"/>
  <c r="O27" i="97"/>
  <c r="H138" i="104" l="1"/>
  <c r="I138" s="1"/>
  <c r="I139"/>
  <c r="F94" i="97"/>
  <c r="F94" i="120" s="1"/>
  <c r="F86" i="97"/>
  <c r="E86" l="1"/>
  <c r="E86" i="120" s="1"/>
  <c r="F86"/>
  <c r="O63" i="97"/>
  <c r="O63" i="120" s="1"/>
  <c r="M63" i="97"/>
  <c r="M63" i="120" s="1"/>
  <c r="L63" i="97"/>
  <c r="L63" i="120" s="1"/>
  <c r="K63" i="97"/>
  <c r="K63" i="120" s="1"/>
  <c r="I63" i="97"/>
  <c r="I63" i="120" s="1"/>
  <c r="H63" i="97"/>
  <c r="H63" i="120" s="1"/>
  <c r="G63" i="97"/>
  <c r="G63" i="120" s="1"/>
  <c r="F63" i="97"/>
  <c r="F63" i="120" s="1"/>
  <c r="J48" i="98"/>
  <c r="J47" s="1"/>
  <c r="O171" i="97" l="1"/>
  <c r="K171"/>
  <c r="K172" i="120" s="1"/>
  <c r="K168" s="1"/>
  <c r="F171" i="97"/>
  <c r="L167"/>
  <c r="M167"/>
  <c r="G167"/>
  <c r="H167"/>
  <c r="I167"/>
  <c r="E169"/>
  <c r="E170" i="120" s="1"/>
  <c r="N169" i="97"/>
  <c r="E170"/>
  <c r="E171" i="120" s="1"/>
  <c r="N170" i="97"/>
  <c r="E172"/>
  <c r="E173" i="120" s="1"/>
  <c r="N172" i="97"/>
  <c r="K167" l="1"/>
  <c r="J172"/>
  <c r="J173" i="120" s="1"/>
  <c r="N173"/>
  <c r="J169" i="97"/>
  <c r="J170" i="120" s="1"/>
  <c r="N170"/>
  <c r="F167" i="97"/>
  <c r="F172" i="120"/>
  <c r="F168" s="1"/>
  <c r="F167" s="1"/>
  <c r="K167"/>
  <c r="J170" i="97"/>
  <c r="J171" i="120" s="1"/>
  <c r="N171"/>
  <c r="O167" i="97"/>
  <c r="O172" i="120"/>
  <c r="O168" s="1"/>
  <c r="O167" s="1"/>
  <c r="N171" i="97"/>
  <c r="E171"/>
  <c r="E172" i="120" s="1"/>
  <c r="P172" i="97"/>
  <c r="P173" i="120" s="1"/>
  <c r="I173" i="104"/>
  <c r="P170" i="97" l="1"/>
  <c r="P171" i="120" s="1"/>
  <c r="P169" i="97"/>
  <c r="P170" i="120" s="1"/>
  <c r="J171" i="97"/>
  <c r="J172" i="120" s="1"/>
  <c r="N172"/>
  <c r="P171" i="97" l="1"/>
  <c r="P172" i="120" s="1"/>
  <c r="F60" i="97"/>
  <c r="F60" i="120" s="1"/>
  <c r="K60" i="97"/>
  <c r="K60" i="120" s="1"/>
  <c r="O57" i="97"/>
  <c r="O57" i="120" s="1"/>
  <c r="M57" i="97"/>
  <c r="M57" i="120" s="1"/>
  <c r="L57" i="97"/>
  <c r="L57" i="120" s="1"/>
  <c r="K57" i="97"/>
  <c r="K57" i="120" s="1"/>
  <c r="I57" i="97"/>
  <c r="I57" i="120" s="1"/>
  <c r="H57" i="97"/>
  <c r="H57" i="120" s="1"/>
  <c r="G57" i="97"/>
  <c r="G57" i="120" s="1"/>
  <c r="F57" i="97"/>
  <c r="F57" i="120" s="1"/>
  <c r="M13" i="97" l="1"/>
  <c r="L13"/>
  <c r="K20"/>
  <c r="N20"/>
  <c r="N20" i="120" s="1"/>
  <c r="O20" i="97"/>
  <c r="E21"/>
  <c r="E21" i="120" s="1"/>
  <c r="E20" i="97"/>
  <c r="E20" i="120" s="1"/>
  <c r="H13" i="97"/>
  <c r="G13"/>
  <c r="K13" l="1"/>
  <c r="K20" i="120"/>
  <c r="K13" s="1"/>
  <c r="K12" s="1"/>
  <c r="O20"/>
  <c r="O13" s="1"/>
  <c r="O12" s="1"/>
  <c r="O13" i="97"/>
  <c r="J20"/>
  <c r="J21"/>
  <c r="P21" l="1"/>
  <c r="P21" i="120" s="1"/>
  <c r="J21"/>
  <c r="P20" i="97"/>
  <c r="P20" i="120" s="1"/>
  <c r="J20"/>
  <c r="O46" i="97"/>
  <c r="K46"/>
  <c r="F46"/>
  <c r="K46" i="120" l="1"/>
  <c r="K41" s="1"/>
  <c r="K41" i="97"/>
  <c r="O46" i="120"/>
  <c r="O41" s="1"/>
  <c r="O41" i="97"/>
  <c r="F41"/>
  <c r="F46" i="120"/>
  <c r="F41" s="1"/>
  <c r="N47" i="97"/>
  <c r="E47"/>
  <c r="E47" i="120" s="1"/>
  <c r="J47" i="97" l="1"/>
  <c r="J47" i="120" s="1"/>
  <c r="N47"/>
  <c r="O40"/>
  <c r="K40"/>
  <c r="F40"/>
  <c r="N32" i="97"/>
  <c r="N32" i="120" s="1"/>
  <c r="P47" i="97" l="1"/>
  <c r="P47" i="120" s="1"/>
  <c r="I26" i="104"/>
  <c r="N29" i="97" l="1"/>
  <c r="N29" i="120" s="1"/>
  <c r="N28" i="97"/>
  <c r="N28" i="120" s="1"/>
  <c r="K133" i="97" l="1"/>
  <c r="K133" i="120" s="1"/>
  <c r="N129" i="97" l="1"/>
  <c r="N129" i="120" s="1"/>
  <c r="N105" i="97" l="1"/>
  <c r="N105" i="120" s="1"/>
  <c r="N109" i="97"/>
  <c r="N109" i="120" s="1"/>
  <c r="E187" i="97" l="1"/>
  <c r="E188" i="120" s="1"/>
  <c r="F185" i="97" l="1"/>
  <c r="N44" i="120" l="1"/>
  <c r="F117" i="97"/>
  <c r="F117" i="120" s="1"/>
  <c r="G117" i="97"/>
  <c r="G117" i="120" s="1"/>
  <c r="G181" i="104" l="1"/>
  <c r="G182"/>
  <c r="G180"/>
  <c r="G178" s="1"/>
  <c r="E120" i="97" l="1"/>
  <c r="E120" i="120" s="1"/>
  <c r="E96" i="97"/>
  <c r="E46"/>
  <c r="E46" i="120" s="1"/>
  <c r="E64" i="105" l="1"/>
  <c r="E165" i="97" l="1"/>
  <c r="E166" i="120" s="1"/>
  <c r="E165" s="1"/>
  <c r="F165" l="1"/>
  <c r="F164" s="1"/>
  <c r="E164"/>
  <c r="G166" i="104"/>
  <c r="G165" s="1"/>
  <c r="G164" s="1"/>
  <c r="E182" i="97" l="1"/>
  <c r="E181" l="1"/>
  <c r="E183" i="120"/>
  <c r="E182" s="1"/>
  <c r="G185" i="104"/>
  <c r="P182" i="120" l="1"/>
  <c r="P181" s="1"/>
  <c r="E181"/>
  <c r="G184" i="104"/>
  <c r="J187" i="97"/>
  <c r="J188" i="120" s="1"/>
  <c r="K185" i="97"/>
  <c r="G183" i="104" l="1"/>
  <c r="J87" i="98"/>
  <c r="N168" i="97" l="1"/>
  <c r="E168"/>
  <c r="E167" l="1"/>
  <c r="E169" i="120"/>
  <c r="E168" s="1"/>
  <c r="N167" i="97"/>
  <c r="N169" i="120"/>
  <c r="N168" s="1"/>
  <c r="J168" i="97"/>
  <c r="J169" i="120" s="1"/>
  <c r="N167" l="1"/>
  <c r="J168"/>
  <c r="J167" s="1"/>
  <c r="E167"/>
  <c r="P168" i="97"/>
  <c r="P169" i="120" s="1"/>
  <c r="P168" l="1"/>
  <c r="P167" s="1"/>
  <c r="G118" i="104"/>
  <c r="N12" i="107"/>
  <c r="N13"/>
  <c r="F11"/>
  <c r="N11" s="1"/>
  <c r="O12" l="1"/>
  <c r="F10"/>
  <c r="E45" i="97"/>
  <c r="G45" i="104" l="1"/>
  <c r="E45" i="120"/>
  <c r="N10" i="107"/>
  <c r="F9"/>
  <c r="N9" s="1"/>
  <c r="E108" i="97" l="1"/>
  <c r="D84" i="105"/>
  <c r="D29" i="108"/>
  <c r="D15"/>
  <c r="D17" s="1"/>
  <c r="P14" i="107"/>
  <c r="Q14" s="1"/>
  <c r="O14"/>
  <c r="L14"/>
  <c r="N14" s="1"/>
  <c r="J14"/>
  <c r="F14" s="1"/>
  <c r="H14"/>
  <c r="O13"/>
  <c r="C99" i="105"/>
  <c r="C98"/>
  <c r="C97"/>
  <c r="C96"/>
  <c r="C94"/>
  <c r="C93"/>
  <c r="C91"/>
  <c r="C86"/>
  <c r="C85"/>
  <c r="E84"/>
  <c r="C79"/>
  <c r="C78"/>
  <c r="F77"/>
  <c r="F76" s="1"/>
  <c r="E77"/>
  <c r="C77" s="1"/>
  <c r="C75"/>
  <c r="C74"/>
  <c r="F73"/>
  <c r="E73"/>
  <c r="C73" s="1"/>
  <c r="C71"/>
  <c r="C70"/>
  <c r="D63"/>
  <c r="C68"/>
  <c r="C67"/>
  <c r="C66"/>
  <c r="C64"/>
  <c r="C62"/>
  <c r="C61"/>
  <c r="E60"/>
  <c r="D60"/>
  <c r="C59"/>
  <c r="C58"/>
  <c r="C57"/>
  <c r="D56"/>
  <c r="C55"/>
  <c r="C54"/>
  <c r="C50"/>
  <c r="C49"/>
  <c r="D48"/>
  <c r="C46"/>
  <c r="F45"/>
  <c r="C44"/>
  <c r="C43"/>
  <c r="C42"/>
  <c r="E41"/>
  <c r="D41"/>
  <c r="C40"/>
  <c r="C39"/>
  <c r="D38"/>
  <c r="C38" s="1"/>
  <c r="C37"/>
  <c r="C36"/>
  <c r="D35"/>
  <c r="C35" s="1"/>
  <c r="C34"/>
  <c r="C33"/>
  <c r="C32"/>
  <c r="C31"/>
  <c r="C30"/>
  <c r="C29"/>
  <c r="C28"/>
  <c r="C27"/>
  <c r="C25"/>
  <c r="D24"/>
  <c r="C20"/>
  <c r="C19"/>
  <c r="D18"/>
  <c r="C18" s="1"/>
  <c r="C16"/>
  <c r="C15"/>
  <c r="C14"/>
  <c r="C13"/>
  <c r="C12"/>
  <c r="I174" i="104"/>
  <c r="M166" i="97"/>
  <c r="L166"/>
  <c r="K166"/>
  <c r="G166"/>
  <c r="H166"/>
  <c r="I166"/>
  <c r="N108"/>
  <c r="N108" i="120" s="1"/>
  <c r="J199" i="98"/>
  <c r="I175" i="104"/>
  <c r="E39" i="97"/>
  <c r="I169" i="104"/>
  <c r="M26" i="97"/>
  <c r="H26"/>
  <c r="J6" i="98"/>
  <c r="N16" i="97"/>
  <c r="N16" i="120" s="1"/>
  <c r="E16" i="97"/>
  <c r="E16" i="120" s="1"/>
  <c r="N14" i="97"/>
  <c r="E14"/>
  <c r="E14" i="120" s="1"/>
  <c r="H167" i="104"/>
  <c r="E15" i="97"/>
  <c r="E15" i="120" s="1"/>
  <c r="N15" i="97"/>
  <c r="N15" i="120" s="1"/>
  <c r="E28" i="97"/>
  <c r="E28" i="120" s="1"/>
  <c r="N31" i="97"/>
  <c r="N31" i="120" s="1"/>
  <c r="E34" i="97"/>
  <c r="E31"/>
  <c r="E31" i="120" s="1"/>
  <c r="E30" i="97"/>
  <c r="E32"/>
  <c r="I170" i="104"/>
  <c r="I172"/>
  <c r="H88"/>
  <c r="I43"/>
  <c r="J29" i="98"/>
  <c r="J73"/>
  <c r="N106" i="97"/>
  <c r="L103"/>
  <c r="K103"/>
  <c r="I103"/>
  <c r="E98"/>
  <c r="E98" i="120" s="1"/>
  <c r="N88" i="97"/>
  <c r="N88" i="120" s="1"/>
  <c r="N87" i="97"/>
  <c r="N87" i="120" s="1"/>
  <c r="G86" i="97"/>
  <c r="G86" i="120" s="1"/>
  <c r="M86" i="97"/>
  <c r="M86" i="120" s="1"/>
  <c r="L86" i="97"/>
  <c r="L86" i="120" s="1"/>
  <c r="K86" i="97"/>
  <c r="K86" i="120" s="1"/>
  <c r="I86" i="97"/>
  <c r="I86" i="120" s="1"/>
  <c r="H86" i="97"/>
  <c r="H86" i="120" s="1"/>
  <c r="N95" i="97"/>
  <c r="N95" i="120" s="1"/>
  <c r="E95" i="97"/>
  <c r="E95" i="120" s="1"/>
  <c r="O94" i="97"/>
  <c r="M94"/>
  <c r="L94"/>
  <c r="K94"/>
  <c r="K94" i="120" s="1"/>
  <c r="H94" i="97"/>
  <c r="G94"/>
  <c r="E51"/>
  <c r="N46"/>
  <c r="N46" i="120" s="1"/>
  <c r="E44" i="97"/>
  <c r="N43" i="120"/>
  <c r="E43" i="97"/>
  <c r="E43" i="120" s="1"/>
  <c r="N42" i="97"/>
  <c r="E42"/>
  <c r="E42" i="120" s="1"/>
  <c r="M40" i="97"/>
  <c r="L40"/>
  <c r="K40"/>
  <c r="H40"/>
  <c r="I40"/>
  <c r="N136"/>
  <c r="N136" i="120" s="1"/>
  <c r="E136" i="97"/>
  <c r="N133"/>
  <c r="N133" i="120" s="1"/>
  <c r="F131" i="97"/>
  <c r="F131" i="120" s="1"/>
  <c r="N132" i="97"/>
  <c r="N132" i="120" s="1"/>
  <c r="E132" i="97"/>
  <c r="E132" i="120" s="1"/>
  <c r="O131" i="97"/>
  <c r="O131" i="120" s="1"/>
  <c r="M131" i="97"/>
  <c r="M131" i="120" s="1"/>
  <c r="L131" i="97"/>
  <c r="L131" i="120" s="1"/>
  <c r="K131" i="97"/>
  <c r="K131" i="120" s="1"/>
  <c r="I131" i="97"/>
  <c r="I131" i="120" s="1"/>
  <c r="H131" i="97"/>
  <c r="H131" i="120" s="1"/>
  <c r="N130" i="97"/>
  <c r="E130"/>
  <c r="E130" i="120" s="1"/>
  <c r="G128" i="97"/>
  <c r="G128" i="120" s="1"/>
  <c r="F128" i="97"/>
  <c r="F128" i="120" s="1"/>
  <c r="M128" i="97"/>
  <c r="M128" i="120" s="1"/>
  <c r="L128" i="97"/>
  <c r="L128" i="120" s="1"/>
  <c r="I128" i="97"/>
  <c r="I128" i="120" s="1"/>
  <c r="H128" i="97"/>
  <c r="H128" i="120" s="1"/>
  <c r="E127" i="97"/>
  <c r="E127" i="120" s="1"/>
  <c r="O126" i="97"/>
  <c r="O126" i="120" s="1"/>
  <c r="M126" i="97"/>
  <c r="M126" i="120" s="1"/>
  <c r="L126" i="97"/>
  <c r="L126" i="120" s="1"/>
  <c r="K126" i="97"/>
  <c r="K126" i="120" s="1"/>
  <c r="H126" i="97"/>
  <c r="H126" i="120" s="1"/>
  <c r="G126" i="97"/>
  <c r="G126" i="120" s="1"/>
  <c r="F126" i="97"/>
  <c r="F126" i="120" s="1"/>
  <c r="N125" i="97"/>
  <c r="N125" i="120" s="1"/>
  <c r="E125" i="97"/>
  <c r="E125" i="120" s="1"/>
  <c r="N124" i="97"/>
  <c r="N124" i="120" s="1"/>
  <c r="E124" i="97"/>
  <c r="E124" i="120" s="1"/>
  <c r="O123" i="97"/>
  <c r="O123" i="120" s="1"/>
  <c r="K123" i="97"/>
  <c r="K123" i="120" s="1"/>
  <c r="H123" i="97"/>
  <c r="H123" i="120" s="1"/>
  <c r="G123" i="97"/>
  <c r="G123" i="120" s="1"/>
  <c r="F123" i="97"/>
  <c r="N121"/>
  <c r="N121" i="120" s="1"/>
  <c r="G119" i="97"/>
  <c r="G119" i="120" s="1"/>
  <c r="E121" i="97"/>
  <c r="E121" i="120" s="1"/>
  <c r="N120" i="97"/>
  <c r="N120" i="120" s="1"/>
  <c r="M119" i="97"/>
  <c r="M119" i="120" s="1"/>
  <c r="L119" i="97"/>
  <c r="L119" i="120" s="1"/>
  <c r="I119" i="97"/>
  <c r="I119" i="120" s="1"/>
  <c r="H119" i="97"/>
  <c r="H119" i="120" s="1"/>
  <c r="N118" i="97"/>
  <c r="N118" i="120" s="1"/>
  <c r="O117" i="97"/>
  <c r="O117" i="120" s="1"/>
  <c r="M117" i="97"/>
  <c r="M117" i="120" s="1"/>
  <c r="L117" i="97"/>
  <c r="K117"/>
  <c r="K117" i="120" s="1"/>
  <c r="I117" i="97"/>
  <c r="I117" i="120" s="1"/>
  <c r="H117" i="97"/>
  <c r="H117" i="120" s="1"/>
  <c r="N24" i="97"/>
  <c r="N24" i="120" s="1"/>
  <c r="E24" i="97"/>
  <c r="E24" i="120" s="1"/>
  <c r="I12" i="97"/>
  <c r="E139"/>
  <c r="H63" i="104"/>
  <c r="H54"/>
  <c r="I31"/>
  <c r="E59" i="97"/>
  <c r="E58"/>
  <c r="E72"/>
  <c r="E72" i="120" s="1"/>
  <c r="E35" i="97"/>
  <c r="E35" i="120" s="1"/>
  <c r="E33" i="97"/>
  <c r="E33" i="120" s="1"/>
  <c r="O185" i="97"/>
  <c r="O184" s="1"/>
  <c r="N185"/>
  <c r="N184" s="1"/>
  <c r="K184"/>
  <c r="O60"/>
  <c r="O60" i="120" s="1"/>
  <c r="M60" i="97"/>
  <c r="M60" i="120" s="1"/>
  <c r="L60" i="97"/>
  <c r="L60" i="120" s="1"/>
  <c r="I60" i="97"/>
  <c r="I60" i="120" s="1"/>
  <c r="H60" i="97"/>
  <c r="H60" i="120" s="1"/>
  <c r="G60" i="97"/>
  <c r="G60" i="120" s="1"/>
  <c r="N62" i="97"/>
  <c r="N62" i="120" s="1"/>
  <c r="N67" i="97"/>
  <c r="N67" i="120" s="1"/>
  <c r="E68" i="97"/>
  <c r="E68" i="120" s="1"/>
  <c r="N68" i="97"/>
  <c r="N68" i="120" s="1"/>
  <c r="O69" i="97"/>
  <c r="O69" i="120" s="1"/>
  <c r="M69" i="97"/>
  <c r="M69" i="120" s="1"/>
  <c r="L69" i="97"/>
  <c r="L69" i="120" s="1"/>
  <c r="K69" i="97"/>
  <c r="K69" i="120" s="1"/>
  <c r="I69" i="97"/>
  <c r="I69" i="120" s="1"/>
  <c r="H69" i="97"/>
  <c r="H69" i="120" s="1"/>
  <c r="G69" i="97"/>
  <c r="G69" i="120" s="1"/>
  <c r="N92" i="97"/>
  <c r="N92" i="120" s="1"/>
  <c r="N58" i="97"/>
  <c r="N58" i="120" s="1"/>
  <c r="N91" i="97"/>
  <c r="N91" i="120" s="1"/>
  <c r="H137" i="97"/>
  <c r="K137"/>
  <c r="J204" i="98"/>
  <c r="I184" i="97"/>
  <c r="F173"/>
  <c r="G173"/>
  <c r="H173"/>
  <c r="I173"/>
  <c r="K173"/>
  <c r="L173"/>
  <c r="M173"/>
  <c r="O173"/>
  <c r="E173"/>
  <c r="G163"/>
  <c r="H163"/>
  <c r="I163"/>
  <c r="K163"/>
  <c r="L163"/>
  <c r="M163"/>
  <c r="G180"/>
  <c r="H180"/>
  <c r="I180"/>
  <c r="K180"/>
  <c r="L180"/>
  <c r="M180"/>
  <c r="G156"/>
  <c r="H156"/>
  <c r="I156"/>
  <c r="K156"/>
  <c r="L156"/>
  <c r="M156"/>
  <c r="I55"/>
  <c r="I137"/>
  <c r="N165"/>
  <c r="N139"/>
  <c r="E61"/>
  <c r="E66"/>
  <c r="E66" i="120" s="1"/>
  <c r="E65" i="97"/>
  <c r="E65" i="120" s="1"/>
  <c r="E64" i="97"/>
  <c r="N61"/>
  <c r="N61" i="120" s="1"/>
  <c r="N96" i="97"/>
  <c r="N77"/>
  <c r="N77" i="120" s="1"/>
  <c r="N85" i="97"/>
  <c r="N85" i="120" s="1"/>
  <c r="N59" i="97"/>
  <c r="N66"/>
  <c r="N66" i="120" s="1"/>
  <c r="N65" i="97"/>
  <c r="N65" i="120" s="1"/>
  <c r="N64" i="97"/>
  <c r="N64" i="120" s="1"/>
  <c r="N78" i="97"/>
  <c r="N70"/>
  <c r="N70" i="120" s="1"/>
  <c r="N72" i="97"/>
  <c r="N72" i="120" s="1"/>
  <c r="N73" i="97"/>
  <c r="N73" i="120" s="1"/>
  <c r="N74" i="97"/>
  <c r="N74" i="120" s="1"/>
  <c r="N75" i="97"/>
  <c r="N75" i="120" s="1"/>
  <c r="N71" i="97"/>
  <c r="N71" i="120" s="1"/>
  <c r="N76" i="97"/>
  <c r="N76" i="120" s="1"/>
  <c r="N34" i="97"/>
  <c r="N34" i="120" s="1"/>
  <c r="E70" i="97"/>
  <c r="E70" i="120" s="1"/>
  <c r="N182" i="97"/>
  <c r="N183" i="120" s="1"/>
  <c r="O164" i="97"/>
  <c r="O163" s="1"/>
  <c r="E78"/>
  <c r="E76"/>
  <c r="E76" i="120" s="1"/>
  <c r="E71" i="97"/>
  <c r="E71" i="120" s="1"/>
  <c r="E75" i="97"/>
  <c r="E75" i="120" s="1"/>
  <c r="E74" i="97"/>
  <c r="E74" i="120" s="1"/>
  <c r="E73" i="97"/>
  <c r="E73" i="120" s="1"/>
  <c r="J178" i="97"/>
  <c r="J179" i="120" s="1"/>
  <c r="J179" i="97"/>
  <c r="J180" i="120" s="1"/>
  <c r="G185" i="97"/>
  <c r="G184" s="1"/>
  <c r="H185"/>
  <c r="H184" s="1"/>
  <c r="L185"/>
  <c r="L184" s="1"/>
  <c r="M185"/>
  <c r="M184" s="1"/>
  <c r="J186"/>
  <c r="J187" i="120" s="1"/>
  <c r="J188" i="97"/>
  <c r="J191" i="120" s="1"/>
  <c r="F69" i="97"/>
  <c r="F166"/>
  <c r="E87"/>
  <c r="E87" i="120" s="1"/>
  <c r="E62" i="97"/>
  <c r="E62" i="120" s="1"/>
  <c r="E118" i="97"/>
  <c r="E118" i="120" s="1"/>
  <c r="G11" i="107"/>
  <c r="G10" s="1"/>
  <c r="G9" s="1"/>
  <c r="G14" s="1"/>
  <c r="I12"/>
  <c r="Q12" s="1"/>
  <c r="E88" i="97"/>
  <c r="E88" i="120" s="1"/>
  <c r="E34" l="1"/>
  <c r="G34" i="104"/>
  <c r="J186" i="120"/>
  <c r="J185" s="1"/>
  <c r="K56"/>
  <c r="K55" s="1"/>
  <c r="I116"/>
  <c r="I192" s="1"/>
  <c r="E138" i="97"/>
  <c r="E139" i="120"/>
  <c r="E138" s="1"/>
  <c r="N138" i="97"/>
  <c r="J138" s="1"/>
  <c r="N139" i="120"/>
  <c r="N138" s="1"/>
  <c r="E136"/>
  <c r="G134" i="104"/>
  <c r="F56" i="97"/>
  <c r="F69" i="120"/>
  <c r="F56" s="1"/>
  <c r="F55" s="1"/>
  <c r="L116" i="97"/>
  <c r="L117" i="120"/>
  <c r="L116" s="1"/>
  <c r="L93" i="97"/>
  <c r="L93" i="120" s="1"/>
  <c r="L94"/>
  <c r="L56" s="1"/>
  <c r="L55" s="1"/>
  <c r="H116"/>
  <c r="M116"/>
  <c r="G93" i="97"/>
  <c r="G93" i="120" s="1"/>
  <c r="G94"/>
  <c r="G56" s="1"/>
  <c r="G55" s="1"/>
  <c r="M93" i="97"/>
  <c r="M93" i="120" s="1"/>
  <c r="M94"/>
  <c r="M56" s="1"/>
  <c r="M55" s="1"/>
  <c r="G40" i="104"/>
  <c r="E39" i="120"/>
  <c r="G58" i="104"/>
  <c r="E64" i="120"/>
  <c r="N164" i="97"/>
  <c r="J164" s="1"/>
  <c r="J163" s="1"/>
  <c r="N166" i="120"/>
  <c r="N165" s="1"/>
  <c r="F116" i="97"/>
  <c r="F123" i="120"/>
  <c r="F116" s="1"/>
  <c r="J59" i="97"/>
  <c r="P59" s="1"/>
  <c r="P59" i="120" s="1"/>
  <c r="N59"/>
  <c r="H93" i="97"/>
  <c r="H93" i="120" s="1"/>
  <c r="H94"/>
  <c r="H56" s="1"/>
  <c r="H55" s="1"/>
  <c r="O93" i="97"/>
  <c r="O94" i="120"/>
  <c r="G52" i="104"/>
  <c r="E58" i="120"/>
  <c r="G53" i="104"/>
  <c r="E59" i="120"/>
  <c r="G55" i="104"/>
  <c r="I55" s="1"/>
  <c r="E61" i="120"/>
  <c r="K93" i="97"/>
  <c r="K56"/>
  <c r="N130" i="120"/>
  <c r="J130" i="97"/>
  <c r="P130" s="1"/>
  <c r="P130" i="120" s="1"/>
  <c r="N106"/>
  <c r="G103" i="104"/>
  <c r="E108" i="120"/>
  <c r="G29" i="104"/>
  <c r="I29" s="1"/>
  <c r="E30" i="120"/>
  <c r="N14"/>
  <c r="G32" i="104"/>
  <c r="E32" i="120"/>
  <c r="G46" i="104"/>
  <c r="E51" i="120"/>
  <c r="N42"/>
  <c r="N41" s="1"/>
  <c r="N41" i="97"/>
  <c r="E44" i="120"/>
  <c r="E41" i="97"/>
  <c r="E40" s="1"/>
  <c r="I116"/>
  <c r="I115" s="1"/>
  <c r="H116"/>
  <c r="H115" s="1"/>
  <c r="M116"/>
  <c r="C48" i="105"/>
  <c r="G135" i="104"/>
  <c r="I135" s="1"/>
  <c r="I136"/>
  <c r="G23"/>
  <c r="G36"/>
  <c r="J139" i="97"/>
  <c r="J139" i="120" s="1"/>
  <c r="J64" i="97"/>
  <c r="N63"/>
  <c r="C95" i="105"/>
  <c r="C84"/>
  <c r="L56" i="97"/>
  <c r="L55" s="1"/>
  <c r="H56"/>
  <c r="H55" s="1"/>
  <c r="M56"/>
  <c r="M55" s="1"/>
  <c r="G56"/>
  <c r="G55" s="1"/>
  <c r="J61"/>
  <c r="N60"/>
  <c r="N57"/>
  <c r="N57" i="120" s="1"/>
  <c r="L115" i="97"/>
  <c r="H181" i="104"/>
  <c r="I181" s="1"/>
  <c r="G30"/>
  <c r="D51" i="105"/>
  <c r="D45" s="1"/>
  <c r="H182" i="104"/>
  <c r="I182" s="1"/>
  <c r="F72" i="105"/>
  <c r="F81" s="1"/>
  <c r="F101" s="1"/>
  <c r="E69" i="97"/>
  <c r="E69" i="120" s="1"/>
  <c r="J58" i="97"/>
  <c r="M137"/>
  <c r="E60"/>
  <c r="E60" i="120" s="1"/>
  <c r="L137" i="97"/>
  <c r="E94"/>
  <c r="E94" i="120" s="1"/>
  <c r="E166" i="97"/>
  <c r="F184"/>
  <c r="O166"/>
  <c r="G40"/>
  <c r="E107"/>
  <c r="G56" i="104"/>
  <c r="I56" s="1"/>
  <c r="P179" i="97"/>
  <c r="P180" i="120" s="1"/>
  <c r="J65" i="97"/>
  <c r="J65" i="120" s="1"/>
  <c r="J165" i="97"/>
  <c r="J166" i="120" s="1"/>
  <c r="J62" i="97"/>
  <c r="J62" i="120" s="1"/>
  <c r="E188" i="97"/>
  <c r="E191" i="120" s="1"/>
  <c r="E85" i="97"/>
  <c r="E85" i="120" s="1"/>
  <c r="J98" i="97"/>
  <c r="J98" i="120" s="1"/>
  <c r="J111" i="97"/>
  <c r="J96"/>
  <c r="E92"/>
  <c r="E92" i="120" s="1"/>
  <c r="J88" i="97"/>
  <c r="J88" i="120" s="1"/>
  <c r="J106" i="97"/>
  <c r="E105"/>
  <c r="E105" i="120" s="1"/>
  <c r="J68" i="97"/>
  <c r="J68" i="120" s="1"/>
  <c r="G137" i="97"/>
  <c r="E77"/>
  <c r="E77" i="120" s="1"/>
  <c r="P178" i="97"/>
  <c r="P179" i="120" s="1"/>
  <c r="J182" i="97"/>
  <c r="J183" i="120" s="1"/>
  <c r="J66" i="97"/>
  <c r="J66" i="120" s="1"/>
  <c r="J67" i="97"/>
  <c r="J67" i="120" s="1"/>
  <c r="E91" i="97"/>
  <c r="J42"/>
  <c r="J42" i="120" s="1"/>
  <c r="J44" i="97"/>
  <c r="J44" i="120" s="1"/>
  <c r="E109" i="97"/>
  <c r="E109" i="120" s="1"/>
  <c r="J108" i="97"/>
  <c r="J108" i="120" s="1"/>
  <c r="E111" i="97"/>
  <c r="G69" i="104"/>
  <c r="I69" s="1"/>
  <c r="J74" i="97"/>
  <c r="J74" i="120" s="1"/>
  <c r="J92" i="97"/>
  <c r="G66" i="104"/>
  <c r="I66" s="1"/>
  <c r="G82"/>
  <c r="G65"/>
  <c r="I65" s="1"/>
  <c r="J76" i="97"/>
  <c r="J76" i="120" s="1"/>
  <c r="J73" i="97"/>
  <c r="J73" i="120" s="1"/>
  <c r="J85" i="97"/>
  <c r="J85" i="120" s="1"/>
  <c r="G59" i="104"/>
  <c r="J91" i="97"/>
  <c r="J51"/>
  <c r="G67" i="104"/>
  <c r="I67" s="1"/>
  <c r="G70"/>
  <c r="I70" s="1"/>
  <c r="J71" i="97"/>
  <c r="J71" i="120" s="1"/>
  <c r="J72" i="97"/>
  <c r="J72" i="120" s="1"/>
  <c r="J78" i="97"/>
  <c r="J77"/>
  <c r="J77" i="120" s="1"/>
  <c r="G60" i="104"/>
  <c r="I60" s="1"/>
  <c r="J46" i="97"/>
  <c r="J46" i="120" s="1"/>
  <c r="G89" i="104"/>
  <c r="I89" s="1"/>
  <c r="J70" i="97"/>
  <c r="J70" i="120" s="1"/>
  <c r="J43" i="97"/>
  <c r="J43" i="120" s="1"/>
  <c r="G92" i="104"/>
  <c r="G62"/>
  <c r="I62" s="1"/>
  <c r="G81"/>
  <c r="G68"/>
  <c r="I68" s="1"/>
  <c r="G64"/>
  <c r="J75" i="97"/>
  <c r="J75" i="120" s="1"/>
  <c r="G44" i="104"/>
  <c r="J95" i="97"/>
  <c r="J95" i="120" s="1"/>
  <c r="E63" i="105"/>
  <c r="E45" s="1"/>
  <c r="M13" i="107"/>
  <c r="Q13" s="1"/>
  <c r="C56" i="105"/>
  <c r="K11" i="107"/>
  <c r="K10" s="1"/>
  <c r="K9" s="1"/>
  <c r="K14" s="1"/>
  <c r="E131" i="97"/>
  <c r="E131" i="120" s="1"/>
  <c r="J136" i="97"/>
  <c r="J136" i="120" s="1"/>
  <c r="J32" i="97"/>
  <c r="K26"/>
  <c r="J118"/>
  <c r="J118" i="120" s="1"/>
  <c r="G119" i="104"/>
  <c r="G117" s="1"/>
  <c r="G131" i="97"/>
  <c r="L26"/>
  <c r="N39"/>
  <c r="N39" i="120" s="1"/>
  <c r="G116" i="104"/>
  <c r="G115" s="1"/>
  <c r="N17" i="97"/>
  <c r="N17" i="120" s="1"/>
  <c r="N117" i="97"/>
  <c r="N117" i="120" s="1"/>
  <c r="E123" i="97"/>
  <c r="E123" i="120" s="1"/>
  <c r="N123" i="97"/>
  <c r="N123" i="120" s="1"/>
  <c r="G125" i="104"/>
  <c r="G124" s="1"/>
  <c r="J133" i="97"/>
  <c r="J133" i="120" s="1"/>
  <c r="N30" i="97"/>
  <c r="N30" i="120" s="1"/>
  <c r="E186" i="97"/>
  <c r="E187" i="120" s="1"/>
  <c r="J33" i="97"/>
  <c r="J33" i="120" s="1"/>
  <c r="G12" i="97"/>
  <c r="K12"/>
  <c r="E17"/>
  <c r="E117"/>
  <c r="E117" i="120" s="1"/>
  <c r="N119" i="97"/>
  <c r="N119" i="120" s="1"/>
  <c r="E126" i="97"/>
  <c r="E126" i="120" s="1"/>
  <c r="E128" i="97"/>
  <c r="E128" i="120" s="1"/>
  <c r="J132" i="97"/>
  <c r="J132" i="120" s="1"/>
  <c r="N86" i="97"/>
  <c r="N86" i="120" s="1"/>
  <c r="P24" i="97"/>
  <c r="P24" i="120" s="1"/>
  <c r="G123" i="104"/>
  <c r="J15" i="97"/>
  <c r="J15" i="120" s="1"/>
  <c r="G33" i="104"/>
  <c r="J125" i="97"/>
  <c r="J125" i="120" s="1"/>
  <c r="G130" i="104"/>
  <c r="J35" i="97"/>
  <c r="J121"/>
  <c r="J121" i="120" s="1"/>
  <c r="G122" i="104"/>
  <c r="N127" i="97"/>
  <c r="N127" i="120" s="1"/>
  <c r="J31" i="97"/>
  <c r="J31" i="120" s="1"/>
  <c r="J34" i="97"/>
  <c r="J120"/>
  <c r="J120" i="120" s="1"/>
  <c r="J124" i="97"/>
  <c r="J124" i="120" s="1"/>
  <c r="C60" i="105"/>
  <c r="E23" i="97"/>
  <c r="E23" i="120" s="1"/>
  <c r="N23" i="97"/>
  <c r="N23" i="120" s="1"/>
  <c r="O12" i="97"/>
  <c r="J61" i="98"/>
  <c r="H157" i="104"/>
  <c r="J14" i="97"/>
  <c r="J14" i="120" s="1"/>
  <c r="J16" i="97"/>
  <c r="J16" i="120" s="1"/>
  <c r="G128" i="104"/>
  <c r="C41" i="105"/>
  <c r="E76"/>
  <c r="E72" s="1"/>
  <c r="C72" s="1"/>
  <c r="J194" i="98"/>
  <c r="I11" i="107"/>
  <c r="N131" i="97"/>
  <c r="N131" i="120" s="1"/>
  <c r="E133" i="97"/>
  <c r="E133" i="120" s="1"/>
  <c r="E129" i="97"/>
  <c r="E129" i="120" s="1"/>
  <c r="M12" i="97"/>
  <c r="J87"/>
  <c r="J87" i="120" s="1"/>
  <c r="F40" i="97"/>
  <c r="O86"/>
  <c r="O86" i="120" s="1"/>
  <c r="H103" i="97"/>
  <c r="M103"/>
  <c r="H12"/>
  <c r="L12"/>
  <c r="O26"/>
  <c r="N107"/>
  <c r="N107" i="120" s="1"/>
  <c r="O103" i="97"/>
  <c r="G103"/>
  <c r="J29"/>
  <c r="H25" i="104" s="1"/>
  <c r="E106" i="97"/>
  <c r="F103"/>
  <c r="I26"/>
  <c r="J28"/>
  <c r="J28" i="120" s="1"/>
  <c r="O180" i="97"/>
  <c r="O156"/>
  <c r="J185"/>
  <c r="J184" s="1"/>
  <c r="J14" i="98"/>
  <c r="O40" i="97"/>
  <c r="D11" i="105"/>
  <c r="C11" s="1"/>
  <c r="E67" i="97"/>
  <c r="E67" i="120" s="1"/>
  <c r="N94" i="97"/>
  <c r="N94" i="120" s="1"/>
  <c r="J46" i="98"/>
  <c r="E29" i="97"/>
  <c r="N69"/>
  <c r="N69" i="120" s="1"/>
  <c r="K128" i="97"/>
  <c r="O128"/>
  <c r="D23" i="105"/>
  <c r="C24"/>
  <c r="C69"/>
  <c r="E186" i="120" l="1"/>
  <c r="E185" s="1"/>
  <c r="J34"/>
  <c r="H34" i="104"/>
  <c r="E29" i="120"/>
  <c r="E27" s="1"/>
  <c r="E26" s="1"/>
  <c r="G25" i="104"/>
  <c r="J59" i="120"/>
  <c r="G51" i="104"/>
  <c r="I115" i="120"/>
  <c r="N137"/>
  <c r="J138"/>
  <c r="J137" s="1"/>
  <c r="E137"/>
  <c r="N93" i="97"/>
  <c r="N93" i="120" s="1"/>
  <c r="O93"/>
  <c r="G106" i="104"/>
  <c r="E111" i="120"/>
  <c r="H53" i="104"/>
  <c r="I53" s="1"/>
  <c r="F115" i="120"/>
  <c r="F192"/>
  <c r="M115"/>
  <c r="M192"/>
  <c r="L115"/>
  <c r="L192"/>
  <c r="O56" i="97"/>
  <c r="O55" s="1"/>
  <c r="H115" i="120"/>
  <c r="H192"/>
  <c r="K116" i="97"/>
  <c r="K128" i="120"/>
  <c r="K116" s="1"/>
  <c r="J60" i="97"/>
  <c r="J60" i="120" s="1"/>
  <c r="N60"/>
  <c r="J63" i="97"/>
  <c r="J63" i="120" s="1"/>
  <c r="N63"/>
  <c r="H58" i="104"/>
  <c r="I58" s="1"/>
  <c r="J64" i="120"/>
  <c r="K93"/>
  <c r="O116" i="97"/>
  <c r="O128" i="120"/>
  <c r="O116" s="1"/>
  <c r="G116" i="97"/>
  <c r="G115" s="1"/>
  <c r="G131" i="120"/>
  <c r="G116" s="1"/>
  <c r="H106" i="104"/>
  <c r="J111" i="120"/>
  <c r="O56"/>
  <c r="O55" s="1"/>
  <c r="N164"/>
  <c r="J165"/>
  <c r="H85" i="104"/>
  <c r="J91" i="120"/>
  <c r="H86" i="104"/>
  <c r="J92" i="120"/>
  <c r="G85" i="104"/>
  <c r="I85" s="1"/>
  <c r="E91" i="120"/>
  <c r="H52" i="104"/>
  <c r="J58" i="120"/>
  <c r="P61" i="97"/>
  <c r="P61" i="120" s="1"/>
  <c r="J61"/>
  <c r="N56" i="97"/>
  <c r="N55" s="1"/>
  <c r="E106" i="120"/>
  <c r="E104" i="97"/>
  <c r="E103" s="1"/>
  <c r="N104" i="120"/>
  <c r="H101" i="104"/>
  <c r="J106" i="120"/>
  <c r="N104" i="97"/>
  <c r="J104" s="1"/>
  <c r="J103" s="1"/>
  <c r="G102" i="104"/>
  <c r="E107" i="120"/>
  <c r="J130"/>
  <c r="H128" i="104"/>
  <c r="I128" s="1"/>
  <c r="N27" i="120"/>
  <c r="N26" s="1"/>
  <c r="N13" i="97"/>
  <c r="N12" s="1"/>
  <c r="N13" i="120"/>
  <c r="G9" i="104"/>
  <c r="G6" s="1"/>
  <c r="E17" i="120"/>
  <c r="H36" i="104"/>
  <c r="I36" s="1"/>
  <c r="J35" i="120"/>
  <c r="H32" i="104"/>
  <c r="I32" s="1"/>
  <c r="J32" i="120"/>
  <c r="J29"/>
  <c r="H46" i="104"/>
  <c r="I46" s="1"/>
  <c r="J51" i="120"/>
  <c r="E41"/>
  <c r="E40" s="1"/>
  <c r="N40"/>
  <c r="J41"/>
  <c r="G22" i="104"/>
  <c r="E27" i="97"/>
  <c r="N27"/>
  <c r="N26" s="1"/>
  <c r="I64" i="104"/>
  <c r="G63"/>
  <c r="I63" s="1"/>
  <c r="H23"/>
  <c r="P64" i="97"/>
  <c r="P64" i="120" s="1"/>
  <c r="I59" i="104"/>
  <c r="F55" i="97"/>
  <c r="E185"/>
  <c r="E184" s="1"/>
  <c r="G42" i="104"/>
  <c r="G41" s="1"/>
  <c r="G101"/>
  <c r="H166"/>
  <c r="H180"/>
  <c r="H178" s="1"/>
  <c r="C51" i="105"/>
  <c r="H185" i="104"/>
  <c r="H184" s="1"/>
  <c r="I184" s="1"/>
  <c r="P58" i="97"/>
  <c r="P58" i="120" s="1"/>
  <c r="H30" i="104"/>
  <c r="I30" s="1"/>
  <c r="E89" i="97"/>
  <c r="J167"/>
  <c r="J86"/>
  <c r="J86" i="120" s="1"/>
  <c r="J57" i="97"/>
  <c r="J57" i="120" s="1"/>
  <c r="J117" i="97"/>
  <c r="N40"/>
  <c r="E57"/>
  <c r="E57" i="120" s="1"/>
  <c r="J17" i="97"/>
  <c r="J17" i="120" s="1"/>
  <c r="M11" i="107"/>
  <c r="M10" s="1"/>
  <c r="M9" s="1"/>
  <c r="M14" s="1"/>
  <c r="P62" i="97"/>
  <c r="P62" i="120" s="1"/>
  <c r="P96" i="97"/>
  <c r="P188"/>
  <c r="P191" i="120" s="1"/>
  <c r="P68" i="97"/>
  <c r="P68" i="120" s="1"/>
  <c r="H82" i="104"/>
  <c r="I82" s="1"/>
  <c r="P111" i="97"/>
  <c r="P111" i="120" s="1"/>
  <c r="N137" i="97"/>
  <c r="P88"/>
  <c r="P88" i="120" s="1"/>
  <c r="P65" i="97"/>
  <c r="P65" i="120" s="1"/>
  <c r="G71" i="104"/>
  <c r="G100"/>
  <c r="H103"/>
  <c r="G54"/>
  <c r="P66" i="97"/>
  <c r="P66" i="120" s="1"/>
  <c r="P98" i="97"/>
  <c r="P98" i="120" s="1"/>
  <c r="P42" i="97"/>
  <c r="P42" i="120" s="1"/>
  <c r="P187" i="97"/>
  <c r="P188" i="120" s="1"/>
  <c r="H92" i="104"/>
  <c r="P182" i="97"/>
  <c r="P183" i="120" s="1"/>
  <c r="J109" i="97"/>
  <c r="J109" i="120" s="1"/>
  <c r="P44" i="97"/>
  <c r="P44" i="120" s="1"/>
  <c r="P51" i="97"/>
  <c r="P51" i="120" s="1"/>
  <c r="P73" i="97"/>
  <c r="P73" i="120" s="1"/>
  <c r="J105" i="97"/>
  <c r="J105" i="120" s="1"/>
  <c r="J45" i="97"/>
  <c r="P108"/>
  <c r="P108" i="120" s="1"/>
  <c r="P16" i="97"/>
  <c r="P16" i="120" s="1"/>
  <c r="G86" i="104"/>
  <c r="G79"/>
  <c r="I79" s="1"/>
  <c r="P70" i="97"/>
  <c r="P70" i="120" s="1"/>
  <c r="G104" i="104"/>
  <c r="P76" i="97"/>
  <c r="P76" i="120" s="1"/>
  <c r="G90" i="104"/>
  <c r="I90" s="1"/>
  <c r="N163" i="97"/>
  <c r="G80" i="104"/>
  <c r="C76" i="105"/>
  <c r="J69" i="97"/>
  <c r="J69" i="120" s="1"/>
  <c r="J94" i="97"/>
  <c r="J94" i="120" s="1"/>
  <c r="P124" i="97"/>
  <c r="P124" i="120" s="1"/>
  <c r="P31" i="97"/>
  <c r="P31" i="120" s="1"/>
  <c r="P121" i="97"/>
  <c r="P121" i="120" s="1"/>
  <c r="J119" i="97"/>
  <c r="J119" i="120" s="1"/>
  <c r="H134" i="104"/>
  <c r="I134" s="1"/>
  <c r="H71"/>
  <c r="J89" i="97"/>
  <c r="P72"/>
  <c r="P72" i="120" s="1"/>
  <c r="P95" i="97"/>
  <c r="P95" i="120" s="1"/>
  <c r="P133" i="97"/>
  <c r="P133" i="120" s="1"/>
  <c r="J23" i="97"/>
  <c r="J23" i="120" s="1"/>
  <c r="P120" i="97"/>
  <c r="P120" i="120" s="1"/>
  <c r="N126" i="97"/>
  <c r="N126" i="120" s="1"/>
  <c r="P35" i="97"/>
  <c r="P35" i="120" s="1"/>
  <c r="P33" i="97"/>
  <c r="P33" i="120" s="1"/>
  <c r="J30" i="97"/>
  <c r="J30" i="120" s="1"/>
  <c r="J123" i="97"/>
  <c r="J123" i="120" s="1"/>
  <c r="P32" i="97"/>
  <c r="P32" i="120" s="1"/>
  <c r="H44" i="104"/>
  <c r="P85" i="97"/>
  <c r="P85" i="120" s="1"/>
  <c r="P75" i="97"/>
  <c r="P75" i="120" s="1"/>
  <c r="P43" i="97"/>
  <c r="P43" i="120" s="1"/>
  <c r="P71" i="97"/>
  <c r="P71" i="120" s="1"/>
  <c r="G88" i="104"/>
  <c r="I88" s="1"/>
  <c r="P78" i="97"/>
  <c r="P92"/>
  <c r="P92" i="120" s="1"/>
  <c r="P118" i="97"/>
  <c r="P118" i="120" s="1"/>
  <c r="P77" i="97"/>
  <c r="P77" i="120" s="1"/>
  <c r="P139" i="97"/>
  <c r="P139" i="120" s="1"/>
  <c r="P74" i="97"/>
  <c r="P74" i="120" s="1"/>
  <c r="P46" i="97"/>
  <c r="P46" i="120" s="1"/>
  <c r="P91" i="97"/>
  <c r="P91" i="120" s="1"/>
  <c r="H131" i="104"/>
  <c r="O137" i="97"/>
  <c r="P136"/>
  <c r="P136" i="120" s="1"/>
  <c r="G121" i="104"/>
  <c r="H116"/>
  <c r="H115" s="1"/>
  <c r="E81" i="105"/>
  <c r="E101" s="1"/>
  <c r="C45"/>
  <c r="C63"/>
  <c r="H33" i="104"/>
  <c r="I33" s="1"/>
  <c r="N128" i="97"/>
  <c r="N128" i="120" s="1"/>
  <c r="P15" i="97"/>
  <c r="P15" i="120" s="1"/>
  <c r="H130" i="104"/>
  <c r="G131"/>
  <c r="P186" i="97"/>
  <c r="P187" i="120" s="1"/>
  <c r="J39" i="97"/>
  <c r="P132"/>
  <c r="P132" i="120" s="1"/>
  <c r="J131" i="97"/>
  <c r="J131" i="120" s="1"/>
  <c r="E119" i="97"/>
  <c r="H118" i="104"/>
  <c r="I34"/>
  <c r="H123"/>
  <c r="I123" s="1"/>
  <c r="P125" i="97"/>
  <c r="P125" i="120" s="1"/>
  <c r="G127" i="104"/>
  <c r="G126" s="1"/>
  <c r="P14" i="97"/>
  <c r="P14" i="120" s="1"/>
  <c r="P34" i="97"/>
  <c r="P34" i="120" s="1"/>
  <c r="H122" i="104"/>
  <c r="I11"/>
  <c r="J127" i="97"/>
  <c r="J127" i="120" s="1"/>
  <c r="H119" i="104"/>
  <c r="I119" s="1"/>
  <c r="I12"/>
  <c r="I158"/>
  <c r="I157" s="1"/>
  <c r="P67" i="97"/>
  <c r="P67" i="120" s="1"/>
  <c r="G61" i="104"/>
  <c r="G57" s="1"/>
  <c r="J107" i="97"/>
  <c r="I189"/>
  <c r="P28"/>
  <c r="P28" i="120" s="1"/>
  <c r="F115" i="97"/>
  <c r="P87"/>
  <c r="P87" i="120" s="1"/>
  <c r="H81" i="104"/>
  <c r="J212" i="98"/>
  <c r="I10" i="107"/>
  <c r="P106" i="97"/>
  <c r="P106" i="120" s="1"/>
  <c r="F12" i="97"/>
  <c r="E13"/>
  <c r="N180"/>
  <c r="J181"/>
  <c r="M115"/>
  <c r="M189"/>
  <c r="E156"/>
  <c r="F156"/>
  <c r="P29"/>
  <c r="P29" i="120" s="1"/>
  <c r="L189" i="97"/>
  <c r="E63"/>
  <c r="E63" i="120" s="1"/>
  <c r="I168" i="104"/>
  <c r="G167"/>
  <c r="I167" s="1"/>
  <c r="G26" i="97"/>
  <c r="J174"/>
  <c r="N173"/>
  <c r="J129"/>
  <c r="J129" i="120" s="1"/>
  <c r="F26" i="97"/>
  <c r="N156"/>
  <c r="C23" i="105"/>
  <c r="D10"/>
  <c r="D81" s="1"/>
  <c r="K55" i="97"/>
  <c r="H189"/>
  <c r="H84" i="104" l="1"/>
  <c r="N56" i="120"/>
  <c r="N55" s="1"/>
  <c r="H51" i="104"/>
  <c r="I51" s="1"/>
  <c r="P138" i="120"/>
  <c r="P137" s="1"/>
  <c r="H57" i="104"/>
  <c r="J93" i="97"/>
  <c r="J93" i="120" s="1"/>
  <c r="I52" i="104"/>
  <c r="I106"/>
  <c r="O115" i="120"/>
  <c r="O192"/>
  <c r="P186"/>
  <c r="P185" s="1"/>
  <c r="J164"/>
  <c r="P165"/>
  <c r="P164" s="1"/>
  <c r="K115"/>
  <c r="K192"/>
  <c r="G115"/>
  <c r="G192"/>
  <c r="H83" i="104"/>
  <c r="J89" i="120"/>
  <c r="G83" i="104"/>
  <c r="E89" i="120"/>
  <c r="E56" s="1"/>
  <c r="N116"/>
  <c r="N115" s="1"/>
  <c r="P117" i="97"/>
  <c r="P117" i="120" s="1"/>
  <c r="J117"/>
  <c r="H102" i="104"/>
  <c r="I102" s="1"/>
  <c r="J107" i="120"/>
  <c r="E116" i="97"/>
  <c r="E115" s="1"/>
  <c r="E119" i="120"/>
  <c r="E116" s="1"/>
  <c r="E104"/>
  <c r="N103"/>
  <c r="J104"/>
  <c r="J103" s="1"/>
  <c r="N12"/>
  <c r="J13"/>
  <c r="G99" i="104"/>
  <c r="G98" s="1"/>
  <c r="I25"/>
  <c r="H40"/>
  <c r="I40" s="1"/>
  <c r="J39" i="120"/>
  <c r="J27" s="1"/>
  <c r="P41"/>
  <c r="P40" s="1"/>
  <c r="H45" i="104"/>
  <c r="I45" s="1"/>
  <c r="J45" i="120"/>
  <c r="J40"/>
  <c r="Q179" i="119"/>
  <c r="N116" i="97"/>
  <c r="N115" s="1"/>
  <c r="H117" i="104"/>
  <c r="I117" s="1"/>
  <c r="E56" i="97"/>
  <c r="J27"/>
  <c r="J26" s="1"/>
  <c r="I86" i="104"/>
  <c r="G84"/>
  <c r="I23"/>
  <c r="G21"/>
  <c r="H177"/>
  <c r="I178"/>
  <c r="I92"/>
  <c r="I54"/>
  <c r="P17" i="97"/>
  <c r="P17" i="120" s="1"/>
  <c r="H9" i="104"/>
  <c r="H6" s="1"/>
  <c r="I103"/>
  <c r="P86" i="97"/>
  <c r="P86" i="120" s="1"/>
  <c r="I166" i="104"/>
  <c r="I165" s="1"/>
  <c r="I164" s="1"/>
  <c r="H165"/>
  <c r="H164" s="1"/>
  <c r="H183"/>
  <c r="I185"/>
  <c r="I183" s="1"/>
  <c r="I180"/>
  <c r="G189" i="97"/>
  <c r="P89"/>
  <c r="P89" i="120" s="1"/>
  <c r="G137" i="104"/>
  <c r="P60" i="97"/>
  <c r="P60" i="120" s="1"/>
  <c r="J126" i="97"/>
  <c r="J126" i="120" s="1"/>
  <c r="J41" i="97"/>
  <c r="J40" s="1"/>
  <c r="P57"/>
  <c r="P57" i="120" s="1"/>
  <c r="I115" i="104"/>
  <c r="G5"/>
  <c r="I118"/>
  <c r="I122"/>
  <c r="H121"/>
  <c r="I121" s="1"/>
  <c r="I71"/>
  <c r="J137" i="97"/>
  <c r="H104" i="104"/>
  <c r="P45" i="97"/>
  <c r="P45" i="120" s="1"/>
  <c r="N103" i="97"/>
  <c r="P185"/>
  <c r="P184" s="1"/>
  <c r="H100" i="104"/>
  <c r="P105" i="97"/>
  <c r="P105" i="120" s="1"/>
  <c r="P109" i="97"/>
  <c r="P109" i="120" s="1"/>
  <c r="I131" i="104"/>
  <c r="I116"/>
  <c r="O189" i="97"/>
  <c r="Q189" s="1"/>
  <c r="P69"/>
  <c r="P69" i="120" s="1"/>
  <c r="P23" i="97"/>
  <c r="P94"/>
  <c r="P94" i="120" s="1"/>
  <c r="P123" i="97"/>
  <c r="P123" i="120" s="1"/>
  <c r="P131" i="97"/>
  <c r="P131" i="120" s="1"/>
  <c r="P30" i="97"/>
  <c r="P30" i="120" s="1"/>
  <c r="I44" i="104"/>
  <c r="O115" i="97"/>
  <c r="J128"/>
  <c r="J128" i="120" s="1"/>
  <c r="G129" i="104"/>
  <c r="G114" s="1"/>
  <c r="J13" i="97"/>
  <c r="J12" s="1"/>
  <c r="N166"/>
  <c r="H129" i="104"/>
  <c r="I130"/>
  <c r="P39" i="97"/>
  <c r="P39" i="120" s="1"/>
  <c r="P119" i="97"/>
  <c r="P119" i="120" s="1"/>
  <c r="H125" i="104"/>
  <c r="P127" i="97"/>
  <c r="P127" i="120" s="1"/>
  <c r="E12" i="97"/>
  <c r="P129"/>
  <c r="P129" i="120" s="1"/>
  <c r="H127" i="104"/>
  <c r="P107" i="97"/>
  <c r="P107" i="120" s="1"/>
  <c r="I61" i="104"/>
  <c r="I81"/>
  <c r="H80"/>
  <c r="I9" i="107"/>
  <c r="J56" i="97"/>
  <c r="J55" s="1"/>
  <c r="F137"/>
  <c r="J180"/>
  <c r="P167"/>
  <c r="P166" s="1"/>
  <c r="J166"/>
  <c r="P104"/>
  <c r="P103" s="1"/>
  <c r="P63"/>
  <c r="P63" i="120" s="1"/>
  <c r="K115" i="97"/>
  <c r="K189"/>
  <c r="P174"/>
  <c r="J173"/>
  <c r="D101" i="105"/>
  <c r="C10"/>
  <c r="E26" i="97"/>
  <c r="J56" i="120" l="1"/>
  <c r="J55" s="1"/>
  <c r="P93" i="97"/>
  <c r="P93" i="120" s="1"/>
  <c r="H87" i="104"/>
  <c r="I87" s="1"/>
  <c r="G50"/>
  <c r="G49" s="1"/>
  <c r="I83"/>
  <c r="P173" i="97"/>
  <c r="G18" i="116"/>
  <c r="N192" i="120"/>
  <c r="J116"/>
  <c r="J115" s="1"/>
  <c r="E192"/>
  <c r="E55"/>
  <c r="E103"/>
  <c r="P104"/>
  <c r="P103" s="1"/>
  <c r="E115"/>
  <c r="H99" i="104"/>
  <c r="I99" s="1"/>
  <c r="H22"/>
  <c r="H21" s="1"/>
  <c r="I21" s="1"/>
  <c r="K11"/>
  <c r="P23" i="120"/>
  <c r="J12"/>
  <c r="P13"/>
  <c r="P12" s="1"/>
  <c r="P27"/>
  <c r="P26" s="1"/>
  <c r="J26"/>
  <c r="H42" i="104"/>
  <c r="H41" s="1"/>
  <c r="I41" s="1"/>
  <c r="I100"/>
  <c r="I104"/>
  <c r="I84"/>
  <c r="G113"/>
  <c r="H176"/>
  <c r="I177"/>
  <c r="I176" s="1"/>
  <c r="J176" s="1"/>
  <c r="H137"/>
  <c r="I137"/>
  <c r="P41" i="97"/>
  <c r="P40" s="1"/>
  <c r="P126"/>
  <c r="P126" i="120" s="1"/>
  <c r="I125" i="104"/>
  <c r="H124"/>
  <c r="I124" s="1"/>
  <c r="K212" i="98"/>
  <c r="P128" i="97"/>
  <c r="P128" i="120" s="1"/>
  <c r="N189" i="97"/>
  <c r="J116"/>
  <c r="J115" s="1"/>
  <c r="P13"/>
  <c r="P12" s="1"/>
  <c r="I129" i="104"/>
  <c r="P27" i="97"/>
  <c r="P26" s="1"/>
  <c r="I9" i="104"/>
  <c r="I101"/>
  <c r="I57"/>
  <c r="H126"/>
  <c r="I127"/>
  <c r="I80"/>
  <c r="I14" i="107"/>
  <c r="E137" i="97"/>
  <c r="P138"/>
  <c r="J156"/>
  <c r="P157"/>
  <c r="P156" s="1"/>
  <c r="C101" i="105"/>
  <c r="C81"/>
  <c r="E55" i="97"/>
  <c r="P56"/>
  <c r="P55" s="1"/>
  <c r="P56" i="120" l="1"/>
  <c r="P55" s="1"/>
  <c r="H50" i="104"/>
  <c r="I50" s="1"/>
  <c r="J192" i="120"/>
  <c r="P116"/>
  <c r="P115" s="1"/>
  <c r="I42" i="104"/>
  <c r="I22"/>
  <c r="H114"/>
  <c r="P201" i="97"/>
  <c r="P191" i="119"/>
  <c r="P192" s="1"/>
  <c r="P193" s="1"/>
  <c r="G187" i="104"/>
  <c r="P116" i="97"/>
  <c r="P115" s="1"/>
  <c r="J189"/>
  <c r="H5" i="104"/>
  <c r="I5" s="1"/>
  <c r="I6"/>
  <c r="P137" i="97"/>
  <c r="H98" i="104"/>
  <c r="I98" s="1"/>
  <c r="I126"/>
  <c r="H49" l="1"/>
  <c r="I49" s="1"/>
  <c r="P192" i="120"/>
  <c r="H113" i="104"/>
  <c r="I113" s="1"/>
  <c r="I114"/>
  <c r="H187" l="1"/>
  <c r="I187" s="1"/>
  <c r="E164" i="97"/>
  <c r="F164" l="1"/>
  <c r="P164"/>
  <c r="E163"/>
  <c r="P165"/>
  <c r="P166" i="120" s="1"/>
  <c r="P163" i="97" l="1"/>
  <c r="F163"/>
  <c r="F180" l="1"/>
  <c r="F189"/>
  <c r="E189"/>
  <c r="E180"/>
  <c r="P181"/>
  <c r="P180" s="1"/>
  <c r="P189"/>
  <c r="F199" l="1"/>
  <c r="P197"/>
  <c r="E199"/>
  <c r="P202"/>
  <c r="P203" s="1"/>
</calcChain>
</file>

<file path=xl/sharedStrings.xml><?xml version="1.0" encoding="utf-8"?>
<sst xmlns="http://schemas.openxmlformats.org/spreadsheetml/2006/main" count="4996" uniqueCount="960">
  <si>
    <t>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</si>
  <si>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</si>
  <si>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</si>
  <si>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</si>
  <si>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</si>
  <si>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</si>
  <si>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Департамент освіти та науки  Хмельницької міської ради (головний розпорядник)</t>
  </si>
  <si>
    <t>Всього</t>
  </si>
  <si>
    <t>Всього видатків</t>
  </si>
  <si>
    <t>1</t>
  </si>
  <si>
    <t>2</t>
  </si>
  <si>
    <t>Проведення навчально-тренувальних зборів і змагань з неолімпійських видів спорту</t>
  </si>
  <si>
    <t>4</t>
  </si>
  <si>
    <t>Програма впровадження електронного урядування у Хмельницькій  міській раді на 2015-2020 роки</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</si>
  <si>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</si>
  <si>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</si>
  <si>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</si>
  <si>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</si>
  <si>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</si>
  <si>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</si>
  <si>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</si>
  <si>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</si>
  <si>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</si>
  <si>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</si>
  <si>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</si>
  <si>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</si>
  <si>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</si>
  <si>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</si>
  <si>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</si>
  <si>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 xml:space="preserve"> Програма “Громадські ініціативи” м.Хмельницького на 2016-2020 роки</t>
  </si>
  <si>
    <t>Програма охорони довкілля міста Хмельницького на 2016-2020 роки</t>
  </si>
  <si>
    <t>Компенсаційні виплати на пільговий проїзд електротранспортом окремим категоріям громадян</t>
  </si>
  <si>
    <t>бюджет розвитку</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</si>
  <si>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</si>
  <si>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</si>
  <si>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</si>
  <si>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</si>
  <si>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</si>
  <si>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Програма міжнародного співробітництва та промоції міста Хмельницького на 2016-2020 роки</t>
  </si>
  <si>
    <t>3</t>
  </si>
  <si>
    <t>комунальні послуги та енергоносії</t>
  </si>
  <si>
    <t>Код програмної класифікації видатків та кредитування місцевих бюджетів</t>
  </si>
  <si>
    <t>Код ТПКВКМБ</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</si>
  <si>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</si>
  <si>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</si>
  <si>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Назва головного розпорядника, відповідального виконавця, бюджетної програми або напрямку видатків згідно з типовою відомчою/ТПКВКМБ</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</si>
  <si>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</si>
  <si>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</si>
  <si>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</si>
  <si>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</si>
  <si>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Соціальний захист ветеранів війни та праці</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</si>
  <si>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</si>
  <si>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</si>
  <si>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</si>
  <si>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Управління охорони здоров'я Хмельницької міської ради (відповідальний розпорядник)</t>
  </si>
  <si>
    <t>Багатопрофільна стаціонарна медична допомога населенню</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</si>
  <si>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</si>
  <si>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</si>
  <si>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</si>
  <si>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</si>
  <si>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</si>
  <si>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Код ТПКВКМБ /
ТКВКБМС</t>
  </si>
  <si>
    <t>Разом загальний та спеціальний фонди</t>
  </si>
  <si>
    <t>Найменування місцевої (регіональної) програми</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</si>
  <si>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</si>
  <si>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</si>
  <si>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</si>
  <si>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</si>
  <si>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</si>
  <si>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</si>
  <si>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</si>
  <si>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</si>
  <si>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</si>
  <si>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</si>
  <si>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 xml:space="preserve">Управління з питань екології та контролю за благоустроєм міста (відповідальний розпорядник) </t>
  </si>
  <si>
    <t>Фінансове управління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</si>
  <si>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</si>
  <si>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Програма підтримки обдарованих дітей міста</t>
  </si>
  <si>
    <t>Реалізація державної політики у молодіжній сфері</t>
  </si>
  <si>
    <t>1115031</t>
  </si>
  <si>
    <t>1115030</t>
  </si>
  <si>
    <t>Розвиток дитячо-юнацького та резервного спорту</t>
  </si>
  <si>
    <t>1115032</t>
  </si>
  <si>
    <t>Інші заходи з розвитку фізичної культури та спорту</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</si>
  <si>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</si>
  <si>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</si>
  <si>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</si>
  <si>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</si>
  <si>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Інженерно-геодезичні вишукування та проекти планування  територій</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</si>
  <si>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</si>
  <si>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</si>
  <si>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</si>
  <si>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</si>
  <si>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</si>
  <si>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</si>
  <si>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</si>
  <si>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</si>
  <si>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</si>
  <si>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</si>
  <si>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</si>
  <si>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</si>
  <si>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</si>
  <si>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</si>
  <si>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</si>
  <si>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</si>
  <si>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</si>
  <si>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</si>
  <si>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</si>
  <si>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1113130</t>
  </si>
  <si>
    <t>Здійснення соціальної роботи з вразливими категоріями населення</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</si>
  <si>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</si>
  <si>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</si>
  <si>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</si>
  <si>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</si>
  <si>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</si>
  <si>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1115020</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</si>
  <si>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</si>
  <si>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</si>
  <si>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</si>
  <si>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1115060</t>
  </si>
  <si>
    <t>1060</t>
  </si>
  <si>
    <t>Всього, в т.ч.:</t>
  </si>
  <si>
    <t>0511</t>
  </si>
  <si>
    <t>Охорона та раціональне використання природних ресурсів</t>
  </si>
  <si>
    <t>0512</t>
  </si>
  <si>
    <t>0540</t>
  </si>
  <si>
    <t>0520</t>
  </si>
  <si>
    <t>Спеціальний фонд</t>
  </si>
  <si>
    <t>видатки споживання</t>
  </si>
  <si>
    <t>оплата праці</t>
  </si>
  <si>
    <t>видатки розвитку</t>
  </si>
  <si>
    <t>Розподіл</t>
  </si>
  <si>
    <t>Додаток №3</t>
  </si>
  <si>
    <t>Збереження природно-заповідного фонду</t>
  </si>
  <si>
    <t>Назва об’єктів відповідно  до проектно- кошторисної документації тощо</t>
  </si>
  <si>
    <t xml:space="preserve">Загальний обсяг фінансування будівництва </t>
  </si>
  <si>
    <t>Капітальні видатки</t>
  </si>
  <si>
    <t>грн.</t>
  </si>
  <si>
    <t xml:space="preserve">Реконструкція покрівель житлових будинків </t>
  </si>
  <si>
    <t>Програма діяльності газети "Проскурів" у період реформування державних і комунальних засобів масової інформації на 2017-2018 роки</t>
  </si>
  <si>
    <t>Програма розвитку освіти міста Хмельницького на 2017-2021 роки</t>
  </si>
  <si>
    <t>Програма «Здоров’я хмельничан» на 2017-2021 роки</t>
  </si>
  <si>
    <t>Комплексна програма «Піклування» в м.Хмельницькому на 2017 - 2021 роки</t>
  </si>
  <si>
    <t>Комплексна  програма «Піклування» в м.Хмельницькому на 2017 - 2021 роки</t>
  </si>
  <si>
    <t>Комплексна програма «Піклування» в м Хмельницькому на 2017 - 2021 роки</t>
  </si>
  <si>
    <t>Виготовлення проектно-кошторисної документації на будівництво дороги від вул. Степана Бандери до вулиці Західно-Окружної в м. Хмельницькому</t>
  </si>
  <si>
    <t>Програма реалізації молодіжної політики та розвитку фізичної культури і спорту у м.Хмельницькому на 2017 - 2021 роки</t>
  </si>
  <si>
    <t>Додаток 1</t>
  </si>
  <si>
    <t>( грн.)</t>
  </si>
  <si>
    <t>Код</t>
  </si>
  <si>
    <t>Найменування згідно
 з класифікацією доходів бюджету</t>
  </si>
  <si>
    <t>в т.ч. бюджет розвитку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</si>
  <si>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</si>
  <si>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</si>
  <si>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</si>
  <si>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</si>
  <si>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</si>
  <si>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</si>
  <si>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</si>
  <si>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</si>
  <si>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</si>
  <si>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</si>
  <si>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</si>
  <si>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</si>
  <si>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</si>
  <si>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</si>
  <si>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</si>
  <si>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</si>
  <si>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</si>
  <si>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</si>
  <si>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</si>
  <si>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</si>
  <si>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</si>
  <si>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</si>
  <si>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</si>
  <si>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</si>
  <si>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</si>
  <si>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</si>
  <si>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</si>
  <si>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</si>
  <si>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</si>
  <si>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</si>
  <si>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</si>
  <si>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</si>
  <si>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</si>
  <si>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</si>
  <si>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</si>
  <si>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</si>
  <si>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</si>
  <si>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</si>
  <si>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</si>
  <si>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</si>
  <si>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</si>
  <si>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</si>
  <si>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</si>
  <si>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</si>
  <si>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</si>
  <si>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</si>
  <si>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</si>
  <si>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</si>
  <si>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</si>
  <si>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</si>
  <si>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</si>
  <si>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</si>
  <si>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</si>
  <si>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</si>
  <si>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</si>
  <si>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</si>
  <si>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</si>
  <si>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</si>
  <si>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</si>
  <si>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</si>
  <si>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</si>
  <si>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</si>
  <si>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</si>
  <si>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</si>
  <si>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</si>
  <si>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</si>
  <si>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Разом доходів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</si>
  <si>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</si>
  <si>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</si>
  <si>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</si>
  <si>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</si>
  <si>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</si>
  <si>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</si>
  <si>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</si>
  <si>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</si>
  <si>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</si>
  <si>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</si>
  <si>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</si>
  <si>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</si>
  <si>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</si>
  <si>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Назва</t>
  </si>
  <si>
    <t>У т.ч. бюджет розвитку</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</si>
  <si>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</si>
  <si>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</si>
  <si>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</si>
  <si>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</si>
  <si>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</si>
  <si>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</si>
  <si>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</si>
  <si>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</si>
  <si>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</si>
  <si>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</si>
  <si>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</si>
  <si>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</si>
  <si>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 xml:space="preserve">Начальник фінансового управління                                             С. Ямчук </t>
  </si>
  <si>
    <r>
      <t>Код програмної класифікації видатків та кредитування місцевих бюджетів</t>
    </r>
    <r>
      <rPr>
        <vertAlign val="superscript"/>
        <sz val="8"/>
        <rFont val="Times New Roman"/>
        <family val="1"/>
        <charset val="204"/>
      </rPr>
      <t>1</t>
    </r>
  </si>
  <si>
    <t>Надання кредитів</t>
  </si>
  <si>
    <t>Повернення кредитів</t>
  </si>
  <si>
    <t>Кредитування-всього</t>
  </si>
  <si>
    <t xml:space="preserve">з них </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</si>
  <si>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</si>
  <si>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</si>
  <si>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</si>
  <si>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</si>
  <si>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</si>
  <si>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</si>
  <si>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</si>
  <si>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</si>
  <si>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</si>
  <si>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</si>
  <si>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</si>
  <si>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</si>
  <si>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</si>
  <si>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</si>
  <si>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</si>
  <si>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</si>
  <si>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</si>
  <si>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</si>
  <si>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</si>
  <si>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</si>
  <si>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</si>
  <si>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</si>
  <si>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</si>
  <si>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</si>
  <si>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</si>
  <si>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 Хмельницькому </t>
  </si>
  <si>
    <t>3.2.5.</t>
  </si>
  <si>
    <t>Оформлення передплати на газету міської ради «Проскурів» організаціям інвалідів, ветеранів війни і праці, окремим категоріям громадян</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</si>
  <si>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</si>
  <si>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</si>
  <si>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</si>
  <si>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</si>
  <si>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</si>
  <si>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</si>
  <si>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</si>
  <si>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</si>
  <si>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</si>
  <si>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</si>
  <si>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</si>
  <si>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</si>
  <si>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</si>
  <si>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</si>
  <si>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</si>
  <si>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</si>
  <si>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</si>
  <si>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Начальник фінансового управління                                                                                                                                                          С. Ямчук</t>
  </si>
  <si>
    <t>Начальник фінансового управління                                                                                                                                                           С. Ямчук</t>
  </si>
  <si>
    <t xml:space="preserve"> </t>
  </si>
  <si>
    <t xml:space="preserve">до рішення   №        від    </t>
  </si>
  <si>
    <t>Внески до статутного капіталу КП "Хмельницькбудзамовник" (Придбання основних засобів)</t>
  </si>
  <si>
    <t>Реконструкція існуючих та добудова гурткових приміщень Хмельницького міського будинку культури по вул.Проскурівській, 43 в м.Хмельницькому</t>
  </si>
  <si>
    <t>Програма фінансової підтримки комунальної установи Хмельницької міської ради "Агенція розвитку міста" на 2017-2018 роки</t>
  </si>
  <si>
    <t>Програма розвитку підприємництва м.Хмельницького на 2017-2018 роки</t>
  </si>
  <si>
    <t xml:space="preserve">Будівництво центру поводження з тваринами  КП “Надія” по вул. Заводській, 165 в м. Хмельницькому </t>
  </si>
  <si>
    <t>Доходи  бюджету м. Хмельницького на 2018 рік</t>
  </si>
  <si>
    <t>Адміністративний збір з проведення державної реєстрації юридичних осіб, фізичних осіб - підприємців та громадських формувань</t>
  </si>
  <si>
    <t>на 2018 рік</t>
  </si>
  <si>
    <t>2018 р.</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</si>
  <si>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</si>
  <si>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</si>
  <si>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</si>
  <si>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</si>
  <si>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</si>
  <si>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</si>
  <si>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</si>
  <si>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</si>
  <si>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</si>
  <si>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</si>
  <si>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</si>
  <si>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</si>
  <si>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</si>
  <si>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</si>
  <si>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</si>
  <si>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</si>
  <si>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</si>
  <si>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</si>
  <si>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</si>
  <si>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</si>
  <si>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</si>
  <si>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</si>
  <si>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</si>
  <si>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Повернення кредитів (позик)</t>
  </si>
  <si>
    <t>0490</t>
  </si>
  <si>
    <t>1014010</t>
  </si>
  <si>
    <t>4010</t>
  </si>
  <si>
    <t>4060</t>
  </si>
  <si>
    <t>3130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</si>
  <si>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</si>
  <si>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</si>
  <si>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</si>
  <si>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</si>
  <si>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</si>
  <si>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</si>
  <si>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</si>
  <si>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</si>
  <si>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</si>
  <si>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</si>
  <si>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</si>
  <si>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</si>
  <si>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</si>
  <si>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</si>
  <si>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</si>
  <si>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</si>
  <si>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Інші заклади та заходи в галузі культури і мистецтва</t>
  </si>
  <si>
    <t>1014080</t>
  </si>
  <si>
    <t>4080</t>
  </si>
  <si>
    <t>0829</t>
  </si>
  <si>
    <t>1113120</t>
  </si>
  <si>
    <t>3120</t>
  </si>
  <si>
    <t>1113121</t>
  </si>
  <si>
    <t>3121</t>
  </si>
  <si>
    <t>1040</t>
  </si>
  <si>
    <t>Утримання та забезпечення діяльності центрів соціальних служб для сім’ї, дітей та молоді</t>
  </si>
  <si>
    <t>5010</t>
  </si>
  <si>
    <t>5011</t>
  </si>
  <si>
    <t>5012</t>
  </si>
  <si>
    <t>5020</t>
  </si>
  <si>
    <t>5022</t>
  </si>
  <si>
    <t>1113132</t>
  </si>
  <si>
    <t>3132</t>
  </si>
  <si>
    <t>3230</t>
  </si>
  <si>
    <t>1090</t>
  </si>
  <si>
    <t>Інші заклади та заходи</t>
  </si>
  <si>
    <t>5030</t>
  </si>
  <si>
    <t>5031</t>
  </si>
  <si>
    <t>5032</t>
  </si>
  <si>
    <t>5060</t>
  </si>
  <si>
    <t>5061</t>
  </si>
  <si>
    <t>0810</t>
  </si>
  <si>
    <t>5063</t>
  </si>
  <si>
    <t>1117670</t>
  </si>
  <si>
    <t>7670</t>
  </si>
  <si>
    <t>Надання кредиту</t>
  </si>
  <si>
    <t>Повернення кредиту</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</si>
  <si>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</si>
  <si>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</si>
  <si>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</si>
  <si>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</si>
  <si>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</si>
  <si>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</si>
  <si>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</si>
  <si>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</si>
  <si>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0611030</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</si>
  <si>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</si>
  <si>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</si>
  <si>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</si>
  <si>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</si>
  <si>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</si>
  <si>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</si>
  <si>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</si>
  <si>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</si>
  <si>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</si>
  <si>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</si>
  <si>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</si>
  <si>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</si>
  <si>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</si>
  <si>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Інші програми, заклади та заходи у сфері освіти</t>
  </si>
  <si>
    <t>0611160</t>
  </si>
  <si>
    <t>1160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</si>
  <si>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</si>
  <si>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</si>
  <si>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</si>
  <si>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</si>
  <si>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</si>
  <si>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</si>
  <si>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</si>
  <si>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</si>
  <si>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</si>
  <si>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</si>
  <si>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</si>
  <si>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</si>
  <si>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</si>
  <si>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</si>
  <si>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</si>
  <si>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</si>
  <si>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</si>
  <si>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0712110</t>
  </si>
  <si>
    <t>2110</t>
  </si>
  <si>
    <t>0712111</t>
  </si>
  <si>
    <t>2111</t>
  </si>
  <si>
    <t>Первинна медична допомога населенню, що надається центрами первинної медичної (медико-санітарної) допомоги</t>
  </si>
  <si>
    <t>0712150</t>
  </si>
  <si>
    <t>2150</t>
  </si>
  <si>
    <t>0763</t>
  </si>
  <si>
    <t>Інші  програми, заклади та заходи у сфері охорони здоров’я</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</si>
  <si>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</si>
  <si>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</si>
  <si>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</si>
  <si>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</si>
  <si>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</si>
  <si>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0210160</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</si>
  <si>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</si>
  <si>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</si>
  <si>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</si>
  <si>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</si>
  <si>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</si>
  <si>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</si>
  <si>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</si>
  <si>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</si>
  <si>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</si>
  <si>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</si>
  <si>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</si>
  <si>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</si>
  <si>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</si>
  <si>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</si>
  <si>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Інша економічна діяльність</t>
  </si>
  <si>
    <t>0217690</t>
  </si>
  <si>
    <t>7690</t>
  </si>
  <si>
    <t>Надання пільг на оплату житлово-комунальних послуг окремим категоріям громадян відповідно до законодавства</t>
  </si>
  <si>
    <t>0813010</t>
  </si>
  <si>
    <t>3010</t>
  </si>
  <si>
    <t>0813011</t>
  </si>
  <si>
    <t>3011</t>
  </si>
  <si>
    <t>0813040</t>
  </si>
  <si>
    <t>3040</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</si>
  <si>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</si>
  <si>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</si>
  <si>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</si>
  <si>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</si>
  <si>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</si>
  <si>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</si>
  <si>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</si>
  <si>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</si>
  <si>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</si>
  <si>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</si>
  <si>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</si>
  <si>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</si>
  <si>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</si>
  <si>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</si>
  <si>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</si>
  <si>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</si>
  <si>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3080</t>
  </si>
  <si>
    <t>3090</t>
  </si>
  <si>
    <t>0813080</t>
  </si>
  <si>
    <t>0813012</t>
  </si>
  <si>
    <t>3012</t>
  </si>
  <si>
    <t>0813020</t>
  </si>
  <si>
    <t>3020</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</si>
  <si>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</si>
  <si>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</si>
  <si>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</si>
  <si>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</si>
  <si>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</si>
  <si>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</si>
  <si>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</si>
  <si>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</si>
  <si>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</si>
  <si>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</si>
  <si>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</si>
  <si>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</si>
  <si>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</si>
  <si>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</si>
  <si>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</si>
  <si>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2717690</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</si>
  <si>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</si>
  <si>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</si>
  <si>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</si>
  <si>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</si>
  <si>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</si>
  <si>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</si>
  <si>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</si>
  <si>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</si>
  <si>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</si>
  <si>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</si>
  <si>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Надання реабілітаційних послуг інвалідам та дітям-інвалідам</t>
  </si>
  <si>
    <t>0813100</t>
  </si>
  <si>
    <t>3100</t>
  </si>
  <si>
    <t>3104</t>
  </si>
  <si>
    <t>3105</t>
  </si>
  <si>
    <t>0813104</t>
  </si>
  <si>
    <t>0813105</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</si>
  <si>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</si>
  <si>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0813030</t>
  </si>
  <si>
    <t>3030</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</si>
  <si>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</si>
  <si>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</si>
  <si>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</si>
  <si>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</si>
  <si>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</si>
  <si>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</si>
  <si>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</si>
  <si>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</si>
  <si>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</si>
  <si>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</si>
  <si>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</si>
  <si>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НЕФКО</t>
  </si>
  <si>
    <t>1216010</t>
  </si>
  <si>
    <t>6010</t>
  </si>
  <si>
    <t>1216011</t>
  </si>
  <si>
    <t>6011</t>
  </si>
  <si>
    <t>Утримання та ефективна експлуатація об’єктів житлово-комунального господарства</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</si>
  <si>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</si>
  <si>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</si>
  <si>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</si>
  <si>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</si>
  <si>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</si>
  <si>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</si>
  <si>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</si>
  <si>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</si>
  <si>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</si>
  <si>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</si>
  <si>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</si>
  <si>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</si>
  <si>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1217420</t>
  </si>
  <si>
    <t>7420</t>
  </si>
  <si>
    <t>7426</t>
  </si>
  <si>
    <t>Забезпечення надання послуг з перевезення пасажирів електротранспортом</t>
  </si>
  <si>
    <t>Інші заходи у сфері електротранспорту</t>
  </si>
  <si>
    <t>0453</t>
  </si>
  <si>
    <t>1217460</t>
  </si>
  <si>
    <t>7460</t>
  </si>
  <si>
    <t>Утримання та розвиток автомобільних доріг та дорожньої інфраструктури</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</si>
  <si>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</si>
  <si>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</si>
  <si>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</si>
  <si>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</si>
  <si>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</si>
  <si>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</si>
  <si>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</si>
  <si>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Програма розвитку міського комунального підприємства "Муніципальна телерадіокомпанія "Місто"" на 2018-2020 роки</t>
  </si>
  <si>
    <t>ВСЬОГО ДОХОДІВ</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</si>
  <si>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</si>
  <si>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</si>
  <si>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</si>
  <si>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</si>
  <si>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</si>
  <si>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</si>
  <si>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</si>
  <si>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</si>
  <si>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</si>
  <si>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</si>
  <si>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</si>
  <si>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</si>
  <si>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</si>
  <si>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</si>
  <si>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</si>
  <si>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</si>
  <si>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</si>
  <si>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</si>
  <si>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</si>
  <si>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</si>
  <si>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</si>
  <si>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</si>
  <si>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2818310</t>
  </si>
  <si>
    <t>8310</t>
  </si>
  <si>
    <t>Запобігання та ліквідація забруднення навколишнього природного середовища</t>
  </si>
  <si>
    <t>2818311</t>
  </si>
  <si>
    <t>8311</t>
  </si>
  <si>
    <t>2818312</t>
  </si>
  <si>
    <t>8312</t>
  </si>
  <si>
    <t>Утилізація відходів</t>
  </si>
  <si>
    <t>2818320</t>
  </si>
  <si>
    <t>8320</t>
  </si>
  <si>
    <t>2818330</t>
  </si>
  <si>
    <t>8330</t>
  </si>
  <si>
    <t xml:space="preserve">Інша діяльність у сфері екології та охорони природних ресурсів </t>
  </si>
  <si>
    <t>Програма економічного та соціального розвитку міста Хмельницького на 2018 рік</t>
  </si>
  <si>
    <r>
      <t>Будівництвоˈ об'єктів житлово-комунального господарства</t>
    </r>
    <r>
      <rPr>
        <sz val="11"/>
        <rFont val="Calibri"/>
        <family val="2"/>
        <charset val="204"/>
      </rPr>
      <t>ˈ</t>
    </r>
  </si>
  <si>
    <t>Будівництвоˈ об'єктів соціально-культурного призначення</t>
  </si>
  <si>
    <t>1517320</t>
  </si>
  <si>
    <t>7320</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</si>
  <si>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</si>
  <si>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</si>
  <si>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</si>
  <si>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</si>
  <si>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</si>
  <si>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</si>
  <si>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</si>
  <si>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</si>
  <si>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</si>
  <si>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1517670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</si>
  <si>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</si>
  <si>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</si>
  <si>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</si>
  <si>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</si>
  <si>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</si>
  <si>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навколишнього природного середовища у 2018 році</t>
  </si>
  <si>
    <t>№ п/п</t>
  </si>
  <si>
    <t>Код КПКВ</t>
  </si>
  <si>
    <t>Заходи, на які виділяються кошти</t>
  </si>
  <si>
    <t>Сума, грн.</t>
  </si>
  <si>
    <t>Наукові дослідження, проектні та проектно-конструкторські розроблення, проведення спеціальних заходів, спрямованих на запобігання знищенню чи покращенню природних комплексів територій та об‘єктів природно-заповідного фонду (розробка схеми екологічної мережі міста Хмельницького)</t>
  </si>
  <si>
    <r>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42"/>
        <rFont val="Times New Roman"/>
        <family val="1"/>
        <charset val="204"/>
      </rPr>
      <t xml:space="preserve"> </t>
    </r>
    <r>
      <rPr>
        <sz val="12"/>
        <color indexed="8"/>
        <rFont val="Times New Roman"/>
        <family val="1"/>
        <charset val="204"/>
      </rPr>
      <t>тощо</t>
    </r>
  </si>
  <si>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</si>
  <si>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</si>
  <si>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</si>
  <si>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</si>
  <si>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</si>
  <si>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</si>
  <si>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Внески до статутного капіталу ХКП "Спецкомунтранс" (придбання дозиметричного обладнання )</t>
  </si>
  <si>
    <t>Внески до статутного капіталу ХКП "Спецкомунтранс" (придбання та встановлення мобільної туалетної кабінки)</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</si>
  <si>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</si>
  <si>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</si>
  <si>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</si>
  <si>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</si>
  <si>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Внески до статутного капіталу МКП "Хмельницькводоканал" (придбання насосного обладнання)</t>
  </si>
  <si>
    <t>Реконструкція каналізаційно-насосної станції з мережами водопроводу та каналізації в мікрорайоні "Лезнево"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</si>
  <si>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t>
  </si>
  <si>
    <t>Програма утримання та розвитку житлово-комунального господарства м.Хмельницького на 2017-2020 роки.</t>
  </si>
  <si>
    <t xml:space="preserve">Програма розвитку міського електротранспорту м. Хмельницького на 2016-2020 роки. </t>
  </si>
  <si>
    <t>Повернення кредитів до міського бюджету  та розподіл надання кредитів 
з міського бюджету  в  2018 році</t>
  </si>
  <si>
    <t>видатків бюджету міста Хмельницького на 2018 рік</t>
  </si>
  <si>
    <t>Перелік об’єктів, видатки на які у 2018  році будуть проводитися за рахунок коштів бюджету розвитку</t>
  </si>
  <si>
    <t xml:space="preserve">Перелік місцевих програм, які фінансуватимуться за рахунок коштів
бюджету міста Хмельницького  у 2018 році
</t>
  </si>
  <si>
    <t>Будівництво локальних очисних споруд зливових стоків та покращення стану існуючої дощової каналізації міста (експертиза проекту "Будівництво колектора на витоках зливової каналізації від вул.Кам‘янецької до вул. Свободи в районі вул.Прибузької")</t>
  </si>
  <si>
    <t>Роботи, пов’язані зі збором, перевезенням, зберіганням та передачею для подальшої утилізації небезпечних відходів які утворюються в побуті  (відпрацьовані енергозберігаючі лампи, термометри, батарейки тощо)</t>
  </si>
  <si>
    <t>0217670</t>
  </si>
  <si>
    <t>Внески до статутного капіталу МКП "Хмельницькводоканал" (технічне переоснащення ГКНС по вул.Трудовій,6 м.Хмельницький з улаштуванням енергозберігаючого насосного агрегату з частотним перетворювачем та системою автоматизації)</t>
  </si>
  <si>
    <t>Програма бюджетування за участі громадськості (Бюджет участі) міста Хмельницького на 2017-2019 роки</t>
  </si>
  <si>
    <t xml:space="preserve">Реконструкція з добудовою їдальні до існуючого приміщення СЗОШ І-ІІІ ступенів №8 за адресою вул.Якова Гальчевського, 34 в м.Хмельницькому </t>
  </si>
  <si>
    <t xml:space="preserve"> Реконструкція з добудовою приміщень Хмельницького ліцею №17 під спортивну залу на вул.Героїв Майдану, 5 в м.Хмельницькому ( в т.ч. виготовлення проектно-кошторисної документації)</t>
  </si>
  <si>
    <t>Наукові дослідження, проектні та проектно-конструкторські розроблення (виготовлення проектів землеустрою щодо відведення земельних ділянок під парки, сквери, зелені зони)</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</si>
  <si>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</si>
  <si>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</si>
  <si>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</si>
  <si>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</si>
  <si>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</si>
  <si>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</si>
  <si>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</si>
  <si>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</si>
  <si>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</si>
  <si>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</si>
  <si>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</si>
  <si>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</si>
  <si>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</si>
  <si>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</si>
  <si>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</si>
  <si>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</si>
  <si>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</si>
  <si>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</si>
  <si>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</si>
  <si>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</si>
  <si>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</si>
  <si>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</si>
  <si>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0813171</t>
  </si>
  <si>
    <t>3171</t>
  </si>
  <si>
    <t>0813172</t>
  </si>
  <si>
    <t>3172</t>
  </si>
  <si>
    <t>0813190</t>
  </si>
  <si>
    <t>3190</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</si>
  <si>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</si>
  <si>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</si>
  <si>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</si>
  <si>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</si>
  <si>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</si>
  <si>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</si>
  <si>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0813240</t>
  </si>
  <si>
    <t>3240</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</si>
  <si>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</si>
  <si>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</si>
  <si>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</si>
  <si>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</si>
  <si>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</si>
  <si>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</si>
  <si>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</si>
  <si>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</si>
  <si>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</si>
  <si>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</si>
  <si>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</si>
  <si>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</si>
  <si>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</si>
  <si>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</si>
  <si>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</si>
  <si>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</si>
  <si>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</si>
  <si>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Заходи із запобігання та ліквідації надзвичайних ситуацій та наслідків стихійного лиха</t>
  </si>
  <si>
    <t>1116080</t>
  </si>
  <si>
    <t xml:space="preserve">Реалізація державних та місцевих житлових програм </t>
  </si>
  <si>
    <t>6080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</si>
  <si>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</si>
  <si>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</si>
  <si>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</si>
  <si>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</si>
  <si>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Джерела фінансування міського бюджету на 2018 рік </t>
  </si>
  <si>
    <t>Виготовлення ПКД на реконструкцію існуючої системи опалення ЗОШ №29 м.Хмельницького</t>
  </si>
  <si>
    <t>Будівництво міні-футбольного поля та двох баскетбольних майданчиків з тенісними кортами на території СКЦ "Плоскирів" по вул.Курчатова, 90 в м.Хмельницькому, в тому числі виготовлення проектно-кошторисної документації</t>
  </si>
  <si>
    <t>Реконструкція скидного колектора  та розчистка р. Плоскої з метою здійснення заходів щодо відновлення  і підтримання сприятливого гідрологічного  режиму та санітарного стану річки в м. Хмельницький</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</si>
  <si>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</si>
  <si>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</si>
  <si>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Програма енергоефективності, енергозбереження та термомодернізації багатоквартирних житлових будинків м.Хмельницького  на 2016-2020 роки. Програма енергоефективної  модернізації внутрішнього та зовнішнього освітлення м.Хмельницького на 2016 - 2018 роки.</t>
  </si>
  <si>
    <t>Внески до статутного капіталу МКП "Хмельницькінфоцентр" (встановлення камер відеоспостереження)</t>
  </si>
  <si>
    <t>Внески до статутного капіталу МКП "Хмельницькінфоцентр" (реконструкція волоконно-оптичної лінії зв’язку І та ІІ черги в м.Хмельницькому)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</si>
  <si>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</si>
  <si>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</si>
  <si>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 рішення  №        від         2017 року </t>
  </si>
  <si>
    <t>1217330</t>
  </si>
  <si>
    <t>Будівництво інших об"єктів соціальної та виробничої інфраструктури комунальної власності</t>
  </si>
  <si>
    <t>Будівництво очисних споруд для очищення зливових, дощових і талих вод в м. Хмельницькому від вул. Кам'янецької до вул. Трудової</t>
  </si>
  <si>
    <t>Будівництво інших об'єктів соціальної та виробничої інфраструктури комунальної власності</t>
  </si>
  <si>
    <t xml:space="preserve"> Програма економічного та соціального розвитку міста Хмельницького на 2018 рік</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</si>
  <si>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</si>
  <si>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</si>
  <si>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</si>
  <si>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0611170</t>
  </si>
  <si>
    <t>1170</t>
  </si>
  <si>
    <t>Надання допомоги дітям-сиротам та дітям, позбавленим батьківського піклування, яким виповнюється 18 років</t>
  </si>
  <si>
    <t>Амбулаторно-поліклінічна допомога населенню, крім первинної медичної допомоги</t>
  </si>
  <si>
    <t>Первинна медична допомога населенню</t>
  </si>
  <si>
    <t>0726</t>
  </si>
  <si>
    <t>Надання допомоги сім'ям з дітьми, малозабезпеченим сім’ям, тимчасової допомоги дітям</t>
  </si>
  <si>
    <t>0813083</t>
  </si>
  <si>
    <t>3083</t>
  </si>
  <si>
    <t>Надання державної соціальної допомоги особам з інвалідністю з дитинства та дітям з інвалідністю</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</si>
  <si>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t>
  </si>
  <si>
    <t xml:space="preserve">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</si>
  <si>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</si>
  <si>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</si>
  <si>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</si>
  <si>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</si>
  <si>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</si>
  <si>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</si>
  <si>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</si>
  <si>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</si>
  <si>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</si>
  <si>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</si>
  <si>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</si>
  <si>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</si>
  <si>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</si>
  <si>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</si>
  <si>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</si>
  <si>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</si>
  <si>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2717370</t>
  </si>
  <si>
    <t>7370</t>
  </si>
  <si>
    <t>Спортивний майданчик для міні-футболу зі штучним покриттям на території ЗОШ І-ІІІ ступенів №8 по вул. Я.Гальчевського, 34, м.Хмельницький - будівництво</t>
  </si>
  <si>
    <t>Спортивний майданчик для міні-футболу зі штучним покриттям по вул.Львівське шоссе, 47/4, м.Хмельницький - будівництво</t>
  </si>
  <si>
    <t>Будівництво на кладовищі надгробків на могилах загиблих учасників АТО</t>
  </si>
  <si>
    <t>Будівництво на кладовищі надгробка на могилі Шоханова А.Г.</t>
  </si>
  <si>
    <t>Будівництво на кладовищі надгробка на могилі Комарницького З.А.</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</si>
  <si>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</si>
  <si>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</si>
  <si>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</si>
  <si>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</si>
  <si>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</si>
  <si>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</si>
  <si>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</si>
  <si>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</si>
  <si>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</si>
  <si>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</si>
  <si>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</si>
  <si>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 xml:space="preserve">Разом коштів, отриманих з усіх джерел фінансування бюджету за типом кредитора </t>
  </si>
  <si>
    <t xml:space="preserve">Фінансування бюджету за типом кредитора </t>
  </si>
  <si>
    <t xml:space="preserve">Фінансування бюджету за типом боргового зобов"язання </t>
  </si>
  <si>
    <t>Зовнішні запозичення</t>
  </si>
  <si>
    <t xml:space="preserve">Середньострокові зобов"язання </t>
  </si>
  <si>
    <t xml:space="preserve">Погашення </t>
  </si>
  <si>
    <t>Зовнішні зобов"язання</t>
  </si>
  <si>
    <t xml:space="preserve">Субвенція з місцевого бюджету за рахунок залишку коштів освітньої субвенції, що утворився на початок бюджетного періоду </t>
  </si>
  <si>
    <t xml:space="preserve">Субвенція з місцевого бюджету на надання державної підтримки особам з особливими потребами за рахунок відповідної субвенції з державного бюджету </t>
  </si>
  <si>
    <t>0170</t>
  </si>
  <si>
    <t>Обслуговування місцевого боргу</t>
  </si>
  <si>
    <t>0712140</t>
  </si>
  <si>
    <t>2140</t>
  </si>
  <si>
    <t xml:space="preserve">Програми і централізовані заходи у галузі охорони здоров’я </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</si>
  <si>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</si>
  <si>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</si>
  <si>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</si>
  <si>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</si>
  <si>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</si>
  <si>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</si>
  <si>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Довгострокові кредити громадянам на будівництво / реконструкцію / придбання житла та їх повернення</t>
  </si>
  <si>
    <t>1118840</t>
  </si>
  <si>
    <t>8840</t>
  </si>
  <si>
    <t>1118841</t>
  </si>
  <si>
    <t>1118842</t>
  </si>
  <si>
    <t>8841</t>
  </si>
  <si>
    <t>8842</t>
  </si>
  <si>
    <t>0719770</t>
  </si>
  <si>
    <t>9770</t>
  </si>
  <si>
    <t>Інші субвенції з місцевого бюджету</t>
  </si>
  <si>
    <t>РІЗНИЦЯ</t>
  </si>
  <si>
    <t>Реставрація приміщення з надбудовою мансардного поверху Хмельницької дитячої музичної школи №1 ім. М. Мозгового (колишній кінотеатр "Модерн") по вул.Проскурівській, 18 в м.Хмельницькому</t>
  </si>
  <si>
    <t>Виготовлення проектно-кошторисної документації для реконструкції будинку молоді  "Проскурів" під Центр національно-патріотичного виховання дітей і молоді ім. Р.Шухевича на вул.Хотовицького, 2А в м. Хмельницькому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</si>
  <si>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</si>
  <si>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Топо-геодезичні вишукування площадки забудови та робочий проект на реконструкцію будівлі поліклініки Хмельницького міського лікувально-діагностичного центру під заклад паліативної медицини (ХОСПІС) за адресою: м.Хмельницький, вул.Б.Олійника, 191 (вул.Вокзальна)</t>
  </si>
  <si>
    <t>Реконструкція частини корпусу поліклініки Хмельницької міської дитячої лікарні під відділення стоматології по вул. Степана Разіна,1 в м.Хмельницькому</t>
  </si>
  <si>
    <t>Робочий проект  на реконструкцію вентиляційної системи Хмельницької міської поліклініки №4 по вул.Молодіжна, 9 в м.Хмельницькому</t>
  </si>
  <si>
    <t>Реконструкція вентиляційної системи Хмельницької міської поліклініки №4 по вул.Молодіжна, 9 в м.Хмельницькому</t>
  </si>
  <si>
    <t>Робочий проект з інженерними вишукуваннями на реконструкцію площадки для стоянки автомобілів Хмельницької міської поліклініки №4 по вул.Молодіжна, 9 в м.Хмельницькому</t>
  </si>
  <si>
    <t>Реконструкція площадки для стоянки автомобілів Хмельницької міської поліклініки №4 по вул.Молодіжна, 9 в м.Хмельницькому</t>
  </si>
  <si>
    <t>Програма створення та розвитку індустріального парку "Хмельницький"</t>
  </si>
  <si>
    <t>Розробка техніко-економічного обгрунтування на будівництво сміттєпереробного заводу</t>
  </si>
  <si>
    <t>Виготовлення робочого проекту на спорудження пам'ятника "Скіфський курган - історія наших предків" по вул.Проспект Миру, 102 в м.Хмельницькому</t>
  </si>
  <si>
    <t>Фінансова підтримка кінематографії</t>
  </si>
  <si>
    <t>1014070</t>
  </si>
  <si>
    <t>4070</t>
  </si>
  <si>
    <t>0823</t>
  </si>
  <si>
    <t>Внески до статутного капіталу суб'єктів господарювання</t>
  </si>
  <si>
    <t>1017670</t>
  </si>
  <si>
    <t>Програма підтримки книговидання місцевих авторів та популяризації української книги у м.Хмельницькому на 2018-2020 роки "Читай українською"</t>
  </si>
  <si>
    <t>Будівництво двох міні-футбольних майданчиків дитячо-юнацької спртивної школи №1 по вул.Спортивній, 17 в м.Хмельницькому (коригування)</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</si>
  <si>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</si>
  <si>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Проведення експертизи проектної документації на будівництво спортивних маданчиків для міні-футболу зі штучним покриттям</t>
  </si>
  <si>
    <t>0219800</t>
  </si>
  <si>
    <t>9800</t>
  </si>
  <si>
    <t>Субвенція з місцевого бюджету державному бюджету на виконання програм соціально-економічного розвитку регіонів</t>
  </si>
  <si>
    <t>Програма шефської допомоги військовим частинам Збройних Сил України,  Національної гвардії України, які розташовані на території м.Хмельницького на 2016-2017 роки</t>
  </si>
  <si>
    <t>Комплексна програма мобілізації зусиль Хмельницької міської ради та Державної податкової інспекції у м.Хмельницькому Головного управління Державної фіскальної служби у Хмельницькій області по забезпеченню надходжень до бюджетів усіх рівнів на 2016-2020 рр</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</si>
  <si>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2016-2020 роки</t>
  </si>
  <si>
    <t>Програма військово-патріотичного виховання мешканців міста Хмельницького на 2016-2020 роки</t>
  </si>
  <si>
    <t>Комплексна програма профілактики, попередження адміністративних правопорушень та покращення забезпечення громадського правопорядку для жителів міста Хмельницького на 2016-2020 роки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</si>
  <si>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</si>
  <si>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2017-2020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</si>
  <si>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м. Хмельницького на 2017-2018 роки</t>
  </si>
  <si>
    <t>0816080</t>
  </si>
  <si>
    <t>Реалізація державних та місцевих житлових програм</t>
  </si>
  <si>
    <t>6082</t>
  </si>
  <si>
    <t>Придбання житла для окремих категорій населення відповідно до законодавства</t>
  </si>
  <si>
    <t>0816082</t>
  </si>
  <si>
    <t>Програми соціальної підтримки учасників  АТО та членів їх сімей на 2018 – 2020рр.</t>
  </si>
  <si>
    <t>Програми соціальної підтримки учасників  АТО та членів їх сімей на 2018 – 2020 рр.</t>
  </si>
  <si>
    <t>Створення цифрових інженерно-топографічних планів масштабу 1:2000 з цифровою точністю 1:500 та створення 3D будівель міста</t>
  </si>
  <si>
    <t>Проведення експертизи містобудівної документації "Коригування (внесення змін) генерального плану м.Хмельницький"</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</si>
  <si>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</si>
  <si>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</si>
  <si>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</si>
  <si>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</si>
  <si>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</si>
  <si>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Реконструкція станції прийому рідких побутових відходів по вул.Трудовій, 6а</t>
  </si>
  <si>
    <t>Забезпечення екологічно безпечного збирання, переіезення, зберігання відходів (в тому числі улаштування покриття контейнерних майданчиків)</t>
  </si>
  <si>
    <t>Реконструкція і розширення приміщень, огорож і вольєрів для утримання тварин зоокуточку в парку ім.Чекмана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</si>
  <si>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</si>
  <si>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</si>
  <si>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</si>
  <si>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</si>
  <si>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недобудованого плавального басейну школи № 20 під дитячий дошкільний заклад на 6 груп по вул.Ричка, 1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</si>
  <si>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</si>
  <si>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 Будівництво (влаштування) двох футбольних полів та спортивного комплексу Хмельницької ДЮСШ №1 на вул. Зарічанській,11/5, в м. Хмельницькому, в т.ч. виготовлення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</si>
  <si>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</si>
  <si>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 xml:space="preserve">   Будівництво Льодового палацу  по вул.Прибузькій, 7/3А в м.Хмельницькому, в т.ч. виготовлення проектно-кошторисної документації</t>
  </si>
  <si>
    <t>Виготовлення проектно-кошторисної документації на будівництво дороги по вул. Мельникова (від вул. Зарічанської до вул. Трудової) в м. Хмельницькому</t>
  </si>
  <si>
    <t>Виготовлення проектно-кошторисної документації на будівництво автомобільних доріг в продовження вулиці Гагаріна та провулку Гагаріна в м. Хмельницькому</t>
  </si>
  <si>
    <t>Виготовлення проектно-кошторисної документації на будівництво дороги по вулиці Лісогринівецькій (від вул. С.Бандери до Старокостянтинівського шосе) в м. Хмельницькому</t>
  </si>
  <si>
    <t>Виготовлення проектно-кошторисної документації на будівництво каналізаційних мереж в мікрорайоні Озерна в м. Хмельницькому</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</si>
  <si>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</si>
  <si>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</si>
  <si>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комунального підприємства по будівництву, ремонту та експлуатації доріг (Придбання обладнання )</t>
  </si>
  <si>
    <t>Внески до статутного капіталу комунального підприємства по будівництву, ремонту та експлуатації доріг (Придбання підмітально-прибиральної машини )</t>
  </si>
  <si>
    <t>Внески до статутного капіталу ХКП "Міськсвітло" (Придбання обладнання та оснащення для святкового оформлення міста)</t>
  </si>
  <si>
    <t>Внески до статутного капіталу ХКП "Міськсвітло" (Придбання радіостанції автомобільної)</t>
  </si>
  <si>
    <t>Внески до статутного капіталу ХКП "Міськсвітло" (Придбання автокрану)</t>
  </si>
  <si>
    <t>Внески до статутного капіталу ХКП "Міськсвітло" (Придбання комплекту лінійного передавача з індукційними кліщами)</t>
  </si>
  <si>
    <t>Внески до статутного капіталу ХКП "Спецкомунтранс" (придбання контейнерів)</t>
  </si>
  <si>
    <t>Внески до статутного капіталу ХКП "Спецкомунтранс" (придбання вантажного фургону)</t>
  </si>
  <si>
    <t>Внески до статутного капіталу ХКП "Спецкомунтранс" (придбання легкового фургону)</t>
  </si>
  <si>
    <t>Внески до статутного капіталу СКП "Хмельницька міська ритуальна служба" (Придбання малогабаритної бурової установки )</t>
  </si>
  <si>
    <t>Внески до статутного капіталу КП "Парки і сквери міста Хмельницького" (Придбання контейнерів)</t>
  </si>
  <si>
    <t>Внески до статутного капіталу КП "Парки і сквери міста Хмельницького" (реконструкція гаража в парку ім.Чекмана по вул Парковій,1 в м.Хмельницькому)</t>
  </si>
  <si>
    <t>Внески до статутного капіталу МКП "Хмельницькводоканал" (реконструкція ділянки каналізаційної мережі від колодязя № 390 по вул. Чорновола,95/1 до колодязя № 386 по вул. Гальчевського в м. Хмельницький)</t>
  </si>
  <si>
    <t>Внески до статутного капіталу МКП "Хмельницькводоканал" (реконструкція самопливного каналізаційного колектора діаметром 800 мм від колодязя № 554а до КНС-2 по вул. Паркова, 64 у м. Хмельницький)</t>
  </si>
  <si>
    <t>Внески до статутного капіталу МКП "Хмельницькводоканал" (будівництво самопливного каналізаційного колектора  від ж.б. № 15 по пров. Польовий до ж.б. № 45 по вул. Залізнична в м. Хмельницький)</t>
  </si>
  <si>
    <t>Внески до статутного капіталу МКП "Хмельницькводоканал" (будівництво самопливних каналізаційних колекторів від ж.б. № 16, №16/1 по вул. Інститутська в м. Хмельницький)</t>
  </si>
  <si>
    <t>Внески до статутного капіталу МКП "Хмельницькводоканал" (будівництво вуличних мереж водопостачання та каналізації житлових будинків вул. Лісна, прв. Лісний, вул. Підгірна, прв. Садовий, в м. Хмельницький)</t>
  </si>
  <si>
    <t>Внески до статутного капіталу МКП "Хмельницькводоканал" (будівництво вуличних мереж водопостачання житлових будинків по вул. Мічуріна, пров. Щедріна в м. Хмельницькому (50% від загальної кошторисної вартості проекту))</t>
  </si>
  <si>
    <t>Внески до статутного капіталу КП "Південно-Західні тепломережі"  (Реконструкція теплової мережі від ТК-9 до приміщення піцерії по вул. Курчатова, 1А в м. Хмельницькому)</t>
  </si>
  <si>
    <t>Внески до статутного капіталу КП "Південно-Західні тепломережі"  (Технічне переоснащення котла ТВГ-8 з заміною пальників і автоматики в котельні по вул. Тернопільській, 14/3 в м. Хмельницькому)</t>
  </si>
  <si>
    <t>Внески до статутного капіталу міського комунального аварійно-технічного підприємства (придбання  автомобіля)</t>
  </si>
  <si>
    <t>Внески до статутного капіталу Комунального підприємства «Управляюча муніципальна компанія «Центральна» Хмельницької міської (придбання мотокоси)</t>
  </si>
  <si>
    <t>Внески до статутного капіталу Комунального підприємства «Управляюча муніципальна компанія «Проскурівська» Хмельницької міської (придбання мотокос)</t>
  </si>
  <si>
    <t>Внески до статутного капіталу Комунального підприємства «Управляюча муніципальна компанія «Південно-Західна» Хмельницької міської (придбання мотокос)</t>
  </si>
  <si>
    <t>Внески до статутного капіталу Комунального підприємства «Управляюча муніципальна компанія «Дубове» Хмельницької міської (придбання мотокос)</t>
  </si>
  <si>
    <t>Внески до статутного капіталу Комунального підприємства «Управляюча муніципальна компанія «Заріччя» Хмельницької міської (придбання мотокос)</t>
  </si>
  <si>
    <t>Внески до статутного капіталу Комунального підприємства «Управляюча муніципальна компанія «Озерна» Хмельницької міської (придбання мотокос)</t>
  </si>
  <si>
    <t>Внески до статутного капіталу Комунального підприємства «Управляюча муніципальна компанія «Будівельник» Хмельницької міської (придбання мотокос)</t>
  </si>
  <si>
    <t>Внески до статутного капіталу міського комунального підприємства "Муніципальна дружина" (придбання комп"ютерного обладнання в комплекті)</t>
  </si>
  <si>
    <t>1216014</t>
  </si>
  <si>
    <t>6014</t>
  </si>
  <si>
    <t>Забезпечення збору та вивезення сміття і відходів</t>
  </si>
  <si>
    <t>Заходи щодо відновлення і підтримання сприятливого гідрологічного режиму та санітарного стану водойм міста: "Бологічна меліорація (зариблення водойм) в межах міста Хмельницького"</t>
  </si>
  <si>
    <t>Робочий проект на реконструкцію будівлі ДЮСШ №3 по заміні конструкції даху над спортивним залом по вул. Прибузькій, 3/1 в м.Хмельницькому</t>
  </si>
  <si>
    <t>Залишок коштів на 01.01.2018 року</t>
  </si>
  <si>
    <t xml:space="preserve">Разом коштів, отриманих з усіх джерел фінансування бюджету за типом боргового зобов"язання </t>
  </si>
  <si>
    <t>Внески до статутного капіталу міського комунального підприємства по утриманню нежитлових приміщень комунальної власності  (Капітальний ремонт будинку комунальної власності (3-й поверх) за адресою: вул. Проскурівська, 56, м.Хмельницький)</t>
  </si>
  <si>
    <t>Внески до статутного капіталу МКП "Хмельницькводоканал" (реконструкція РУ-6 кВ МКП "Хмельницькводоканал" в с. Чернелівка Красилівського району Хмельницьої області)</t>
  </si>
  <si>
    <t>Внески до статутного капіталу МКП "Хмельницькводоканал" (будівництво  мереж водопроворду та напірної каналізації  по вул. Геологів м.Хмельницький )</t>
  </si>
  <si>
    <t xml:space="preserve">  -  на придбання медикаментів для Хмельницької міської дитячої лікарні </t>
  </si>
  <si>
    <t>Внески до статутного капіталу міського комунального підприємства по утриманню нежитлових приміщень комунальної власності  (Капітальний ремонт підлог коридору 1-го поверху будинку  за адресою: вул. Пилипчука,49        м. Хмельницький)</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</si>
  <si>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 (50% від загальної кошторисної вартості проекту))</t>
  </si>
  <si>
    <t>Внески до статутного капіталу МКП "Хмельницькводоканал" (реконструкція вуличних мереж водопостачання для житлових будинків №33,35,35/1,36,38 по вул. Стеніна в м.Хмельницький ( 50% від загальної кошторисної вартості проекту))</t>
  </si>
  <si>
    <t>Внески до статутного капіталу МКП "Хмельницькводоканал" (будівництво вуличних мереж водовідведення по вул. О. Кошового та Черняховського у м. Хмельницький  (70% від загальної кошторисної вартості проекту))</t>
  </si>
  <si>
    <t>Внески до статутного капіталу МКП "Хмельницькводоканал" (будівництво вуличних мереж водопроводу діаметром 110 мм  по вул. Дачна в м.Хмельницький)</t>
  </si>
  <si>
    <t xml:space="preserve">Внески до статутного капіталу МКП "Хмельницьктеплокомуненерго"  (реконструкція котельні по вул. Сковороди,11 м.Хмельницький) </t>
  </si>
  <si>
    <t>Внески до статутного капіталу МКП "Хмельницьктеплокомуненерго" (реконструкція центрального теплового пункту по вул. Прибузька, 6 під котельню, м. Хмельницький)</t>
  </si>
  <si>
    <t>Внески до статутного капіталу МКП "Хмельницьктеплокомуненерго" (капітальний ремонт теплової мережі по вул. Кармелюка від ТК27 до ТК 33 із заміною труб на попередньоізольовані, м. Хмельницький)</t>
  </si>
  <si>
    <t xml:space="preserve">Внески до статутного капіталу МКП "Хмельницьктеплокомуненерго" (реконструкція  теплової мережі по вул.Зарічанській ,8  із заміною труб на попередньоізольовані, м. Хмельницький)  </t>
  </si>
  <si>
    <t xml:space="preserve">Всього за типом боргового зобов"язання </t>
  </si>
  <si>
    <t>Внески до статутного капіталу ХКП "Спецкомунтранс" (на виготовлення проекту "Реконструкція полігону твердих побутових відходів м. Хмельницького з метою запобігання винекнення надзвичайної аварійної ситуації")</t>
  </si>
  <si>
    <t>Будівництво свердловини для господарсько-питного водопостачання ПНЗ ДЮОК "Чайка"</t>
  </si>
  <si>
    <t>Програма розвитку і функціонування української мови на 2016-2020 роки у місті Хмельницькому</t>
  </si>
  <si>
    <t xml:space="preserve">до рішення  №        від         2018 року </t>
  </si>
  <si>
    <t>Додаток № 4
до рішення  №    від   .  .2018 року</t>
  </si>
  <si>
    <t xml:space="preserve">Додаток № 5
до рішення №  від   .  .2018 року
</t>
  </si>
  <si>
    <t>Додаток №8
до рішення №   від     .  .2018 року</t>
  </si>
  <si>
    <t>Внески до статутного капіталу МКП "Хмельницькводоканал" (реконструкція самопливного каналізаційного колектора на площі С.Бандери в м.Хмельницький)</t>
  </si>
  <si>
    <t>Внески до статутного капіталу МКП "Хмельницькводоканал" (будівництво вуличних мереж водопостачання мікрорайону Лезневе у м.Хмельницькому)</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</si>
  <si>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каналізаційно-насосної станції, електропостачання КНС мікрорайону Дубове у м.Хмельницький)</t>
  </si>
  <si>
    <t>Внески до статутного капіталу МКП "Хмельницькводоканал" (будівництво вуличних мереж водовідведення по вул. Гагаріна (школа № 32) в м.Хмельницький)</t>
  </si>
  <si>
    <t>Внески до статутного капіталу МКП "Хмельницькводоканал" (будівництво водопроводу по вул. Митрополита Шептицького (мкр-н "Дубове-1") в м.Хмельницький)</t>
  </si>
  <si>
    <t>Внески до статутного капіталу МКП "Хмельницьктеплокомуненерго" (реконструкція насосного парку в котельні по вул. Бандери, 32/1, м.Хмельницький)</t>
  </si>
  <si>
    <t>Внески до статутного капіталу МКП "Хмельницьктеплокомуненерго" (капітальний ремонт котла КВГМ-20 в котельні по вул. Водопровідній, 48, м.Хмельницький)</t>
  </si>
  <si>
    <t>Будівництво навчально-виховного комплексу на вул. Залізняка, 32 в м.Хмельницькому</t>
  </si>
  <si>
    <t>Виготовлення проектно-кошторисної документації для будівництва спеціалізованого залу боксу на території спортивного комплексу "Поділля" , ДЮСШ №1 по вул.Проскурівській, 81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</si>
  <si>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</si>
  <si>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</si>
  <si>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Виготовлення проектно-кошторисної документації на будівництво вулиці між вулицями Свободи та Старокостянтинівським шосе в м.Хмельницькому</t>
  </si>
  <si>
    <t>Будівництво автодорожнього тунелю під залізничними коліями на перегоні Хмельницький-Гречани ПК-12256+71.00 в м.Хмельницькому</t>
  </si>
  <si>
    <t>Будівництво підпірної стінки біля 130-ти квартирного житлового  будинку по вул.Лісогринівецькій,16 в м.Хмельницькому</t>
  </si>
  <si>
    <t>Внески до статутного капіталу МКП "Хмельницьктеплокомуненерго" (технічне переоснащення когенераційної установки в котельні по вул. Свободи,44 м.Хмельницький)</t>
  </si>
  <si>
    <t>Внески до статутного капіталу МКП "Хмельницьктеплокомуненерго" (технічне переоснащення когенераційної установки в котельні по вул. Водопровідній,48 м.Хмельницький)</t>
  </si>
</sst>
</file>

<file path=xl/styles.xml><?xml version="1.0" encoding="utf-8"?>
<styleSheet xmlns="http://schemas.openxmlformats.org/spreadsheetml/2006/main">
  <numFmts count="3">
    <numFmt numFmtId="164" formatCode="#,##0.0"/>
    <numFmt numFmtId="165" formatCode="0.0"/>
    <numFmt numFmtId="166" formatCode="#,##0.00;[Red]#,##0.00"/>
  </numFmts>
  <fonts count="120">
    <font>
      <sz val="10"/>
      <name val="Arial Cyr"/>
      <charset val="204"/>
    </font>
    <font>
      <sz val="10"/>
      <name val="Arial Cyr"/>
      <charset val="204"/>
    </font>
    <font>
      <sz val="10"/>
      <name val="MS Sans Serif"/>
      <family val="2"/>
      <charset val="204"/>
    </font>
    <font>
      <sz val="10"/>
      <name val="Times New Roman"/>
      <family val="1"/>
      <charset val="204"/>
    </font>
    <font>
      <b/>
      <i/>
      <sz val="10"/>
      <name val="Times New Roman Cyr"/>
      <family val="1"/>
      <charset val="204"/>
    </font>
    <font>
      <sz val="10"/>
      <name val="Times New Roman Cyr"/>
      <family val="1"/>
      <charset val="204"/>
    </font>
    <font>
      <b/>
      <sz val="10"/>
      <name val="Times New Roman Cyr"/>
      <family val="1"/>
      <charset val="204"/>
    </font>
    <font>
      <b/>
      <sz val="10"/>
      <name val="Arial Cyr"/>
      <charset val="204"/>
    </font>
    <font>
      <b/>
      <sz val="12"/>
      <name val="Times New Roman"/>
      <family val="1"/>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i/>
      <sz val="12"/>
      <name val="Times New Roman"/>
      <family val="1"/>
      <charset val="204"/>
    </font>
    <font>
      <i/>
      <sz val="10"/>
      <name val="Times New Roman Cyr"/>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i/>
      <sz val="10"/>
      <color indexed="8"/>
      <name val="Times New Roman"/>
      <family val="1"/>
      <charset val="204"/>
    </font>
    <font>
      <b/>
      <sz val="28"/>
      <name val="Times New Roman Cyr"/>
      <family val="1"/>
      <charset val="204"/>
    </font>
    <font>
      <b/>
      <sz val="36"/>
      <name val="Times New Roman Cyr"/>
      <family val="1"/>
      <charset val="204"/>
    </font>
    <font>
      <i/>
      <sz val="36"/>
      <name val="Times New Roman Cyr"/>
      <family val="1"/>
      <charset val="204"/>
    </font>
    <font>
      <sz val="20"/>
      <name val="Times New Roman Cyr"/>
      <family val="1"/>
      <charset val="204"/>
    </font>
    <font>
      <sz val="24"/>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vertAlign val="superscript"/>
      <sz val="8"/>
      <name val="Times New Roman"/>
      <family val="1"/>
      <charset val="204"/>
    </font>
    <font>
      <i/>
      <sz val="10"/>
      <name val="Times New Roman Cyr"/>
      <charset val="204"/>
    </font>
    <font>
      <sz val="9"/>
      <name val="Times New Roman CYR"/>
      <charset val="204"/>
    </font>
    <font>
      <b/>
      <sz val="12.5"/>
      <name val="Times New Roman"/>
      <family val="1"/>
      <charset val="204"/>
    </font>
    <font>
      <sz val="12"/>
      <name val="Arial Cyr"/>
      <charset val="204"/>
    </font>
    <font>
      <sz val="12"/>
      <name val="Arial"/>
      <family val="2"/>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sz val="12"/>
      <name val="Times New Roman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i/>
      <sz val="22"/>
      <name val="Times New Roman"/>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i/>
      <sz val="20"/>
      <name val="Arial Cyr"/>
      <charset val="204"/>
    </font>
    <font>
      <i/>
      <sz val="22"/>
      <name val="Times New Roman Cyr"/>
      <family val="1"/>
      <charset val="204"/>
    </font>
    <font>
      <sz val="11"/>
      <name val="Calibri"/>
      <family val="2"/>
      <charset val="204"/>
    </font>
    <font>
      <b/>
      <sz val="12"/>
      <color indexed="8"/>
      <name val="Times New Roman"/>
      <family val="1"/>
      <charset val="204"/>
    </font>
    <font>
      <sz val="12"/>
      <color indexed="8"/>
      <name val="Times New Roman"/>
      <family val="1"/>
      <charset val="204"/>
    </font>
    <font>
      <sz val="12"/>
      <color indexed="42"/>
      <name val="Times New Roman"/>
      <family val="1"/>
      <charset val="204"/>
    </font>
    <font>
      <i/>
      <sz val="11"/>
      <name val="Times New Roman Cyr"/>
      <charset val="204"/>
    </font>
    <font>
      <vertAlign val="superscript"/>
      <sz val="10"/>
      <name val="Times New Roman"/>
      <family val="1"/>
      <charset val="204"/>
    </font>
    <font>
      <sz val="10"/>
      <name val="Arial Cyr"/>
      <family val="2"/>
      <charset val="204"/>
    </font>
    <font>
      <sz val="36"/>
      <name val="Times New Roman Cyr"/>
      <family val="1"/>
      <charset val="204"/>
    </font>
    <font>
      <i/>
      <sz val="12"/>
      <name val="Times New Roman Cyr"/>
      <charset val="204"/>
    </font>
    <font>
      <i/>
      <sz val="10"/>
      <name val="Times New Roman"/>
      <family val="1"/>
      <charset val="204"/>
    </font>
  </fonts>
  <fills count="30">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00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7">
    <xf numFmtId="0" fontId="0" fillId="0" borderId="0"/>
    <xf numFmtId="0" fontId="1"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53" fillId="0" borderId="0"/>
    <xf numFmtId="0" fontId="27" fillId="0" borderId="0"/>
    <xf numFmtId="0" fontId="1" fillId="0" borderId="0"/>
    <xf numFmtId="0" fontId="53" fillId="0" borderId="0"/>
    <xf numFmtId="0" fontId="1" fillId="0" borderId="0"/>
    <xf numFmtId="0" fontId="53" fillId="0" borderId="0"/>
    <xf numFmtId="0" fontId="27" fillId="0" borderId="0"/>
    <xf numFmtId="0" fontId="27" fillId="0" borderId="0"/>
    <xf numFmtId="0" fontId="27" fillId="0" borderId="0"/>
    <xf numFmtId="0" fontId="27" fillId="0" borderId="0"/>
    <xf numFmtId="0" fontId="27" fillId="0" borderId="0"/>
    <xf numFmtId="0" fontId="50" fillId="0" borderId="0">
      <alignment vertical="top"/>
    </xf>
    <xf numFmtId="0" fontId="21" fillId="5" borderId="5" applyNumberFormat="0" applyAlignment="0" applyProtection="0"/>
    <xf numFmtId="0" fontId="22" fillId="0" borderId="0" applyNumberFormat="0" applyFill="0" applyBorder="0" applyAlignment="0" applyProtection="0"/>
    <xf numFmtId="0" fontId="1" fillId="0" borderId="0"/>
    <xf numFmtId="0" fontId="53" fillId="0" borderId="0"/>
    <xf numFmtId="0" fontId="3" fillId="0" borderId="0"/>
    <xf numFmtId="0" fontId="74" fillId="0" borderId="0" applyNumberFormat="0" applyFont="0" applyFill="0" applyBorder="0" applyAlignment="0" applyProtection="0">
      <alignment vertical="top"/>
    </xf>
    <xf numFmtId="0" fontId="26" fillId="0" borderId="0"/>
    <xf numFmtId="0" fontId="2" fillId="0" borderId="0" applyNumberFormat="0" applyFont="0" applyFill="0" applyBorder="0" applyAlignment="0" applyProtection="0">
      <alignment vertical="top"/>
    </xf>
    <xf numFmtId="0" fontId="3" fillId="0" borderId="0"/>
    <xf numFmtId="0" fontId="26" fillId="0" borderId="0"/>
    <xf numFmtId="0" fontId="53"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 fillId="0" borderId="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3" borderId="0" applyNumberFormat="0" applyBorder="0" applyAlignment="0" applyProtection="0"/>
    <xf numFmtId="0" fontId="91" fillId="2"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5" borderId="0" applyNumberFormat="0" applyBorder="0" applyAlignment="0" applyProtection="0"/>
    <xf numFmtId="0" fontId="92" fillId="16"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23" borderId="0" applyNumberFormat="0" applyBorder="0" applyAlignment="0" applyProtection="0"/>
    <xf numFmtId="0" fontId="17" fillId="2" borderId="1" applyNumberFormat="0" applyAlignment="0" applyProtection="0"/>
    <xf numFmtId="0" fontId="93" fillId="24" borderId="20" applyNumberFormat="0" applyAlignment="0" applyProtection="0"/>
    <xf numFmtId="0" fontId="94" fillId="24" borderId="1" applyNumberFormat="0" applyAlignment="0" applyProtection="0"/>
    <xf numFmtId="0" fontId="90" fillId="0" borderId="0" applyNumberFormat="0" applyFill="0" applyBorder="0" applyAlignment="0" applyProtection="0">
      <alignment vertical="top"/>
      <protection locked="0"/>
    </xf>
    <xf numFmtId="0" fontId="95" fillId="0" borderId="21"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6" fillId="4" borderId="0" applyNumberFormat="0" applyBorder="0" applyAlignment="0" applyProtection="0"/>
    <xf numFmtId="0" fontId="97" fillId="9" borderId="0" applyNumberFormat="0" applyBorder="0" applyAlignment="0" applyProtection="0"/>
    <xf numFmtId="0" fontId="98" fillId="0" borderId="0" applyNumberFormat="0" applyFill="0" applyBorder="0" applyAlignment="0" applyProtection="0"/>
    <xf numFmtId="0" fontId="91" fillId="25" borderId="22"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116" fillId="0" borderId="0"/>
    <xf numFmtId="0" fontId="1" fillId="0" borderId="0"/>
  </cellStyleXfs>
  <cellXfs count="636">
    <xf numFmtId="0" fontId="0" fillId="0" borderId="0" xfId="0"/>
    <xf numFmtId="0" fontId="42" fillId="0" borderId="7" xfId="0" applyFont="1" applyBorder="1" applyAlignment="1">
      <alignment horizontal="center" vertical="center" wrapText="1"/>
    </xf>
    <xf numFmtId="0" fontId="5" fillId="0" borderId="0" xfId="0" applyFont="1" applyAlignment="1">
      <alignment vertical="center"/>
    </xf>
    <xf numFmtId="0" fontId="7" fillId="0" borderId="0" xfId="0" applyFont="1"/>
    <xf numFmtId="164" fontId="4" fillId="0" borderId="0" xfId="0" applyNumberFormat="1" applyFont="1" applyBorder="1" applyAlignment="1">
      <alignment horizontal="right" vertical="center" wrapText="1"/>
    </xf>
    <xf numFmtId="0" fontId="0" fillId="0" borderId="0" xfId="0" applyFill="1"/>
    <xf numFmtId="4" fontId="5" fillId="0" borderId="0" xfId="0" applyNumberFormat="1" applyFont="1" applyAlignment="1">
      <alignment vertical="center"/>
    </xf>
    <xf numFmtId="0" fontId="5" fillId="0" borderId="0" xfId="0" applyFont="1" applyAlignment="1">
      <alignment horizontal="right" vertical="center"/>
    </xf>
    <xf numFmtId="2" fontId="6" fillId="0" borderId="0" xfId="0" applyNumberFormat="1" applyFont="1" applyAlignment="1">
      <alignment vertical="center"/>
    </xf>
    <xf numFmtId="4" fontId="6" fillId="0" borderId="0" xfId="0" applyNumberFormat="1" applyFont="1" applyAlignment="1">
      <alignment vertical="center"/>
    </xf>
    <xf numFmtId="0" fontId="6" fillId="0" borderId="0" xfId="0" applyFont="1" applyAlignment="1">
      <alignment vertical="center"/>
    </xf>
    <xf numFmtId="2" fontId="8" fillId="0" borderId="0" xfId="38" applyNumberFormat="1" applyFont="1" applyFill="1" applyBorder="1" applyAlignment="1" applyProtection="1">
      <alignment vertical="center" wrapText="1"/>
      <protection locked="0"/>
    </xf>
    <xf numFmtId="164" fontId="6" fillId="0" borderId="0" xfId="0" applyNumberFormat="1" applyFont="1" applyBorder="1" applyAlignment="1">
      <alignment horizontal="right" vertical="center" wrapText="1"/>
    </xf>
    <xf numFmtId="4" fontId="36" fillId="0" borderId="0" xfId="0" applyNumberFormat="1" applyFont="1" applyAlignment="1">
      <alignment vertical="center"/>
    </xf>
    <xf numFmtId="0" fontId="36" fillId="0" borderId="0" xfId="0" applyFont="1" applyAlignment="1">
      <alignment vertical="center"/>
    </xf>
    <xf numFmtId="164" fontId="36" fillId="0" borderId="0" xfId="0" applyNumberFormat="1" applyFont="1" applyBorder="1" applyAlignment="1">
      <alignment horizontal="right" vertical="center" wrapText="1"/>
    </xf>
    <xf numFmtId="0" fontId="42"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right" vertical="center"/>
    </xf>
    <xf numFmtId="0" fontId="43" fillId="0" borderId="7" xfId="0" applyFont="1" applyBorder="1" applyAlignment="1">
      <alignment horizontal="center" vertical="center"/>
    </xf>
    <xf numFmtId="49"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0" fontId="42" fillId="0" borderId="8" xfId="0" applyFont="1" applyBorder="1" applyAlignment="1">
      <alignment horizontal="center" vertical="center" wrapText="1"/>
    </xf>
    <xf numFmtId="4" fontId="42" fillId="0" borderId="0" xfId="0" applyNumberFormat="1" applyFont="1" applyAlignment="1">
      <alignment horizontal="center" vertical="center"/>
    </xf>
    <xf numFmtId="0" fontId="48" fillId="0" borderId="0" xfId="0" applyFont="1"/>
    <xf numFmtId="4" fontId="48" fillId="0" borderId="0" xfId="0" applyNumberFormat="1" applyFont="1"/>
    <xf numFmtId="0" fontId="42" fillId="0" borderId="9" xfId="0" applyFont="1" applyBorder="1" applyAlignment="1">
      <alignment horizontal="center" vertical="center"/>
    </xf>
    <xf numFmtId="0" fontId="0" fillId="0" borderId="10" xfId="0" applyBorder="1" applyAlignment="1">
      <alignment horizontal="center" vertical="center"/>
    </xf>
    <xf numFmtId="0" fontId="9" fillId="0" borderId="0" xfId="35" applyNumberFormat="1" applyFont="1" applyFill="1" applyAlignment="1" applyProtection="1"/>
    <xf numFmtId="0" fontId="9" fillId="0" borderId="0" xfId="35" applyFont="1" applyFill="1"/>
    <xf numFmtId="0" fontId="3" fillId="0" borderId="0" xfId="35" applyNumberFormat="1" applyFont="1" applyFill="1" applyAlignment="1" applyProtection="1"/>
    <xf numFmtId="0" fontId="3" fillId="0" borderId="0" xfId="35" applyFont="1" applyFill="1"/>
    <xf numFmtId="0" fontId="11" fillId="0" borderId="11" xfId="35" applyNumberFormat="1" applyFont="1" applyFill="1" applyBorder="1" applyAlignment="1" applyProtection="1">
      <alignment horizontal="center"/>
    </xf>
    <xf numFmtId="0" fontId="3" fillId="0" borderId="11" xfId="35" applyFont="1" applyFill="1" applyBorder="1" applyAlignment="1">
      <alignment horizontal="center"/>
    </xf>
    <xf numFmtId="0" fontId="3" fillId="0" borderId="0" xfId="35" applyFont="1" applyFill="1" applyBorder="1" applyAlignment="1">
      <alignment horizontal="center"/>
    </xf>
    <xf numFmtId="0" fontId="11" fillId="0" borderId="0" xfId="35" applyNumberFormat="1" applyFont="1" applyFill="1" applyBorder="1" applyAlignment="1" applyProtection="1">
      <alignment horizontal="center" vertical="top"/>
    </xf>
    <xf numFmtId="0" fontId="14" fillId="0" borderId="11" xfId="35" applyNumberFormat="1" applyFont="1" applyFill="1" applyBorder="1" applyAlignment="1" applyProtection="1">
      <alignment horizontal="right" vertical="center"/>
    </xf>
    <xf numFmtId="0" fontId="3" fillId="0" borderId="0" xfId="35" applyNumberFormat="1" applyFont="1" applyFill="1" applyBorder="1" applyAlignment="1" applyProtection="1"/>
    <xf numFmtId="0" fontId="13" fillId="0" borderId="7" xfId="35" applyNumberFormat="1" applyFont="1" applyFill="1" applyBorder="1" applyAlignment="1" applyProtection="1">
      <alignment horizontal="center" vertical="center" wrapText="1"/>
    </xf>
    <xf numFmtId="0" fontId="30" fillId="0" borderId="7" xfId="35" applyNumberFormat="1" applyFont="1" applyFill="1" applyBorder="1" applyAlignment="1" applyProtection="1">
      <alignment horizontal="center" vertical="center" wrapText="1"/>
    </xf>
    <xf numFmtId="0" fontId="30" fillId="0" borderId="7" xfId="35" applyFont="1" applyBorder="1" applyAlignment="1">
      <alignment horizontal="center" vertical="center" wrapText="1"/>
    </xf>
    <xf numFmtId="0" fontId="3" fillId="0" borderId="0" xfId="35" applyNumberFormat="1" applyFont="1" applyFill="1" applyAlignment="1" applyProtection="1">
      <alignment vertical="center"/>
    </xf>
    <xf numFmtId="0" fontId="3" fillId="0" borderId="0" xfId="35" applyFont="1" applyFill="1" applyAlignment="1">
      <alignment vertical="center"/>
    </xf>
    <xf numFmtId="0" fontId="29" fillId="0" borderId="7" xfId="35" applyFont="1" applyBorder="1" applyAlignment="1">
      <alignment horizontal="center" vertical="center" wrapText="1"/>
    </xf>
    <xf numFmtId="0" fontId="10" fillId="0" borderId="7" xfId="35" applyNumberFormat="1" applyFont="1" applyFill="1" applyBorder="1" applyAlignment="1" applyProtection="1">
      <alignment vertical="center" wrapText="1"/>
    </xf>
    <xf numFmtId="0" fontId="13" fillId="0" borderId="12" xfId="35" applyNumberFormat="1" applyFont="1" applyFill="1" applyBorder="1" applyAlignment="1" applyProtection="1">
      <alignment horizontal="center" vertical="center" wrapText="1"/>
    </xf>
    <xf numFmtId="0" fontId="13" fillId="0" borderId="10" xfId="35" applyNumberFormat="1" applyFont="1" applyFill="1" applyBorder="1" applyAlignment="1" applyProtection="1">
      <alignment horizontal="center" vertical="center" wrapText="1"/>
    </xf>
    <xf numFmtId="49" fontId="52" fillId="6" borderId="7" xfId="0" applyNumberFormat="1" applyFont="1" applyFill="1" applyBorder="1" applyAlignment="1">
      <alignment horizontal="center" vertical="center" wrapText="1"/>
    </xf>
    <xf numFmtId="49" fontId="29" fillId="6" borderId="7" xfId="0" applyNumberFormat="1" applyFont="1" applyFill="1" applyBorder="1" applyAlignment="1">
      <alignment horizontal="center" vertical="center" wrapText="1"/>
    </xf>
    <xf numFmtId="4" fontId="29" fillId="0" borderId="7" xfId="0" applyNumberFormat="1" applyFont="1" applyBorder="1" applyAlignment="1">
      <alignment horizontal="center" vertical="center" wrapText="1"/>
    </xf>
    <xf numFmtId="4" fontId="29" fillId="6" borderId="7" xfId="0" applyNumberFormat="1" applyFont="1" applyFill="1" applyBorder="1" applyAlignment="1">
      <alignment horizontal="center" vertical="center" wrapText="1"/>
    </xf>
    <xf numFmtId="164" fontId="39" fillId="0" borderId="7" xfId="30" applyNumberFormat="1" applyFont="1" applyBorder="1" applyAlignment="1">
      <alignment horizontal="center" vertical="center"/>
    </xf>
    <xf numFmtId="164" fontId="32" fillId="0" borderId="7" xfId="30" applyNumberFormat="1" applyFont="1" applyBorder="1" applyAlignment="1">
      <alignment horizontal="center" vertical="center"/>
    </xf>
    <xf numFmtId="0" fontId="29" fillId="0" borderId="7" xfId="40" applyFont="1" applyBorder="1" applyAlignment="1">
      <alignment horizontal="center" vertical="center" wrapText="1"/>
    </xf>
    <xf numFmtId="4" fontId="44" fillId="0" borderId="7" xfId="0" applyNumberFormat="1" applyFont="1" applyFill="1" applyBorder="1" applyAlignment="1">
      <alignment horizontal="center" vertical="center" wrapText="1"/>
    </xf>
    <xf numFmtId="164" fontId="32" fillId="0" borderId="7" xfId="30" applyNumberFormat="1" applyFont="1" applyBorder="1" applyAlignment="1">
      <alignment horizontal="center" vertical="center" wrapText="1"/>
    </xf>
    <xf numFmtId="164" fontId="32" fillId="0" borderId="7" xfId="30" applyNumberFormat="1" applyFont="1" applyFill="1" applyBorder="1" applyAlignment="1">
      <alignment horizontal="center" vertical="center"/>
    </xf>
    <xf numFmtId="164" fontId="39" fillId="0" borderId="7" xfId="30" applyNumberFormat="1" applyFont="1" applyFill="1" applyBorder="1" applyAlignment="1">
      <alignment horizontal="center" vertical="center"/>
    </xf>
    <xf numFmtId="0" fontId="52" fillId="0" borderId="7" xfId="35" applyFont="1" applyBorder="1" applyAlignment="1">
      <alignment horizontal="center" vertical="center" wrapText="1"/>
    </xf>
    <xf numFmtId="4" fontId="45" fillId="0" borderId="7" xfId="38" applyNumberFormat="1" applyFont="1" applyFill="1" applyBorder="1" applyAlignment="1" applyProtection="1">
      <alignment horizontal="center" vertical="center" wrapText="1"/>
      <protection locked="0"/>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0" fontId="29" fillId="0" borderId="7" xfId="38" applyNumberFormat="1" applyFont="1" applyFill="1" applyBorder="1" applyAlignment="1" applyProtection="1">
      <alignment horizontal="center" vertical="center" wrapText="1"/>
      <protection locked="0"/>
    </xf>
    <xf numFmtId="0" fontId="52" fillId="0" borderId="7" xfId="0" applyFont="1" applyFill="1" applyBorder="1" applyAlignment="1">
      <alignment horizontal="center" vertical="center" wrapText="1"/>
    </xf>
    <xf numFmtId="164" fontId="55" fillId="0" borderId="7" xfId="30" applyNumberFormat="1" applyFont="1" applyBorder="1" applyAlignment="1">
      <alignment horizontal="center" vertical="center"/>
    </xf>
    <xf numFmtId="4" fontId="29" fillId="0" borderId="7" xfId="0" applyNumberFormat="1" applyFont="1" applyFill="1" applyBorder="1" applyAlignment="1">
      <alignment horizontal="center" vertical="center" wrapText="1"/>
    </xf>
    <xf numFmtId="4" fontId="52" fillId="6" borderId="7" xfId="0" applyNumberFormat="1" applyFont="1" applyFill="1" applyBorder="1" applyAlignment="1">
      <alignment horizontal="center" vertical="center" wrapText="1"/>
    </xf>
    <xf numFmtId="0" fontId="52" fillId="0" borderId="8" xfId="0" applyFont="1" applyFill="1" applyBorder="1" applyAlignment="1" applyProtection="1">
      <alignment horizontal="center" vertical="center" wrapText="1"/>
    </xf>
    <xf numFmtId="4" fontId="55" fillId="0" borderId="7" xfId="30" applyNumberFormat="1" applyFont="1" applyBorder="1" applyAlignment="1">
      <alignment horizontal="center" vertical="center"/>
    </xf>
    <xf numFmtId="4" fontId="32" fillId="0" borderId="7" xfId="30" applyNumberFormat="1" applyFont="1" applyBorder="1" applyAlignment="1">
      <alignment horizontal="center" vertical="center"/>
    </xf>
    <xf numFmtId="4" fontId="59" fillId="0" borderId="0" xfId="0" applyNumberFormat="1" applyFont="1" applyAlignment="1">
      <alignment vertical="center"/>
    </xf>
    <xf numFmtId="164" fontId="55" fillId="0" borderId="7" xfId="30" applyNumberFormat="1" applyFont="1" applyBorder="1" applyAlignment="1">
      <alignment horizontal="center" vertical="center" wrapText="1"/>
    </xf>
    <xf numFmtId="0" fontId="3" fillId="7" borderId="0" xfId="35" applyNumberFormat="1" applyFont="1" applyFill="1" applyAlignment="1" applyProtection="1"/>
    <xf numFmtId="4" fontId="41" fillId="0" borderId="0" xfId="0" applyNumberFormat="1" applyFont="1" applyAlignment="1">
      <alignment horizontal="center" vertical="center"/>
    </xf>
    <xf numFmtId="4" fontId="60" fillId="0" borderId="0" xfId="0" applyNumberFormat="1" applyFont="1" applyAlignment="1">
      <alignment vertical="center"/>
    </xf>
    <xf numFmtId="4" fontId="61"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4" fontId="55" fillId="0" borderId="7" xfId="30" applyNumberFormat="1" applyFont="1" applyFill="1" applyBorder="1" applyAlignment="1">
      <alignment horizontal="center" vertical="center"/>
    </xf>
    <xf numFmtId="4" fontId="32" fillId="0" borderId="7" xfId="30" applyNumberFormat="1" applyFont="1" applyFill="1" applyBorder="1" applyAlignment="1">
      <alignment horizontal="center" vertical="center"/>
    </xf>
    <xf numFmtId="164" fontId="55" fillId="0" borderId="7" xfId="30" applyNumberFormat="1" applyFont="1" applyFill="1" applyBorder="1" applyAlignment="1">
      <alignment horizontal="center" vertical="center"/>
    </xf>
    <xf numFmtId="0" fontId="29" fillId="0" borderId="7" xfId="4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29" fillId="0" borderId="0" xfId="35" applyNumberFormat="1" applyFont="1" applyFill="1" applyAlignment="1" applyProtection="1"/>
    <xf numFmtId="4" fontId="63" fillId="0" borderId="0" xfId="0" applyNumberFormat="1" applyFont="1" applyAlignment="1">
      <alignment vertical="center"/>
    </xf>
    <xf numFmtId="4" fontId="64" fillId="0" borderId="0" xfId="0" applyNumberFormat="1" applyFont="1" applyAlignment="1">
      <alignment vertical="center"/>
    </xf>
    <xf numFmtId="0" fontId="3" fillId="0" borderId="0" xfId="39" applyNumberFormat="1" applyFont="1" applyFill="1" applyAlignment="1" applyProtection="1"/>
    <xf numFmtId="0" fontId="3" fillId="0" borderId="0" xfId="39" applyFont="1" applyFill="1"/>
    <xf numFmtId="0" fontId="29" fillId="0" borderId="0" xfId="39" applyNumberFormat="1" applyFont="1" applyFill="1" applyAlignment="1" applyProtection="1">
      <alignment horizontal="center" vertical="center"/>
    </xf>
    <xf numFmtId="0" fontId="3" fillId="0" borderId="0" xfId="39" applyNumberFormat="1" applyFont="1" applyFill="1" applyBorder="1" applyAlignment="1" applyProtection="1"/>
    <xf numFmtId="0" fontId="14" fillId="0" borderId="11" xfId="39" applyNumberFormat="1" applyFont="1" applyFill="1" applyBorder="1" applyAlignment="1" applyProtection="1">
      <alignment vertical="center"/>
    </xf>
    <xf numFmtId="0" fontId="10" fillId="0" borderId="7" xfId="39" applyNumberFormat="1" applyFont="1" applyFill="1" applyBorder="1" applyAlignment="1" applyProtection="1">
      <alignment horizontal="center" vertical="center" wrapText="1"/>
    </xf>
    <xf numFmtId="0" fontId="3" fillId="0" borderId="0" xfId="39" applyNumberFormat="1" applyFont="1" applyFill="1" applyBorder="1" applyAlignment="1" applyProtection="1">
      <alignment vertical="center" wrapText="1"/>
    </xf>
    <xf numFmtId="0" fontId="3" fillId="0" borderId="0" xfId="39" applyNumberFormat="1" applyFont="1" applyFill="1" applyAlignment="1" applyProtection="1">
      <alignment vertical="center" wrapText="1"/>
    </xf>
    <xf numFmtId="0" fontId="3" fillId="0" borderId="0" xfId="39" applyFont="1" applyFill="1" applyAlignment="1">
      <alignment vertical="center" wrapText="1"/>
    </xf>
    <xf numFmtId="0" fontId="13" fillId="0" borderId="7" xfId="39" applyNumberFormat="1" applyFont="1" applyFill="1" applyBorder="1" applyAlignment="1" applyProtection="1">
      <alignment horizontal="center" vertical="center" wrapText="1"/>
    </xf>
    <xf numFmtId="0" fontId="29" fillId="0" borderId="0" xfId="39" applyNumberFormat="1" applyFont="1" applyFill="1" applyBorder="1" applyAlignment="1" applyProtection="1">
      <alignment wrapText="1"/>
    </xf>
    <xf numFmtId="0" fontId="29" fillId="0" borderId="0" xfId="39" applyNumberFormat="1" applyFont="1" applyFill="1" applyAlignment="1" applyProtection="1">
      <alignment wrapText="1"/>
    </xf>
    <xf numFmtId="0" fontId="29" fillId="0" borderId="0" xfId="39" applyFont="1" applyFill="1" applyAlignment="1">
      <alignment wrapText="1"/>
    </xf>
    <xf numFmtId="0" fontId="30" fillId="0" borderId="7" xfId="39" applyNumberFormat="1" applyFont="1" applyFill="1" applyBorder="1" applyAlignment="1" applyProtection="1">
      <alignment horizontal="center" vertical="center" wrapText="1"/>
    </xf>
    <xf numFmtId="0" fontId="30" fillId="0" borderId="7" xfId="39" applyNumberFormat="1" applyFont="1" applyFill="1" applyBorder="1" applyAlignment="1" applyProtection="1">
      <alignment horizontal="left" vertical="center" wrapText="1"/>
    </xf>
    <xf numFmtId="4" fontId="31" fillId="0" borderId="7" xfId="39" applyNumberFormat="1" applyFont="1" applyFill="1" applyBorder="1" applyAlignment="1">
      <alignment vertical="center" wrapText="1"/>
    </xf>
    <xf numFmtId="0" fontId="30" fillId="0" borderId="0" xfId="39" applyNumberFormat="1" applyFont="1" applyFill="1" applyBorder="1" applyAlignment="1" applyProtection="1">
      <alignment wrapText="1"/>
    </xf>
    <xf numFmtId="0" fontId="30" fillId="0" borderId="0" xfId="39" applyNumberFormat="1" applyFont="1" applyFill="1" applyAlignment="1" applyProtection="1">
      <alignment wrapText="1"/>
    </xf>
    <xf numFmtId="0" fontId="30" fillId="0" borderId="0" xfId="39" applyFont="1" applyFill="1" applyAlignment="1">
      <alignment wrapText="1"/>
    </xf>
    <xf numFmtId="0" fontId="29" fillId="0" borderId="7" xfId="39" applyNumberFormat="1" applyFont="1" applyFill="1" applyBorder="1" applyAlignment="1" applyProtection="1">
      <alignment horizontal="center" vertical="center" wrapText="1"/>
    </xf>
    <xf numFmtId="0" fontId="13" fillId="0" borderId="7" xfId="39" applyNumberFormat="1" applyFont="1" applyFill="1" applyBorder="1" applyAlignment="1" applyProtection="1">
      <alignment vertical="center" wrapText="1"/>
    </xf>
    <xf numFmtId="4" fontId="15" fillId="0" borderId="7" xfId="39" applyNumberFormat="1" applyFont="1" applyFill="1" applyBorder="1" applyAlignment="1">
      <alignment vertical="center" wrapText="1"/>
    </xf>
    <xf numFmtId="4" fontId="32" fillId="0" borderId="7" xfId="39" applyNumberFormat="1" applyFont="1" applyFill="1" applyBorder="1" applyAlignment="1">
      <alignment vertical="center" wrapText="1"/>
    </xf>
    <xf numFmtId="0" fontId="66" fillId="0" borderId="0" xfId="39" applyNumberFormat="1" applyFont="1" applyFill="1" applyBorder="1" applyAlignment="1" applyProtection="1">
      <alignment wrapText="1"/>
    </xf>
    <xf numFmtId="0" fontId="66" fillId="0" borderId="0" xfId="39" applyNumberFormat="1" applyFont="1" applyFill="1" applyAlignment="1" applyProtection="1">
      <alignment wrapText="1"/>
    </xf>
    <xf numFmtId="0" fontId="66" fillId="0" borderId="0" xfId="39" applyFont="1" applyFill="1" applyAlignment="1">
      <alignment wrapText="1"/>
    </xf>
    <xf numFmtId="0" fontId="37" fillId="0" borderId="7" xfId="39" applyNumberFormat="1" applyFont="1" applyFill="1" applyBorder="1" applyAlignment="1" applyProtection="1">
      <alignment vertical="center" wrapText="1"/>
    </xf>
    <xf numFmtId="4" fontId="38" fillId="0" borderId="7" xfId="39" applyNumberFormat="1" applyFont="1" applyFill="1" applyBorder="1" applyAlignment="1">
      <alignment vertical="center" wrapText="1"/>
    </xf>
    <xf numFmtId="0" fontId="66" fillId="0" borderId="7" xfId="39" applyNumberFormat="1" applyFont="1" applyFill="1" applyBorder="1" applyAlignment="1" applyProtection="1">
      <alignment horizontal="center" vertical="center" wrapText="1"/>
    </xf>
    <xf numFmtId="0" fontId="66" fillId="0" borderId="7" xfId="39" applyNumberFormat="1" applyFont="1" applyFill="1" applyBorder="1" applyAlignment="1" applyProtection="1">
      <alignment vertical="center" wrapText="1"/>
    </xf>
    <xf numFmtId="4" fontId="34" fillId="0" borderId="7" xfId="39" applyNumberFormat="1" applyFont="1" applyFill="1" applyBorder="1" applyAlignment="1">
      <alignment vertical="center" wrapText="1"/>
    </xf>
    <xf numFmtId="4" fontId="30" fillId="0" borderId="7" xfId="39" applyNumberFormat="1" applyFont="1" applyFill="1" applyBorder="1" applyAlignment="1" applyProtection="1">
      <alignment horizontal="right" vertical="center" wrapText="1"/>
    </xf>
    <xf numFmtId="4" fontId="29" fillId="0" borderId="7" xfId="39" applyNumberFormat="1" applyFont="1" applyFill="1" applyBorder="1" applyAlignment="1" applyProtection="1">
      <alignment horizontal="right" vertical="center" wrapText="1"/>
    </xf>
    <xf numFmtId="0" fontId="66" fillId="0" borderId="7" xfId="37" applyFont="1" applyFill="1" applyBorder="1" applyAlignment="1">
      <alignment horizontal="justify" vertical="top" wrapText="1"/>
    </xf>
    <xf numFmtId="4" fontId="29" fillId="0" borderId="7" xfId="39" applyNumberFormat="1" applyFont="1" applyFill="1" applyBorder="1" applyAlignment="1" applyProtection="1">
      <alignment vertical="center" wrapText="1"/>
    </xf>
    <xf numFmtId="4" fontId="39" fillId="0" borderId="7" xfId="39" applyNumberFormat="1" applyFont="1" applyFill="1" applyBorder="1" applyAlignment="1">
      <alignment vertical="center" wrapText="1"/>
    </xf>
    <xf numFmtId="0" fontId="3" fillId="0" borderId="0" xfId="39" applyNumberFormat="1" applyFont="1" applyFill="1" applyBorder="1" applyAlignment="1" applyProtection="1">
      <alignment wrapText="1"/>
    </xf>
    <xf numFmtId="0" fontId="3" fillId="0" borderId="0" xfId="39" applyNumberFormat="1" applyFont="1" applyFill="1" applyAlignment="1" applyProtection="1">
      <alignment wrapText="1"/>
    </xf>
    <xf numFmtId="0" fontId="3" fillId="0" borderId="0" xfId="39" applyFont="1" applyFill="1" applyAlignment="1">
      <alignment wrapText="1"/>
    </xf>
    <xf numFmtId="0" fontId="30" fillId="0" borderId="7" xfId="39" applyNumberFormat="1" applyFont="1" applyFill="1" applyBorder="1" applyAlignment="1" applyProtection="1">
      <alignment vertical="center" wrapText="1"/>
    </xf>
    <xf numFmtId="0" fontId="31" fillId="0" borderId="7" xfId="37" applyFont="1" applyFill="1" applyBorder="1" applyAlignment="1">
      <alignment horizontal="justify" vertical="top" wrapText="1"/>
    </xf>
    <xf numFmtId="4" fontId="33" fillId="0" borderId="7" xfId="39" applyNumberFormat="1" applyFont="1" applyFill="1" applyBorder="1" applyAlignment="1">
      <alignment vertical="center" wrapText="1"/>
    </xf>
    <xf numFmtId="0" fontId="34" fillId="0" borderId="7" xfId="37" applyFont="1" applyFill="1" applyBorder="1" applyAlignment="1">
      <alignment horizontal="justify" vertical="top" wrapText="1"/>
    </xf>
    <xf numFmtId="0" fontId="66" fillId="0" borderId="14" xfId="37" applyFont="1" applyFill="1" applyBorder="1" applyAlignment="1">
      <alignment horizontal="justify" vertical="top" wrapText="1"/>
    </xf>
    <xf numFmtId="0" fontId="67" fillId="0" borderId="7" xfId="37" applyFont="1" applyFill="1" applyBorder="1" applyAlignment="1">
      <alignment horizontal="justify" vertical="top" wrapText="1"/>
    </xf>
    <xf numFmtId="0" fontId="68" fillId="0" borderId="7" xfId="37" applyFont="1" applyFill="1" applyBorder="1" applyAlignment="1">
      <alignment horizontal="justify" vertical="top" wrapText="1"/>
    </xf>
    <xf numFmtId="0" fontId="37" fillId="0" borderId="7" xfId="39" applyNumberFormat="1" applyFont="1" applyFill="1" applyBorder="1" applyAlignment="1" applyProtection="1">
      <alignment horizontal="center" vertical="center" wrapText="1"/>
    </xf>
    <xf numFmtId="0" fontId="38" fillId="0" borderId="7" xfId="37" applyFont="1" applyFill="1" applyBorder="1" applyAlignment="1">
      <alignment horizontal="justify" vertical="top" wrapText="1"/>
    </xf>
    <xf numFmtId="0" fontId="34" fillId="0" borderId="7" xfId="37" applyFont="1" applyFill="1" applyBorder="1" applyAlignment="1">
      <alignment vertical="top" wrapText="1"/>
    </xf>
    <xf numFmtId="0" fontId="3" fillId="0" borderId="7" xfId="39" applyNumberFormat="1" applyFont="1" applyFill="1" applyBorder="1" applyAlignment="1" applyProtection="1">
      <alignment vertical="center" wrapText="1"/>
    </xf>
    <xf numFmtId="0" fontId="69" fillId="0" borderId="0" xfId="39" applyNumberFormat="1" applyFont="1" applyFill="1" applyBorder="1" applyAlignment="1" applyProtection="1">
      <alignment wrapText="1"/>
    </xf>
    <xf numFmtId="0" fontId="69" fillId="0" borderId="0" xfId="39" applyNumberFormat="1" applyFont="1" applyFill="1" applyAlignment="1" applyProtection="1">
      <alignment wrapText="1"/>
    </xf>
    <xf numFmtId="0" fontId="69" fillId="0" borderId="0" xfId="39" applyFont="1" applyFill="1" applyAlignment="1">
      <alignment wrapText="1"/>
    </xf>
    <xf numFmtId="0" fontId="68" fillId="0" borderId="7" xfId="39" applyNumberFormat="1" applyFont="1" applyFill="1" applyBorder="1" applyAlignment="1" applyProtection="1">
      <alignment horizontal="center" vertical="center" wrapText="1"/>
    </xf>
    <xf numFmtId="0" fontId="67" fillId="0" borderId="7" xfId="37" applyFont="1" applyFill="1" applyBorder="1" applyAlignment="1">
      <alignment vertical="top" wrapText="1"/>
    </xf>
    <xf numFmtId="4" fontId="67" fillId="0" borderId="7" xfId="39" applyNumberFormat="1" applyFont="1" applyFill="1" applyBorder="1" applyAlignment="1">
      <alignment vertical="center" wrapText="1"/>
    </xf>
    <xf numFmtId="4" fontId="70" fillId="0" borderId="7" xfId="39" applyNumberFormat="1" applyFont="1" applyFill="1" applyBorder="1" applyAlignment="1">
      <alignment vertical="center" wrapText="1"/>
    </xf>
    <xf numFmtId="0" fontId="71" fillId="0" borderId="7" xfId="37" applyFont="1" applyFill="1" applyBorder="1" applyAlignment="1">
      <alignment horizontal="justify" vertical="top" wrapText="1"/>
    </xf>
    <xf numFmtId="0" fontId="72" fillId="0" borderId="7" xfId="37" applyFont="1" applyFill="1" applyBorder="1" applyAlignment="1">
      <alignment horizontal="justify" vertical="top" wrapText="1"/>
    </xf>
    <xf numFmtId="0" fontId="29" fillId="0" borderId="7" xfId="39" applyNumberFormat="1" applyFont="1" applyFill="1" applyBorder="1" applyAlignment="1" applyProtection="1">
      <alignment vertical="center" wrapText="1"/>
    </xf>
    <xf numFmtId="0" fontId="73" fillId="0" borderId="7" xfId="37" applyFont="1" applyFill="1" applyBorder="1" applyAlignment="1">
      <alignment horizontal="justify" vertical="top" wrapText="1"/>
    </xf>
    <xf numFmtId="0" fontId="13" fillId="0" borderId="7" xfId="37" applyFont="1" applyFill="1" applyBorder="1" applyAlignment="1">
      <alignment horizontal="justify" vertical="top" wrapText="1"/>
    </xf>
    <xf numFmtId="0" fontId="11" fillId="0" borderId="7" xfId="37" applyFont="1" applyFill="1" applyBorder="1" applyAlignment="1">
      <alignment horizontal="justify" vertical="top" wrapText="1"/>
    </xf>
    <xf numFmtId="0" fontId="68" fillId="0" borderId="7" xfId="0" applyNumberFormat="1" applyFont="1" applyFill="1" applyBorder="1" applyAlignment="1" applyProtection="1">
      <alignment horizontal="left" vertical="center" wrapText="1"/>
    </xf>
    <xf numFmtId="0" fontId="66" fillId="0" borderId="7" xfId="0" applyNumberFormat="1" applyFont="1" applyFill="1" applyBorder="1" applyAlignment="1" applyProtection="1">
      <alignment horizontal="left" vertical="center" wrapText="1"/>
    </xf>
    <xf numFmtId="0" fontId="3" fillId="0" borderId="7" xfId="39" applyNumberFormat="1" applyFont="1" applyFill="1" applyBorder="1" applyAlignment="1" applyProtection="1">
      <alignment horizontal="center" vertical="center" wrapText="1"/>
    </xf>
    <xf numFmtId="0" fontId="65" fillId="0" borderId="7" xfId="39" applyFont="1" applyFill="1" applyBorder="1" applyAlignment="1">
      <alignment vertical="center" wrapText="1"/>
    </xf>
    <xf numFmtId="0" fontId="10" fillId="0" borderId="0" xfId="39" applyNumberFormat="1" applyFont="1" applyFill="1" applyBorder="1" applyAlignment="1" applyProtection="1"/>
    <xf numFmtId="0" fontId="10" fillId="0" borderId="0" xfId="39" applyNumberFormat="1" applyFont="1" applyFill="1" applyAlignment="1" applyProtection="1"/>
    <xf numFmtId="0" fontId="10" fillId="0" borderId="0" xfId="39" applyFont="1" applyFill="1"/>
    <xf numFmtId="2" fontId="3" fillId="0" borderId="0" xfId="39" applyNumberFormat="1" applyFont="1" applyFill="1" applyBorder="1" applyAlignment="1" applyProtection="1"/>
    <xf numFmtId="4" fontId="3" fillId="0" borderId="0" xfId="39" applyNumberFormat="1" applyFont="1" applyFill="1" applyBorder="1" applyAlignment="1" applyProtection="1"/>
    <xf numFmtId="0" fontId="53" fillId="0" borderId="0" xfId="0" applyFont="1" applyFill="1"/>
    <xf numFmtId="0" fontId="15" fillId="0" borderId="0" xfId="0" applyFont="1" applyFill="1" applyAlignment="1"/>
    <xf numFmtId="0" fontId="14" fillId="0" borderId="7" xfId="0" applyFont="1" applyFill="1" applyBorder="1" applyAlignment="1">
      <alignment horizontal="center" vertical="top" wrapText="1"/>
    </xf>
    <xf numFmtId="0" fontId="76" fillId="0" borderId="7" xfId="0" applyFont="1" applyFill="1" applyBorder="1" applyAlignment="1">
      <alignment horizontal="center" vertical="top" wrapText="1"/>
    </xf>
    <xf numFmtId="4" fontId="1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77" fillId="0" borderId="0" xfId="35" applyNumberFormat="1" applyFont="1" applyFill="1" applyAlignment="1" applyProtection="1"/>
    <xf numFmtId="0" fontId="77" fillId="0" borderId="0" xfId="35" applyFont="1" applyFill="1"/>
    <xf numFmtId="0" fontId="11" fillId="0" borderId="0" xfId="35" applyNumberFormat="1" applyFont="1" applyFill="1" applyAlignment="1" applyProtection="1">
      <alignment horizontal="center" vertical="center" wrapText="1"/>
    </xf>
    <xf numFmtId="0" fontId="14"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xf>
    <xf numFmtId="0" fontId="77" fillId="0" borderId="0" xfId="35" applyFont="1" applyFill="1" applyAlignment="1">
      <alignment horizontal="center"/>
    </xf>
    <xf numFmtId="0" fontId="14" fillId="0" borderId="0" xfId="35" applyFont="1" applyFill="1" applyAlignment="1">
      <alignment horizontal="right"/>
    </xf>
    <xf numFmtId="0" fontId="77" fillId="0" borderId="16" xfId="35" applyNumberFormat="1" applyFont="1" applyFill="1" applyBorder="1" applyAlignment="1" applyProtection="1"/>
    <xf numFmtId="0" fontId="77" fillId="0" borderId="17" xfId="35" applyNumberFormat="1" applyFont="1" applyFill="1" applyBorder="1" applyAlignment="1" applyProtection="1"/>
    <xf numFmtId="0" fontId="79" fillId="0" borderId="8" xfId="35" applyNumberFormat="1" applyFont="1" applyFill="1" applyBorder="1" applyAlignment="1" applyProtection="1">
      <alignment horizontal="center" vertical="center" wrapText="1"/>
    </xf>
    <xf numFmtId="0" fontId="77" fillId="0" borderId="0" xfId="35" applyNumberFormat="1" applyFont="1" applyFill="1" applyBorder="1" applyAlignment="1" applyProtection="1"/>
    <xf numFmtId="0" fontId="66" fillId="0" borderId="0" xfId="35" applyNumberFormat="1" applyFont="1" applyFill="1" applyAlignment="1" applyProtection="1"/>
    <xf numFmtId="49" fontId="30" fillId="0" borderId="7" xfId="35" applyNumberFormat="1" applyFont="1" applyBorder="1" applyAlignment="1">
      <alignment horizontal="center" vertical="center" wrapText="1"/>
    </xf>
    <xf numFmtId="49" fontId="30" fillId="0" borderId="7" xfId="0" applyNumberFormat="1" applyFont="1" applyFill="1" applyBorder="1" applyAlignment="1">
      <alignment horizontal="center" vertical="center" wrapText="1"/>
    </xf>
    <xf numFmtId="4" fontId="31" fillId="0" borderId="7" xfId="35" applyNumberFormat="1" applyFont="1" applyBorder="1" applyAlignment="1">
      <alignment horizontal="center" vertical="center"/>
    </xf>
    <xf numFmtId="0" fontId="80" fillId="0" borderId="0" xfId="35" applyFont="1" applyFill="1"/>
    <xf numFmtId="49" fontId="51" fillId="0" borderId="7" xfId="35" applyNumberFormat="1" applyFont="1" applyBorder="1" applyAlignment="1">
      <alignment horizontal="center" vertical="center" wrapText="1"/>
    </xf>
    <xf numFmtId="49" fontId="51" fillId="0" borderId="7" xfId="0" applyNumberFormat="1" applyFont="1" applyFill="1" applyBorder="1" applyAlignment="1">
      <alignment horizontal="center" vertical="center" wrapText="1"/>
    </xf>
    <xf numFmtId="4" fontId="33" fillId="0" borderId="7" xfId="35" applyNumberFormat="1" applyFont="1" applyBorder="1" applyAlignment="1">
      <alignment horizontal="center" vertical="center"/>
    </xf>
    <xf numFmtId="49" fontId="29" fillId="0" borderId="7" xfId="35" applyNumberFormat="1" applyFont="1" applyBorder="1" applyAlignment="1">
      <alignment horizontal="center" vertical="center" wrapText="1"/>
    </xf>
    <xf numFmtId="49" fontId="52" fillId="0" borderId="7" xfId="35" applyNumberFormat="1" applyFont="1" applyBorder="1" applyAlignment="1">
      <alignment horizontal="center" vertical="center" wrapText="1"/>
    </xf>
    <xf numFmtId="4" fontId="55" fillId="0" borderId="7" xfId="35" applyNumberFormat="1" applyFont="1" applyBorder="1" applyAlignment="1">
      <alignment horizontal="center" vertical="center"/>
    </xf>
    <xf numFmtId="0" fontId="81" fillId="0" borderId="0" xfId="36" applyNumberFormat="1" applyFont="1" applyFill="1" applyBorder="1" applyAlignment="1" applyProtection="1">
      <alignment vertical="top"/>
    </xf>
    <xf numFmtId="0" fontId="74" fillId="0" borderId="0" xfId="36" applyNumberFormat="1" applyFont="1" applyFill="1" applyBorder="1" applyAlignment="1" applyProtection="1">
      <alignment vertical="top"/>
    </xf>
    <xf numFmtId="0" fontId="81" fillId="0" borderId="0" xfId="36" applyNumberFormat="1" applyFont="1" applyFill="1" applyBorder="1" applyAlignment="1" applyProtection="1">
      <alignment horizontal="center" vertical="top"/>
    </xf>
    <xf numFmtId="0" fontId="83" fillId="0" borderId="0" xfId="36" applyNumberFormat="1" applyFont="1" applyFill="1" applyBorder="1" applyAlignment="1" applyProtection="1">
      <alignment horizontal="right" vertical="top"/>
    </xf>
    <xf numFmtId="0" fontId="10" fillId="0" borderId="0" xfId="36" applyNumberFormat="1" applyFont="1" applyFill="1" applyBorder="1" applyAlignment="1" applyProtection="1">
      <alignment horizontal="center" vertical="top"/>
    </xf>
    <xf numFmtId="2" fontId="74" fillId="0" borderId="0" xfId="36" applyNumberFormat="1" applyFont="1" applyFill="1" applyBorder="1" applyAlignment="1" applyProtection="1">
      <alignment horizontal="center" vertical="top"/>
    </xf>
    <xf numFmtId="2" fontId="81" fillId="0" borderId="7" xfId="36" applyNumberFormat="1" applyFont="1" applyFill="1" applyBorder="1" applyAlignment="1" applyProtection="1">
      <alignment horizontal="center" vertical="center"/>
    </xf>
    <xf numFmtId="2" fontId="10" fillId="0" borderId="7" xfId="36" applyNumberFormat="1" applyFont="1" applyFill="1" applyBorder="1" applyAlignment="1" applyProtection="1">
      <alignment horizontal="center" vertical="center"/>
    </xf>
    <xf numFmtId="2" fontId="10" fillId="0" borderId="0" xfId="36" applyNumberFormat="1" applyFont="1" applyFill="1" applyBorder="1" applyAlignment="1" applyProtection="1">
      <alignment horizontal="center" vertical="top"/>
    </xf>
    <xf numFmtId="2" fontId="9" fillId="0" borderId="7" xfId="36" applyNumberFormat="1" applyFont="1" applyFill="1" applyBorder="1" applyAlignment="1" applyProtection="1">
      <alignment horizontal="center" vertical="center" wrapText="1"/>
    </xf>
    <xf numFmtId="2" fontId="84" fillId="0" borderId="7" xfId="36" applyNumberFormat="1" applyFont="1" applyFill="1" applyBorder="1" applyAlignment="1" applyProtection="1">
      <alignment horizontal="center" vertical="center" wrapText="1"/>
    </xf>
    <xf numFmtId="4" fontId="9" fillId="0" borderId="7" xfId="36" applyNumberFormat="1" applyFont="1" applyFill="1" applyBorder="1" applyAlignment="1" applyProtection="1">
      <alignment horizontal="center" vertical="center"/>
    </xf>
    <xf numFmtId="2" fontId="81" fillId="0" borderId="7" xfId="36" applyNumberFormat="1" applyFont="1" applyFill="1" applyBorder="1" applyAlignment="1" applyProtection="1">
      <alignment horizontal="center" vertical="center" wrapText="1"/>
    </xf>
    <xf numFmtId="4" fontId="85" fillId="0" borderId="7" xfId="36" applyNumberFormat="1" applyFont="1" applyFill="1" applyBorder="1" applyAlignment="1" applyProtection="1">
      <alignment horizontal="center" vertical="center" wrapText="1"/>
    </xf>
    <xf numFmtId="2" fontId="12" fillId="0" borderId="0" xfId="36" applyNumberFormat="1" applyFont="1" applyFill="1" applyBorder="1" applyAlignment="1" applyProtection="1">
      <alignment vertical="top"/>
    </xf>
    <xf numFmtId="0" fontId="84" fillId="0" borderId="0" xfId="36" applyNumberFormat="1" applyFont="1" applyFill="1" applyBorder="1" applyAlignment="1" applyProtection="1">
      <alignment horizontal="center" vertical="top" wrapText="1"/>
    </xf>
    <xf numFmtId="2" fontId="84" fillId="0" borderId="0" xfId="36" applyNumberFormat="1" applyFont="1" applyFill="1" applyBorder="1" applyAlignment="1" applyProtection="1">
      <alignment horizontal="center" vertical="top" wrapText="1"/>
    </xf>
    <xf numFmtId="165" fontId="9" fillId="0" borderId="0" xfId="36" applyNumberFormat="1" applyFont="1" applyFill="1" applyBorder="1" applyAlignment="1" applyProtection="1">
      <alignment horizontal="center" vertical="top"/>
    </xf>
    <xf numFmtId="0" fontId="86" fillId="0" borderId="0" xfId="38" applyNumberFormat="1" applyFont="1" applyFill="1" applyBorder="1" applyAlignment="1" applyProtection="1">
      <alignment horizontal="left" vertical="center" wrapText="1"/>
      <protection locked="0"/>
    </xf>
    <xf numFmtId="0" fontId="84" fillId="0" borderId="0" xfId="36" applyNumberFormat="1" applyFont="1" applyFill="1" applyBorder="1" applyAlignment="1" applyProtection="1">
      <alignment horizontal="left" vertical="top" wrapText="1"/>
    </xf>
    <xf numFmtId="4" fontId="44" fillId="0" borderId="7" xfId="38" applyNumberFormat="1" applyFont="1" applyFill="1" applyBorder="1" applyAlignment="1" applyProtection="1">
      <alignment horizontal="center" vertical="center" wrapText="1"/>
      <protection locked="0"/>
    </xf>
    <xf numFmtId="4" fontId="46" fillId="0" borderId="7" xfId="38" applyNumberFormat="1" applyFont="1" applyFill="1" applyBorder="1" applyAlignment="1" applyProtection="1">
      <alignment horizontal="center" vertical="center" wrapText="1"/>
      <protection locked="0"/>
    </xf>
    <xf numFmtId="4" fontId="45"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xf>
    <xf numFmtId="4" fontId="47"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0" borderId="7" xfId="38" applyNumberFormat="1" applyFont="1" applyFill="1" applyBorder="1" applyAlignment="1" applyProtection="1">
      <alignment horizontal="center" vertical="center" wrapText="1"/>
      <protection locked="0"/>
    </xf>
    <xf numFmtId="4" fontId="46"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protection locked="0"/>
    </xf>
    <xf numFmtId="49" fontId="41" fillId="0" borderId="7"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0" fontId="41" fillId="0" borderId="8"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pplyProtection="1">
      <alignment horizontal="center" vertical="center" wrapText="1"/>
    </xf>
    <xf numFmtId="0" fontId="42" fillId="0" borderId="13" xfId="0" applyNumberFormat="1" applyFont="1" applyFill="1" applyBorder="1" applyAlignment="1">
      <alignment horizontal="center" vertical="center" wrapText="1"/>
    </xf>
    <xf numFmtId="4" fontId="52" fillId="0" borderId="7" xfId="35" applyNumberFormat="1" applyFont="1" applyFill="1" applyBorder="1" applyAlignment="1" applyProtection="1">
      <alignment horizontal="center" vertical="center"/>
    </xf>
    <xf numFmtId="164" fontId="55" fillId="0" borderId="7" xfId="30" applyNumberFormat="1" applyFont="1" applyFill="1" applyBorder="1" applyAlignment="1">
      <alignment horizontal="center" vertical="center" wrapText="1"/>
    </xf>
    <xf numFmtId="4" fontId="87" fillId="0" borderId="0" xfId="0" applyNumberFormat="1" applyFont="1"/>
    <xf numFmtId="0" fontId="88" fillId="0" borderId="0" xfId="0" applyFont="1"/>
    <xf numFmtId="4" fontId="52" fillId="0" borderId="7" xfId="30" applyNumberFormat="1" applyFont="1" applyFill="1" applyBorder="1" applyAlignment="1">
      <alignment horizontal="center" vertical="center"/>
    </xf>
    <xf numFmtId="4" fontId="48" fillId="0" borderId="0" xfId="0" applyNumberFormat="1" applyFont="1" applyFill="1"/>
    <xf numFmtId="0" fontId="12" fillId="0" borderId="0" xfId="39" applyNumberFormat="1" applyFont="1" applyFill="1" applyAlignment="1" applyProtection="1"/>
    <xf numFmtId="4" fontId="29" fillId="0" borderId="7" xfId="30" applyNumberFormat="1" applyFont="1" applyFill="1" applyBorder="1" applyAlignment="1">
      <alignment horizontal="center" vertical="center"/>
    </xf>
    <xf numFmtId="4" fontId="53" fillId="0" borderId="0" xfId="0" applyNumberFormat="1" applyFont="1" applyFill="1"/>
    <xf numFmtId="0" fontId="13" fillId="0" borderId="7" xfId="0" applyFont="1" applyFill="1" applyBorder="1" applyAlignment="1">
      <alignment horizontal="left" vertical="center" wrapText="1"/>
    </xf>
    <xf numFmtId="0" fontId="99" fillId="0" borderId="0" xfId="0" applyFont="1" applyAlignment="1">
      <alignment vertical="center"/>
    </xf>
    <xf numFmtId="2" fontId="100" fillId="0" borderId="0" xfId="0" applyNumberFormat="1" applyFont="1" applyAlignment="1">
      <alignment horizontal="center" vertical="center"/>
    </xf>
    <xf numFmtId="4" fontId="99" fillId="0" borderId="0" xfId="0" applyNumberFormat="1" applyFont="1" applyAlignment="1">
      <alignment vertical="center"/>
    </xf>
    <xf numFmtId="49" fontId="42"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42" fillId="0" borderId="7" xfId="0" applyFont="1" applyFill="1" applyBorder="1" applyAlignment="1">
      <alignment horizontal="center" vertical="center" wrapText="1"/>
    </xf>
    <xf numFmtId="166" fontId="46"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30" fillId="26" borderId="7" xfId="35" applyFont="1" applyFill="1" applyBorder="1" applyAlignment="1">
      <alignment horizontal="center" vertical="center" wrapText="1"/>
    </xf>
    <xf numFmtId="4" fontId="44" fillId="26" borderId="7" xfId="0" applyNumberFormat="1" applyFont="1" applyFill="1" applyBorder="1" applyAlignment="1">
      <alignment horizontal="center" vertical="center"/>
    </xf>
    <xf numFmtId="4" fontId="47" fillId="26" borderId="7" xfId="0" applyNumberFormat="1" applyFont="1" applyFill="1" applyBorder="1" applyAlignment="1">
      <alignment horizontal="center" vertical="center"/>
    </xf>
    <xf numFmtId="0" fontId="29" fillId="26" borderId="7" xfId="35" applyFont="1" applyFill="1" applyBorder="1" applyAlignment="1">
      <alignment horizontal="center" vertical="center" wrapText="1"/>
    </xf>
    <xf numFmtId="49" fontId="29" fillId="26" borderId="7" xfId="35" applyNumberFormat="1" applyFont="1" applyFill="1" applyBorder="1" applyAlignment="1">
      <alignment horizontal="center" vertical="center" wrapText="1"/>
    </xf>
    <xf numFmtId="0" fontId="30" fillId="26" borderId="7" xfId="35" applyFont="1" applyFill="1" applyBorder="1" applyAlignment="1">
      <alignment horizontal="justify" vertical="center" wrapText="1"/>
    </xf>
    <xf numFmtId="4" fontId="31" fillId="26" borderId="7" xfId="35" applyNumberFormat="1" applyFont="1" applyFill="1" applyBorder="1" applyAlignment="1">
      <alignment horizontal="center" vertical="center"/>
    </xf>
    <xf numFmtId="4" fontId="30" fillId="26" borderId="7" xfId="35" applyNumberFormat="1" applyFont="1" applyFill="1" applyBorder="1" applyAlignment="1" applyProtection="1">
      <alignment horizontal="center" vertical="center"/>
    </xf>
    <xf numFmtId="2" fontId="74" fillId="26" borderId="7" xfId="36" applyNumberFormat="1" applyFont="1" applyFill="1" applyBorder="1" applyAlignment="1" applyProtection="1">
      <alignment horizontal="center" vertical="center" wrapText="1"/>
    </xf>
    <xf numFmtId="2" fontId="10" fillId="26" borderId="7" xfId="36" applyNumberFormat="1" applyFont="1" applyFill="1" applyBorder="1" applyAlignment="1" applyProtection="1">
      <alignment horizontal="center" vertical="center"/>
    </xf>
    <xf numFmtId="4" fontId="85" fillId="26" borderId="7" xfId="36" applyNumberFormat="1" applyFont="1" applyFill="1" applyBorder="1" applyAlignment="1" applyProtection="1">
      <alignment horizontal="center" vertical="center"/>
    </xf>
    <xf numFmtId="2" fontId="9" fillId="26" borderId="7" xfId="36" applyNumberFormat="1" applyFont="1" applyFill="1" applyBorder="1" applyAlignment="1" applyProtection="1">
      <alignment horizontal="center" vertical="center" wrapText="1"/>
    </xf>
    <xf numFmtId="2" fontId="81" fillId="26" borderId="7" xfId="36" applyNumberFormat="1" applyFont="1" applyFill="1" applyBorder="1" applyAlignment="1" applyProtection="1">
      <alignment horizontal="center" vertical="center" wrapText="1"/>
    </xf>
    <xf numFmtId="4" fontId="85" fillId="26" borderId="7" xfId="36" applyNumberFormat="1" applyFont="1" applyFill="1" applyBorder="1" applyAlignment="1" applyProtection="1">
      <alignment horizontal="center" vertical="center" wrapText="1"/>
    </xf>
    <xf numFmtId="164" fontId="34" fillId="26" borderId="7" xfId="35" applyNumberFormat="1" applyFont="1" applyFill="1" applyBorder="1" applyAlignment="1">
      <alignment vertical="justify"/>
    </xf>
    <xf numFmtId="4" fontId="31" fillId="26" borderId="7"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xf>
    <xf numFmtId="2" fontId="101" fillId="0" borderId="0" xfId="36" applyNumberFormat="1" applyFont="1" applyFill="1" applyBorder="1" applyAlignment="1" applyProtection="1">
      <alignment horizontal="center" vertical="top"/>
    </xf>
    <xf numFmtId="49" fontId="43" fillId="27" borderId="7" xfId="0" applyNumberFormat="1" applyFont="1" applyFill="1" applyBorder="1" applyAlignment="1">
      <alignment horizontal="center" vertical="center" wrapText="1"/>
    </xf>
    <xf numFmtId="49" fontId="40" fillId="27" borderId="7" xfId="0" applyNumberFormat="1" applyFont="1" applyFill="1" applyBorder="1" applyAlignment="1">
      <alignment horizontal="center" vertical="center" wrapText="1"/>
    </xf>
    <xf numFmtId="0" fontId="43" fillId="27" borderId="7" xfId="38" applyNumberFormat="1" applyFont="1" applyFill="1" applyBorder="1" applyAlignment="1" applyProtection="1">
      <alignment horizontal="center" vertical="center" wrapText="1"/>
      <protection locked="0"/>
    </xf>
    <xf numFmtId="4" fontId="47" fillId="27" borderId="7" xfId="0" applyNumberFormat="1" applyFont="1" applyFill="1" applyBorder="1" applyAlignment="1">
      <alignment horizontal="center" vertical="center"/>
    </xf>
    <xf numFmtId="4" fontId="44" fillId="27" borderId="7" xfId="0" applyNumberFormat="1" applyFont="1" applyFill="1" applyBorder="1" applyAlignment="1">
      <alignment horizontal="center" vertical="center"/>
    </xf>
    <xf numFmtId="0" fontId="40" fillId="27" borderId="7" xfId="38" applyNumberFormat="1" applyFont="1" applyFill="1" applyBorder="1" applyAlignment="1" applyProtection="1">
      <alignment horizontal="center" vertical="center" wrapText="1"/>
      <protection locked="0"/>
    </xf>
    <xf numFmtId="4" fontId="44" fillId="27" borderId="7" xfId="0" applyNumberFormat="1" applyFont="1" applyFill="1" applyBorder="1" applyAlignment="1">
      <alignment horizontal="center" vertical="center" wrapText="1"/>
    </xf>
    <xf numFmtId="4" fontId="47" fillId="27" borderId="7" xfId="0" applyNumberFormat="1" applyFont="1" applyFill="1" applyBorder="1" applyAlignment="1">
      <alignment horizontal="center" vertical="center" wrapText="1"/>
    </xf>
    <xf numFmtId="4" fontId="44" fillId="27" borderId="7" xfId="38" applyNumberFormat="1" applyFont="1" applyFill="1" applyBorder="1" applyAlignment="1" applyProtection="1">
      <alignment horizontal="center" vertical="center" wrapText="1"/>
      <protection locked="0"/>
    </xf>
    <xf numFmtId="49" fontId="40" fillId="27" borderId="7" xfId="0" applyNumberFormat="1" applyFont="1" applyFill="1" applyBorder="1" applyAlignment="1">
      <alignment horizontal="center" vertical="center"/>
    </xf>
    <xf numFmtId="49" fontId="42" fillId="27" borderId="7" xfId="0" applyNumberFormat="1" applyFont="1" applyFill="1" applyBorder="1" applyAlignment="1">
      <alignment horizontal="center" vertical="center"/>
    </xf>
    <xf numFmtId="4" fontId="47" fillId="27" borderId="7" xfId="38" applyNumberFormat="1" applyFont="1" applyFill="1" applyBorder="1" applyAlignment="1" applyProtection="1">
      <alignment horizontal="center" vertical="center" wrapText="1"/>
      <protection locked="0"/>
    </xf>
    <xf numFmtId="0" fontId="43" fillId="27" borderId="7" xfId="0" applyFont="1" applyFill="1" applyBorder="1" applyAlignment="1">
      <alignment horizontal="center" vertical="center" wrapText="1"/>
    </xf>
    <xf numFmtId="0" fontId="40" fillId="27" borderId="7" xfId="0" applyFont="1" applyFill="1" applyBorder="1" applyAlignment="1">
      <alignment horizontal="center" vertical="center" wrapText="1"/>
    </xf>
    <xf numFmtId="0" fontId="42" fillId="0" borderId="7" xfId="0" applyFont="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42" fillId="0" borderId="8" xfId="38" applyNumberFormat="1" applyFont="1" applyFill="1" applyBorder="1" applyAlignment="1" applyProtection="1">
      <alignment horizontal="center" vertical="center" wrapText="1"/>
      <protection locked="0"/>
    </xf>
    <xf numFmtId="2" fontId="10" fillId="0" borderId="7" xfId="36" applyNumberFormat="1" applyFont="1" applyFill="1" applyBorder="1" applyAlignment="1" applyProtection="1">
      <alignment horizontal="center" vertical="center" wrapText="1"/>
    </xf>
    <xf numFmtId="4" fontId="10" fillId="0" borderId="7" xfId="36" applyNumberFormat="1" applyFont="1" applyFill="1" applyBorder="1" applyAlignment="1" applyProtection="1">
      <alignment horizontal="center" vertical="center"/>
    </xf>
    <xf numFmtId="2" fontId="84" fillId="0" borderId="7" xfId="38" applyNumberFormat="1"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49" fontId="42" fillId="0" borderId="8"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41" fillId="0" borderId="16" xfId="0" applyNumberFormat="1" applyFont="1" applyFill="1" applyBorder="1" applyAlignment="1">
      <alignment horizontal="center" vertical="center" wrapText="1"/>
    </xf>
    <xf numFmtId="0" fontId="41" fillId="0" borderId="0" xfId="0" applyFont="1" applyAlignment="1">
      <alignment horizontal="center" vertical="center" wrapText="1"/>
    </xf>
    <xf numFmtId="4" fontId="3" fillId="0" borderId="0" xfId="35" applyNumberFormat="1" applyFont="1" applyFill="1"/>
    <xf numFmtId="0" fontId="29" fillId="0" borderId="13" xfId="0" applyNumberFormat="1" applyFont="1" applyFill="1" applyBorder="1" applyAlignment="1">
      <alignment horizontal="center" vertical="center" wrapText="1"/>
    </xf>
    <xf numFmtId="4" fontId="30" fillId="6" borderId="7" xfId="0" applyNumberFormat="1" applyFont="1" applyFill="1" applyBorder="1" applyAlignment="1">
      <alignment horizontal="center" vertical="center" wrapText="1"/>
    </xf>
    <xf numFmtId="0" fontId="56" fillId="0" borderId="7" xfId="0" applyFont="1" applyBorder="1" applyAlignment="1">
      <alignment horizontal="center" vertical="center" wrapText="1"/>
    </xf>
    <xf numFmtId="49" fontId="42" fillId="0" borderId="8"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102" fillId="0" borderId="0" xfId="0" applyNumberFormat="1" applyFont="1" applyAlignment="1">
      <alignment vertical="center"/>
    </xf>
    <xf numFmtId="4" fontId="103" fillId="0" borderId="0" xfId="0" applyNumberFormat="1" applyFont="1" applyAlignment="1">
      <alignment vertical="center"/>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52" fillId="0" borderId="8"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wrapText="1"/>
    </xf>
    <xf numFmtId="0" fontId="105" fillId="0" borderId="0" xfId="0" applyFont="1" applyBorder="1" applyAlignment="1">
      <alignment horizontal="left" vertical="center"/>
    </xf>
    <xf numFmtId="0" fontId="107" fillId="0" borderId="0" xfId="0" applyFont="1" applyBorder="1" applyAlignment="1">
      <alignment horizontal="left" vertical="center"/>
    </xf>
    <xf numFmtId="49" fontId="42" fillId="0" borderId="7" xfId="0" applyNumberFormat="1" applyFont="1" applyFill="1" applyBorder="1" applyAlignment="1">
      <alignment horizontal="center" vertical="center" wrapText="1"/>
    </xf>
    <xf numFmtId="0" fontId="108" fillId="0" borderId="0" xfId="0" applyFont="1" applyBorder="1" applyAlignment="1">
      <alignment horizontal="left" vertical="center"/>
    </xf>
    <xf numFmtId="0" fontId="43" fillId="0" borderId="7" xfId="0" applyFont="1" applyBorder="1" applyAlignment="1">
      <alignment horizontal="center" vertical="center" wrapText="1"/>
    </xf>
    <xf numFmtId="0" fontId="109" fillId="0" borderId="0" xfId="0" applyFont="1" applyAlignment="1">
      <alignment vertical="center"/>
    </xf>
    <xf numFmtId="0" fontId="56" fillId="0" borderId="0" xfId="0" applyFont="1"/>
    <xf numFmtId="0" fontId="41" fillId="0" borderId="0" xfId="0" applyFont="1" applyAlignment="1">
      <alignment vertical="center"/>
    </xf>
    <xf numFmtId="0" fontId="36" fillId="0" borderId="0" xfId="0" applyFont="1" applyAlignment="1">
      <alignment horizontal="right" vertical="center"/>
    </xf>
    <xf numFmtId="4" fontId="109" fillId="0" borderId="0" xfId="0" applyNumberFormat="1" applyFont="1" applyAlignment="1">
      <alignment vertical="center"/>
    </xf>
    <xf numFmtId="49"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top" wrapText="1"/>
    </xf>
    <xf numFmtId="164" fontId="55" fillId="0" borderId="8" xfId="30" applyNumberFormat="1" applyFont="1" applyFill="1" applyBorder="1" applyAlignment="1">
      <alignment horizontal="center" vertical="center" wrapText="1"/>
    </xf>
    <xf numFmtId="0" fontId="52" fillId="0" borderId="0" xfId="0" applyFont="1" applyFill="1" applyAlignment="1">
      <alignment horizontal="center" vertical="center" wrapText="1"/>
    </xf>
    <xf numFmtId="164" fontId="32" fillId="0" borderId="8" xfId="30" applyNumberFormat="1" applyFont="1" applyFill="1" applyBorder="1" applyAlignment="1">
      <alignment horizontal="center" vertical="center" wrapText="1"/>
    </xf>
    <xf numFmtId="0" fontId="52" fillId="0" borderId="8" xfId="0"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 fontId="52" fillId="0" borderId="7" xfId="38" applyNumberFormat="1" applyFont="1" applyFill="1" applyBorder="1" applyAlignment="1" applyProtection="1">
      <alignment horizontal="center" vertical="center" wrapText="1"/>
      <protection locked="0"/>
    </xf>
    <xf numFmtId="4" fontId="29" fillId="0" borderId="7" xfId="38" applyNumberFormat="1" applyFont="1" applyFill="1" applyBorder="1" applyAlignment="1" applyProtection="1">
      <alignment horizontal="center" vertical="center" wrapText="1"/>
      <protection locked="0"/>
    </xf>
    <xf numFmtId="49" fontId="29" fillId="0" borderId="7" xfId="0" applyNumberFormat="1" applyFont="1" applyFill="1" applyBorder="1" applyAlignment="1">
      <alignment horizontal="center" vertical="center" wrapText="1"/>
    </xf>
    <xf numFmtId="4" fontId="32" fillId="0" borderId="10" xfId="30" applyNumberFormat="1" applyFont="1" applyFill="1" applyBorder="1" applyAlignment="1">
      <alignment horizontal="center" vertical="center"/>
    </xf>
    <xf numFmtId="0" fontId="3" fillId="0" borderId="0" xfId="0" applyFont="1"/>
    <xf numFmtId="0" fontId="3" fillId="0" borderId="0" xfId="0" applyFont="1" applyFill="1"/>
    <xf numFmtId="0" fontId="111" fillId="0" borderId="7" xfId="0" applyFont="1" applyFill="1" applyBorder="1" applyAlignment="1">
      <alignment horizontal="center" vertical="center" wrapText="1"/>
    </xf>
    <xf numFmtId="0" fontId="10" fillId="0" borderId="7" xfId="35" applyNumberFormat="1" applyFont="1" applyFill="1" applyBorder="1" applyAlignment="1" applyProtection="1">
      <alignment horizontal="center" vertical="center" wrapText="1"/>
    </xf>
    <xf numFmtId="0" fontId="111" fillId="0" borderId="7" xfId="0" applyFont="1" applyFill="1" applyBorder="1" applyAlignment="1">
      <alignment horizontal="center" vertical="center"/>
    </xf>
    <xf numFmtId="0" fontId="112" fillId="0" borderId="7" xfId="0" applyFont="1" applyFill="1" applyBorder="1" applyAlignment="1">
      <alignment horizontal="center" vertical="center"/>
    </xf>
    <xf numFmtId="49" fontId="35" fillId="0" borderId="7" xfId="0" applyNumberFormat="1" applyFont="1" applyFill="1" applyBorder="1" applyAlignment="1">
      <alignment horizontal="center" vertical="center" wrapText="1"/>
    </xf>
    <xf numFmtId="0" fontId="112" fillId="0" borderId="7" xfId="0" applyFont="1" applyFill="1" applyBorder="1" applyAlignment="1">
      <alignment horizontal="left" vertical="center" wrapText="1"/>
    </xf>
    <xf numFmtId="4" fontId="112"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4" fontId="111" fillId="26" borderId="7" xfId="0" applyNumberFormat="1" applyFont="1" applyFill="1" applyBorder="1" applyAlignment="1">
      <alignment horizontal="center" vertical="center"/>
    </xf>
    <xf numFmtId="0" fontId="82" fillId="0" borderId="0" xfId="0" applyFont="1"/>
    <xf numFmtId="0" fontId="9" fillId="0" borderId="0" xfId="0" applyFont="1"/>
    <xf numFmtId="0" fontId="82" fillId="0" borderId="0" xfId="0" applyFont="1" applyFill="1"/>
    <xf numFmtId="2" fontId="9" fillId="0" borderId="0" xfId="36" applyNumberFormat="1" applyFont="1" applyFill="1" applyBorder="1" applyAlignment="1" applyProtection="1">
      <alignment vertical="top"/>
    </xf>
    <xf numFmtId="49" fontId="29" fillId="0" borderId="7" xfId="0" applyNumberFormat="1" applyFont="1" applyFill="1" applyBorder="1" applyAlignment="1">
      <alignment horizontal="center" vertical="center" wrapText="1"/>
    </xf>
    <xf numFmtId="0" fontId="3" fillId="0" borderId="0" xfId="35" applyFont="1" applyFill="1" applyBorder="1"/>
    <xf numFmtId="49" fontId="29" fillId="0" borderId="7" xfId="0" applyNumberFormat="1" applyFont="1" applyFill="1" applyBorder="1" applyAlignment="1">
      <alignment horizontal="center" vertical="center" wrapText="1"/>
    </xf>
    <xf numFmtId="49" fontId="89" fillId="0" borderId="7" xfId="0" applyNumberFormat="1" applyFont="1" applyFill="1" applyBorder="1" applyAlignment="1">
      <alignment horizontal="center" vertical="center" wrapText="1"/>
    </xf>
    <xf numFmtId="4" fontId="39" fillId="0" borderId="7" xfId="30" applyNumberFormat="1" applyFont="1" applyFill="1" applyBorder="1" applyAlignment="1">
      <alignment horizontal="center" vertical="center"/>
    </xf>
    <xf numFmtId="4"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0" fontId="52" fillId="0" borderId="7" xfId="40" applyFont="1" applyFill="1" applyBorder="1" applyAlignment="1">
      <alignment horizontal="center" vertical="center" wrapText="1"/>
    </xf>
    <xf numFmtId="4" fontId="58" fillId="0" borderId="7" xfId="30" applyNumberFormat="1" applyFont="1" applyFill="1" applyBorder="1" applyAlignment="1">
      <alignment horizontal="center" vertical="center"/>
    </xf>
    <xf numFmtId="164" fontId="58" fillId="0" borderId="7" xfId="30" applyNumberFormat="1" applyFont="1" applyFill="1" applyBorder="1" applyAlignment="1">
      <alignment horizontal="center" vertical="center"/>
    </xf>
    <xf numFmtId="4" fontId="55" fillId="0" borderId="10" xfId="30" applyNumberFormat="1" applyFont="1" applyFill="1" applyBorder="1" applyAlignment="1">
      <alignment horizontal="center" vertical="center"/>
    </xf>
    <xf numFmtId="0" fontId="52" fillId="0" borderId="7" xfId="41" applyFont="1" applyFill="1" applyBorder="1" applyAlignment="1">
      <alignment horizontal="center" vertical="center" wrapText="1"/>
    </xf>
    <xf numFmtId="0" fontId="52" fillId="6" borderId="7" xfId="41" applyFont="1" applyFill="1" applyBorder="1" applyAlignment="1">
      <alignment horizontal="center" vertical="center" wrapText="1"/>
    </xf>
    <xf numFmtId="0" fontId="52" fillId="6" borderId="10" xfId="41" applyFont="1" applyFill="1" applyBorder="1" applyAlignment="1">
      <alignment horizontal="center" vertical="center" wrapText="1"/>
    </xf>
    <xf numFmtId="0" fontId="52" fillId="0" borderId="7" xfId="86" applyFont="1" applyFill="1" applyBorder="1" applyAlignment="1">
      <alignment horizontal="center" vertical="center" wrapText="1"/>
    </xf>
    <xf numFmtId="0" fontId="111" fillId="0" borderId="0" xfId="0" applyFont="1" applyFill="1" applyBorder="1" applyAlignment="1">
      <alignment horizontal="center" vertical="center"/>
    </xf>
    <xf numFmtId="4" fontId="111" fillId="0" borderId="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117" fillId="0" borderId="0" xfId="0" applyNumberFormat="1" applyFont="1" applyAlignment="1">
      <alignment vertical="center"/>
    </xf>
    <xf numFmtId="49" fontId="42"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47" fillId="0" borderId="8"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top" wrapText="1"/>
    </xf>
    <xf numFmtId="0" fontId="52" fillId="0" borderId="7" xfId="38" applyNumberFormat="1" applyFont="1" applyFill="1" applyBorder="1" applyAlignment="1" applyProtection="1">
      <alignment horizontal="center" vertical="center" wrapText="1"/>
      <protection locked="0"/>
    </xf>
    <xf numFmtId="0" fontId="41" fillId="0" borderId="7" xfId="38" applyNumberFormat="1" applyFont="1" applyFill="1" applyBorder="1" applyAlignment="1" applyProtection="1">
      <alignment horizontal="center" vertical="center" wrapText="1"/>
      <protection locked="0"/>
    </xf>
    <xf numFmtId="0" fontId="10" fillId="0" borderId="7" xfId="37" applyFont="1" applyFill="1" applyBorder="1" applyAlignment="1">
      <alignment horizontal="justify" vertical="top" wrapText="1"/>
    </xf>
    <xf numFmtId="0" fontId="29" fillId="0" borderId="7" xfId="37" applyFont="1" applyFill="1" applyBorder="1" applyAlignment="1">
      <alignment horizontal="justify" vertical="top" wrapText="1"/>
    </xf>
    <xf numFmtId="49" fontId="54" fillId="0" borderId="7"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4" fontId="29" fillId="0" borderId="0" xfId="0" applyNumberFormat="1" applyFont="1" applyAlignment="1">
      <alignment vertical="center"/>
    </xf>
    <xf numFmtId="0" fontId="13" fillId="0" borderId="7" xfId="0" applyFont="1" applyFill="1" applyBorder="1" applyAlignment="1">
      <alignment horizontal="center" vertical="center" wrapText="1"/>
    </xf>
    <xf numFmtId="0" fontId="67" fillId="0" borderId="7" xfId="0"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0" fontId="42" fillId="0" borderId="9" xfId="38" applyNumberFormat="1" applyFont="1" applyFill="1" applyBorder="1" applyAlignment="1" applyProtection="1">
      <alignment horizontal="center" vertical="center" wrapText="1"/>
      <protection locked="0"/>
    </xf>
    <xf numFmtId="49" fontId="42" fillId="0" borderId="13" xfId="0" applyNumberFormat="1" applyFont="1" applyFill="1" applyBorder="1" applyAlignment="1">
      <alignment horizontal="center" vertical="center" wrapText="1"/>
    </xf>
    <xf numFmtId="164" fontId="29" fillId="0" borderId="7" xfId="30" applyNumberFormat="1" applyFont="1" applyBorder="1" applyAlignment="1">
      <alignment horizontal="center" vertical="center" wrapText="1"/>
    </xf>
    <xf numFmtId="49" fontId="29" fillId="0" borderId="13"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top" wrapText="1"/>
    </xf>
    <xf numFmtId="4" fontId="7" fillId="0" borderId="0" xfId="0" applyNumberFormat="1" applyFont="1" applyFill="1"/>
    <xf numFmtId="0" fontId="7" fillId="0" borderId="0" xfId="0" applyFont="1" applyFill="1"/>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3" fillId="28" borderId="7" xfId="0" applyNumberFormat="1" applyFont="1" applyFill="1" applyBorder="1" applyAlignment="1">
      <alignment horizontal="center" vertical="center" wrapText="1"/>
    </xf>
    <xf numFmtId="49" fontId="40" fillId="28" borderId="7" xfId="0" applyNumberFormat="1" applyFont="1" applyFill="1" applyBorder="1" applyAlignment="1">
      <alignment horizontal="center" vertical="center" wrapText="1"/>
    </xf>
    <xf numFmtId="4" fontId="44" fillId="28" borderId="7" xfId="0" applyNumberFormat="1" applyFont="1" applyFill="1" applyBorder="1" applyAlignment="1">
      <alignment horizontal="center" vertical="center" wrapText="1"/>
    </xf>
    <xf numFmtId="4" fontId="47" fillId="28" borderId="7"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49" fontId="40" fillId="28" borderId="7" xfId="0" applyNumberFormat="1" applyFont="1" applyFill="1" applyBorder="1" applyAlignment="1">
      <alignment horizontal="center" vertical="center"/>
    </xf>
    <xf numFmtId="49" fontId="42" fillId="28" borderId="7" xfId="0" applyNumberFormat="1" applyFont="1" applyFill="1" applyBorder="1" applyAlignment="1">
      <alignment horizontal="center" vertical="center"/>
    </xf>
    <xf numFmtId="0" fontId="43" fillId="28" borderId="7" xfId="38" applyNumberFormat="1" applyFont="1" applyFill="1" applyBorder="1" applyAlignment="1" applyProtection="1">
      <alignment horizontal="center" vertical="center" wrapText="1"/>
      <protection locked="0"/>
    </xf>
    <xf numFmtId="4" fontId="44" fillId="28" borderId="7" xfId="38" applyNumberFormat="1" applyFont="1" applyFill="1" applyBorder="1" applyAlignment="1" applyProtection="1">
      <alignment horizontal="center" vertical="center" wrapText="1"/>
      <protection locked="0"/>
    </xf>
    <xf numFmtId="4" fontId="47" fillId="28" borderId="7" xfId="38" applyNumberFormat="1" applyFont="1" applyFill="1" applyBorder="1" applyAlignment="1" applyProtection="1">
      <alignment horizontal="center" vertical="center" wrapText="1"/>
      <protection locked="0"/>
    </xf>
    <xf numFmtId="0" fontId="40" fillId="28" borderId="7" xfId="38" applyNumberFormat="1" applyFont="1" applyFill="1" applyBorder="1" applyAlignment="1" applyProtection="1">
      <alignment horizontal="center" vertical="center" wrapText="1"/>
      <protection locked="0"/>
    </xf>
    <xf numFmtId="0" fontId="3" fillId="29" borderId="0" xfId="35" applyFont="1" applyFill="1"/>
    <xf numFmtId="49" fontId="30" fillId="28" borderId="7" xfId="0" applyNumberFormat="1" applyFont="1" applyFill="1" applyBorder="1" applyAlignment="1">
      <alignment horizontal="center" vertical="center"/>
    </xf>
    <xf numFmtId="49" fontId="29" fillId="28" borderId="7" xfId="0" applyNumberFormat="1" applyFont="1" applyFill="1" applyBorder="1" applyAlignment="1">
      <alignment horizontal="center" vertical="center"/>
    </xf>
    <xf numFmtId="0" fontId="51" fillId="28" borderId="7" xfId="38" applyNumberFormat="1" applyFont="1" applyFill="1" applyBorder="1" applyAlignment="1" applyProtection="1">
      <alignment horizontal="center" vertical="center" wrapText="1"/>
      <protection locked="0"/>
    </xf>
    <xf numFmtId="164" fontId="55" fillId="28" borderId="7" xfId="30" applyNumberFormat="1" applyFont="1" applyFill="1" applyBorder="1" applyAlignment="1">
      <alignment horizontal="center" vertical="center" wrapText="1"/>
    </xf>
    <xf numFmtId="164" fontId="33" fillId="28" borderId="7" xfId="30" applyNumberFormat="1" applyFont="1" applyFill="1" applyBorder="1" applyAlignment="1">
      <alignment horizontal="center" vertical="center"/>
    </xf>
    <xf numFmtId="49" fontId="51" fillId="28" borderId="7" xfId="0" applyNumberFormat="1" applyFont="1" applyFill="1" applyBorder="1" applyAlignment="1">
      <alignment horizontal="center" vertical="center" wrapText="1"/>
    </xf>
    <xf numFmtId="0" fontId="30" fillId="28" borderId="7" xfId="38" applyNumberFormat="1" applyFont="1" applyFill="1" applyBorder="1" applyAlignment="1" applyProtection="1">
      <alignment horizontal="center" vertical="center" wrapText="1"/>
      <protection locked="0"/>
    </xf>
    <xf numFmtId="164" fontId="32" fillId="28" borderId="7" xfId="30" applyNumberFormat="1" applyFont="1" applyFill="1" applyBorder="1" applyAlignment="1">
      <alignment horizontal="center" vertical="center" wrapText="1"/>
    </xf>
    <xf numFmtId="164" fontId="31" fillId="28" borderId="7" xfId="3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9" fontId="29" fillId="0" borderId="7" xfId="0" applyNumberFormat="1" applyFont="1" applyFill="1" applyBorder="1" applyAlignment="1">
      <alignment horizontal="center" vertical="center" wrapText="1"/>
    </xf>
    <xf numFmtId="0" fontId="55" fillId="0" borderId="7" xfId="0"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29" fillId="0" borderId="8" xfId="85" applyFont="1" applyFill="1" applyBorder="1" applyAlignment="1">
      <alignment horizontal="center" vertical="center" wrapText="1"/>
    </xf>
    <xf numFmtId="0" fontId="29" fillId="0" borderId="7" xfId="85" applyFont="1" applyFill="1" applyBorder="1" applyAlignment="1">
      <alignment horizontal="center" vertical="center" wrapText="1"/>
    </xf>
    <xf numFmtId="4" fontId="33" fillId="28" borderId="7" xfId="30" applyNumberFormat="1" applyFont="1" applyFill="1" applyBorder="1" applyAlignment="1">
      <alignment horizontal="center" vertical="center"/>
    </xf>
    <xf numFmtId="4" fontId="31" fillId="28" borderId="7" xfId="30" applyNumberFormat="1" applyFont="1" applyFill="1" applyBorder="1" applyAlignment="1">
      <alignment horizontal="center" vertical="center"/>
    </xf>
    <xf numFmtId="49" fontId="30" fillId="28" borderId="7" xfId="0" applyNumberFormat="1" applyFont="1" applyFill="1" applyBorder="1" applyAlignment="1">
      <alignment horizontal="center" vertical="center" wrapText="1"/>
    </xf>
    <xf numFmtId="164" fontId="32" fillId="28" borderId="7" xfId="30" applyNumberFormat="1" applyFont="1" applyFill="1" applyBorder="1" applyAlignment="1">
      <alignment horizontal="center" vertical="center"/>
    </xf>
    <xf numFmtId="164" fontId="29" fillId="0" borderId="7" xfId="30" applyNumberFormat="1" applyFont="1" applyFill="1" applyBorder="1" applyAlignment="1">
      <alignment horizontal="center" vertical="center" wrapText="1"/>
    </xf>
    <xf numFmtId="0" fontId="43" fillId="28" borderId="7" xfId="0" applyFont="1" applyFill="1" applyBorder="1" applyAlignment="1">
      <alignment horizontal="center" vertical="center" wrapText="1"/>
    </xf>
    <xf numFmtId="0" fontId="40" fillId="28" borderId="7" xfId="0" applyFont="1" applyFill="1" applyBorder="1" applyAlignment="1">
      <alignment horizontal="center" vertical="center" wrapText="1"/>
    </xf>
    <xf numFmtId="0" fontId="51" fillId="28" borderId="7" xfId="0" applyFont="1" applyFill="1" applyBorder="1" applyAlignment="1">
      <alignment horizontal="center" vertical="center" wrapText="1"/>
    </xf>
    <xf numFmtId="0" fontId="30" fillId="28" borderId="7" xfId="0"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164" fontId="52" fillId="0" borderId="7" xfId="0" applyNumberFormat="1" applyFont="1" applyFill="1" applyBorder="1" applyAlignment="1">
      <alignment horizontal="center" vertical="center" wrapText="1"/>
    </xf>
    <xf numFmtId="4" fontId="52" fillId="0" borderId="0" xfId="0" applyNumberFormat="1" applyFont="1" applyAlignment="1">
      <alignment vertical="center"/>
    </xf>
    <xf numFmtId="164" fontId="39" fillId="28" borderId="7" xfId="30" applyNumberFormat="1" applyFont="1" applyFill="1" applyBorder="1" applyAlignment="1">
      <alignment horizontal="center" vertical="center"/>
    </xf>
    <xf numFmtId="4" fontId="51" fillId="28" borderId="7" xfId="0" applyNumberFormat="1" applyFont="1" applyFill="1" applyBorder="1" applyAlignment="1">
      <alignment horizontal="center" vertical="center" wrapText="1"/>
    </xf>
    <xf numFmtId="4" fontId="30" fillId="28" borderId="7" xfId="0" applyNumberFormat="1" applyFont="1" applyFill="1" applyBorder="1" applyAlignment="1">
      <alignment horizontal="center" vertical="center" wrapText="1"/>
    </xf>
    <xf numFmtId="164" fontId="3" fillId="0" borderId="7" xfId="30" applyNumberFormat="1" applyFont="1" applyFill="1" applyBorder="1" applyAlignment="1">
      <alignment horizontal="center" vertical="center"/>
    </xf>
    <xf numFmtId="4" fontId="3" fillId="0" borderId="7" xfId="35" applyNumberFormat="1" applyFont="1" applyFill="1" applyBorder="1"/>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29" fillId="28" borderId="7" xfId="35" applyNumberFormat="1" applyFont="1" applyFill="1" applyBorder="1" applyAlignment="1">
      <alignment horizontal="center" vertical="center" wrapText="1"/>
    </xf>
    <xf numFmtId="164" fontId="15" fillId="28" borderId="7" xfId="30" applyNumberFormat="1" applyFont="1" applyFill="1" applyBorder="1" applyAlignment="1">
      <alignment horizontal="center" vertical="center"/>
    </xf>
    <xf numFmtId="0" fontId="30" fillId="28" borderId="7" xfId="35" applyFont="1" applyFill="1" applyBorder="1" applyAlignment="1">
      <alignment horizontal="center" vertical="center" wrapText="1"/>
    </xf>
    <xf numFmtId="49" fontId="30" fillId="28" borderId="7" xfId="35" applyNumberFormat="1" applyFont="1" applyFill="1" applyBorder="1" applyAlignment="1">
      <alignment horizontal="center" vertical="center" wrapText="1"/>
    </xf>
    <xf numFmtId="4" fontId="47" fillId="28" borderId="7" xfId="0" applyNumberFormat="1" applyFont="1" applyFill="1" applyBorder="1" applyAlignment="1">
      <alignment horizontal="center" vertical="center"/>
    </xf>
    <xf numFmtId="4" fontId="44" fillId="28" borderId="7" xfId="0" applyNumberFormat="1" applyFont="1" applyFill="1" applyBorder="1" applyAlignment="1">
      <alignment horizontal="center" vertical="center"/>
    </xf>
    <xf numFmtId="4" fontId="51" fillId="28" borderId="7" xfId="35" applyNumberFormat="1" applyFont="1" applyFill="1" applyBorder="1" applyAlignment="1">
      <alignment horizontal="center" vertical="center" wrapText="1"/>
    </xf>
    <xf numFmtId="4" fontId="30" fillId="28" borderId="7" xfId="35"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51" fillId="28" borderId="8" xfId="0" applyNumberFormat="1" applyFont="1" applyFill="1" applyBorder="1" applyAlignment="1">
      <alignment horizontal="center" vertical="center" wrapText="1"/>
    </xf>
    <xf numFmtId="164" fontId="55" fillId="28" borderId="8" xfId="30" applyNumberFormat="1" applyFont="1" applyFill="1" applyBorder="1" applyAlignment="1">
      <alignment horizontal="center" vertical="center" wrapText="1"/>
    </xf>
    <xf numFmtId="4" fontId="51" fillId="28" borderId="8" xfId="0" applyNumberFormat="1" applyFont="1" applyFill="1" applyBorder="1" applyAlignment="1">
      <alignment horizontal="center" vertical="center" wrapText="1"/>
    </xf>
    <xf numFmtId="4" fontId="33" fillId="28" borderId="8" xfId="3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52" fillId="0" borderId="7" xfId="46" applyFont="1" applyFill="1" applyBorder="1" applyAlignment="1">
      <alignment horizontal="center" vertical="center" wrapText="1"/>
    </xf>
    <xf numFmtId="49" fontId="118" fillId="0" borderId="7" xfId="0" applyNumberFormat="1" applyFont="1" applyFill="1" applyBorder="1" applyAlignment="1">
      <alignment horizontal="center" vertical="center" wrapText="1"/>
    </xf>
    <xf numFmtId="4" fontId="52" fillId="0" borderId="7" xfId="46" applyNumberFormat="1" applyFont="1" applyFill="1" applyBorder="1" applyAlignment="1">
      <alignment horizontal="center" vertical="center"/>
    </xf>
    <xf numFmtId="0" fontId="11" fillId="0" borderId="11" xfId="35" applyNumberFormat="1" applyFont="1" applyFill="1" applyBorder="1" applyAlignment="1" applyProtection="1">
      <alignment horizontal="center" vertical="center"/>
    </xf>
    <xf numFmtId="0" fontId="3" fillId="0" borderId="11" xfId="35" applyFont="1" applyFill="1" applyBorder="1" applyAlignment="1">
      <alignment horizontal="center" vertical="center"/>
    </xf>
    <xf numFmtId="0" fontId="3" fillId="0" borderId="0" xfId="35" applyFont="1" applyFill="1" applyBorder="1" applyAlignment="1">
      <alignment horizontal="center" vertical="center"/>
    </xf>
    <xf numFmtId="0" fontId="11" fillId="0" borderId="0" xfId="35" applyNumberFormat="1" applyFont="1" applyFill="1" applyBorder="1" applyAlignment="1" applyProtection="1">
      <alignment horizontal="center" vertical="center"/>
    </xf>
    <xf numFmtId="0" fontId="3" fillId="0" borderId="0" xfId="35" applyNumberFormat="1" applyFont="1" applyFill="1" applyAlignment="1" applyProtection="1">
      <alignment horizontal="center" vertical="center"/>
    </xf>
    <xf numFmtId="0" fontId="14" fillId="0" borderId="11" xfId="35" applyNumberFormat="1" applyFont="1" applyFill="1" applyBorder="1" applyAlignment="1" applyProtection="1">
      <alignment horizontal="center" vertical="center"/>
    </xf>
    <xf numFmtId="164" fontId="58" fillId="0" borderId="7" xfId="30" applyNumberFormat="1" applyFont="1" applyBorder="1" applyAlignment="1">
      <alignment horizontal="center" vertical="center"/>
    </xf>
    <xf numFmtId="49" fontId="114" fillId="0" borderId="7" xfId="0" applyNumberFormat="1" applyFont="1" applyFill="1" applyBorder="1" applyAlignment="1">
      <alignment horizontal="center" vertical="center" wrapText="1"/>
    </xf>
    <xf numFmtId="0" fontId="35" fillId="0" borderId="7" xfId="46"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7" xfId="0" applyFont="1" applyFill="1" applyBorder="1" applyAlignment="1">
      <alignment horizontal="center" vertical="center" wrapText="1"/>
    </xf>
    <xf numFmtId="164" fontId="39" fillId="0" borderId="10" xfId="30" applyNumberFormat="1" applyFont="1" applyFill="1" applyBorder="1" applyAlignment="1">
      <alignment horizontal="center" vertical="center"/>
    </xf>
    <xf numFmtId="164" fontId="29" fillId="0" borderId="7" xfId="30" applyNumberFormat="1" applyFont="1" applyFill="1" applyBorder="1" applyAlignment="1">
      <alignment horizontal="center" vertical="center"/>
    </xf>
    <xf numFmtId="164" fontId="32" fillId="26" borderId="7" xfId="35" applyNumberFormat="1" applyFont="1" applyFill="1" applyBorder="1" applyAlignment="1">
      <alignment horizontal="center" vertical="center"/>
    </xf>
    <xf numFmtId="164" fontId="55" fillId="28" borderId="7"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1" fillId="0" borderId="7" xfId="0" applyFont="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41" fillId="0" borderId="8" xfId="38" applyNumberFormat="1" applyFont="1" applyFill="1" applyBorder="1" applyAlignment="1" applyProtection="1">
      <alignment horizontal="center" vertical="center" wrapText="1"/>
      <protection locked="0"/>
    </xf>
    <xf numFmtId="0" fontId="41" fillId="0" borderId="9" xfId="38" applyNumberFormat="1" applyFont="1" applyFill="1" applyBorder="1" applyAlignment="1" applyProtection="1">
      <alignment horizontal="center" vertical="center" wrapText="1"/>
      <protection locked="0"/>
    </xf>
    <xf numFmtId="0" fontId="119" fillId="0" borderId="0" xfId="35" applyFont="1" applyFill="1"/>
    <xf numFmtId="164" fontId="119" fillId="0" borderId="7" xfId="30" applyNumberFormat="1" applyFont="1" applyFill="1" applyBorder="1" applyAlignment="1">
      <alignment horizontal="center" vertical="center"/>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65" fillId="0" borderId="0" xfId="39" applyNumberFormat="1" applyFont="1" applyFill="1" applyBorder="1" applyAlignment="1" applyProtection="1">
      <alignment horizontal="center" vertical="center"/>
    </xf>
    <xf numFmtId="0" fontId="65" fillId="0" borderId="0" xfId="39" applyFont="1" applyFill="1" applyBorder="1" applyAlignment="1">
      <alignment horizontal="center" vertical="center"/>
    </xf>
    <xf numFmtId="0" fontId="65" fillId="0" borderId="0" xfId="39" applyNumberFormat="1" applyFont="1" applyFill="1" applyAlignment="1" applyProtection="1">
      <alignment horizontal="center" vertical="center"/>
    </xf>
    <xf numFmtId="0" fontId="65" fillId="0" borderId="0" xfId="39" applyFont="1" applyFill="1" applyAlignment="1">
      <alignment horizontal="center" vertical="center"/>
    </xf>
    <xf numFmtId="0" fontId="10" fillId="0" borderId="7" xfId="39" applyNumberFormat="1" applyFont="1" applyFill="1" applyBorder="1" applyAlignment="1" applyProtection="1">
      <alignment horizontal="center" vertical="center" wrapText="1"/>
    </xf>
    <xf numFmtId="0" fontId="75" fillId="0" borderId="0" xfId="0" applyFont="1" applyFill="1" applyAlignment="1">
      <alignment horizontal="center"/>
    </xf>
    <xf numFmtId="0" fontId="67" fillId="0" borderId="7" xfId="0"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 fontId="45" fillId="0" borderId="8"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56" fillId="0" borderId="10" xfId="0" applyNumberFormat="1"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7" xfId="0" applyFont="1" applyBorder="1" applyAlignment="1">
      <alignment horizontal="center" vertical="center"/>
    </xf>
    <xf numFmtId="0" fontId="40" fillId="0" borderId="0" xfId="0" applyFont="1" applyAlignment="1">
      <alignment horizontal="center" vertical="center"/>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2" fillId="0" borderId="0" xfId="0" applyFont="1" applyAlignment="1"/>
    <xf numFmtId="0" fontId="43" fillId="26" borderId="7" xfId="0" applyFont="1" applyFill="1" applyBorder="1" applyAlignment="1">
      <alignment horizontal="center" vertical="center"/>
    </xf>
    <xf numFmtId="0" fontId="105" fillId="0" borderId="13" xfId="0" applyFont="1" applyBorder="1" applyAlignment="1">
      <alignment horizontal="left" vertical="center"/>
    </xf>
    <xf numFmtId="0" fontId="107" fillId="0" borderId="13" xfId="0" applyFont="1" applyBorder="1" applyAlignment="1">
      <alignment horizontal="left" vertical="center"/>
    </xf>
    <xf numFmtId="49" fontId="41" fillId="0" borderId="8" xfId="0" applyNumberFormat="1" applyFont="1" applyFill="1" applyBorder="1" applyAlignment="1">
      <alignment horizontal="center" vertical="center" wrapText="1"/>
    </xf>
    <xf numFmtId="4" fontId="56" fillId="0" borderId="10" xfId="0" applyNumberFormat="1" applyFont="1" applyFill="1" applyBorder="1" applyAlignment="1">
      <alignment horizontal="center" vertical="center" wrapText="1"/>
    </xf>
    <xf numFmtId="0" fontId="29"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vertical="center" wrapText="1"/>
    </xf>
    <xf numFmtId="0" fontId="14" fillId="0" borderId="8" xfId="35" applyNumberFormat="1" applyFont="1" applyFill="1" applyBorder="1" applyAlignment="1" applyProtection="1">
      <alignment horizontal="center" vertical="center" wrapText="1"/>
    </xf>
    <xf numFmtId="0" fontId="14" fillId="0" borderId="9" xfId="35" applyNumberFormat="1" applyFont="1" applyFill="1" applyBorder="1" applyAlignment="1" applyProtection="1">
      <alignment horizontal="center" vertical="center" wrapText="1"/>
    </xf>
    <xf numFmtId="0" fontId="14" fillId="0" borderId="10" xfId="35" applyNumberFormat="1" applyFont="1" applyFill="1" applyBorder="1" applyAlignment="1" applyProtection="1">
      <alignment horizontal="center" vertical="center" wrapText="1"/>
    </xf>
    <xf numFmtId="0" fontId="77" fillId="0" borderId="8" xfId="35" applyNumberFormat="1" applyFont="1" applyFill="1" applyBorder="1" applyAlignment="1" applyProtection="1">
      <alignment horizontal="center" vertical="center" wrapText="1"/>
    </xf>
    <xf numFmtId="0" fontId="77" fillId="0" borderId="9" xfId="35" applyNumberFormat="1" applyFont="1" applyFill="1" applyBorder="1" applyAlignment="1" applyProtection="1">
      <alignment horizontal="center" vertical="center" wrapText="1"/>
    </xf>
    <xf numFmtId="0" fontId="77" fillId="0" borderId="10" xfId="35" applyNumberFormat="1" applyFont="1" applyFill="1" applyBorder="1" applyAlignment="1" applyProtection="1">
      <alignment horizontal="center" vertical="center" wrapText="1"/>
    </xf>
    <xf numFmtId="0" fontId="9" fillId="0" borderId="19" xfId="35" applyNumberFormat="1" applyFont="1" applyFill="1" applyBorder="1" applyAlignment="1" applyProtection="1">
      <alignment horizontal="center" vertical="center" wrapText="1"/>
    </xf>
    <xf numFmtId="0" fontId="9" fillId="0" borderId="15" xfId="35" applyNumberFormat="1" applyFont="1" applyFill="1" applyBorder="1" applyAlignment="1" applyProtection="1">
      <alignment horizontal="center" vertical="center" wrapText="1"/>
    </xf>
    <xf numFmtId="0" fontId="9" fillId="0" borderId="18" xfId="35" applyNumberFormat="1" applyFont="1" applyFill="1" applyBorder="1" applyAlignment="1" applyProtection="1">
      <alignment horizontal="center" vertical="center" wrapText="1"/>
    </xf>
    <xf numFmtId="0" fontId="9" fillId="0" borderId="7" xfId="35"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115" fillId="0" borderId="13" xfId="0" applyFont="1" applyBorder="1" applyAlignment="1">
      <alignment horizontal="left" vertical="center"/>
    </xf>
    <xf numFmtId="0" fontId="0" fillId="0" borderId="13" xfId="0" applyFont="1" applyBorder="1" applyAlignment="1">
      <alignment horizontal="left" vertical="center"/>
    </xf>
    <xf numFmtId="0" fontId="9" fillId="0" borderId="0" xfId="35" applyNumberFormat="1" applyFont="1" applyFill="1" applyAlignment="1" applyProtection="1">
      <alignment horizontal="center" vertical="center"/>
    </xf>
    <xf numFmtId="0" fontId="49" fillId="0" borderId="0" xfId="35" applyNumberFormat="1" applyFont="1" applyFill="1" applyBorder="1" applyAlignment="1" applyProtection="1">
      <alignment horizontal="center" vertical="center" wrapText="1"/>
    </xf>
    <xf numFmtId="0" fontId="11" fillId="0" borderId="0" xfId="35" applyNumberFormat="1" applyFont="1" applyFill="1" applyBorder="1" applyAlignment="1" applyProtection="1">
      <alignment horizontal="center" vertical="center" wrapText="1"/>
    </xf>
    <xf numFmtId="0" fontId="12" fillId="0" borderId="0" xfId="36" applyNumberFormat="1" applyFont="1" applyFill="1" applyBorder="1" applyAlignment="1" applyProtection="1">
      <alignment horizontal="left" vertical="top" wrapText="1"/>
    </xf>
    <xf numFmtId="0" fontId="9" fillId="0" borderId="0" xfId="36" applyNumberFormat="1" applyFont="1" applyFill="1" applyBorder="1" applyAlignment="1" applyProtection="1">
      <alignment horizontal="center" vertical="center" wrapText="1"/>
    </xf>
    <xf numFmtId="0" fontId="82" fillId="0" borderId="0" xfId="0" applyFont="1" applyAlignment="1">
      <alignment horizontal="center" vertical="center"/>
    </xf>
    <xf numFmtId="0" fontId="81" fillId="0" borderId="0" xfId="36" applyNumberFormat="1" applyFont="1" applyFill="1" applyBorder="1" applyAlignment="1" applyProtection="1">
      <alignment horizontal="center" vertical="top"/>
    </xf>
    <xf numFmtId="0" fontId="10" fillId="0" borderId="0" xfId="0" applyFont="1" applyFill="1" applyAlignment="1">
      <alignment horizontal="center"/>
    </xf>
    <xf numFmtId="0" fontId="0" fillId="0" borderId="0" xfId="0" applyAlignment="1">
      <alignment horizontal="center"/>
    </xf>
    <xf numFmtId="0" fontId="10" fillId="0" borderId="11" xfId="0" applyFont="1" applyFill="1" applyBorder="1" applyAlignment="1">
      <alignment horizontal="center"/>
    </xf>
    <xf numFmtId="0" fontId="0" fillId="0" borderId="11" xfId="0" applyBorder="1" applyAlignment="1">
      <alignment horizontal="center"/>
    </xf>
    <xf numFmtId="0" fontId="111" fillId="26" borderId="18" xfId="0" applyFont="1" applyFill="1" applyBorder="1" applyAlignment="1">
      <alignment horizontal="center" vertical="center"/>
    </xf>
    <xf numFmtId="0" fontId="111" fillId="26" borderId="19" xfId="0" applyFont="1" applyFill="1" applyBorder="1" applyAlignment="1">
      <alignment horizontal="center" vertical="center"/>
    </xf>
    <xf numFmtId="0" fontId="111" fillId="26" borderId="15" xfId="0" applyFont="1" applyFill="1" applyBorder="1" applyAlignment="1">
      <alignment horizontal="center" vertical="center"/>
    </xf>
    <xf numFmtId="0" fontId="9" fillId="0" borderId="0" xfId="36" applyNumberFormat="1" applyFont="1" applyFill="1" applyBorder="1" applyAlignment="1" applyProtection="1">
      <alignment horizontal="left" vertical="top" wrapText="1"/>
    </xf>
    <xf numFmtId="49" fontId="29" fillId="0" borderId="8"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0" fillId="0" borderId="0" xfId="0" applyFont="1" applyBorder="1" applyAlignment="1">
      <alignment horizontal="left" vertical="center"/>
    </xf>
    <xf numFmtId="0" fontId="115" fillId="0" borderId="0" xfId="0" applyFont="1" applyBorder="1" applyAlignment="1">
      <alignment horizontal="left" vertical="center"/>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0" fontId="0" fillId="0" borderId="10" xfId="0" applyFill="1" applyBorder="1" applyAlignment="1">
      <alignment horizontal="center" vertical="center"/>
    </xf>
    <xf numFmtId="0" fontId="12" fillId="0" borderId="0" xfId="0" applyFont="1" applyAlignment="1"/>
    <xf numFmtId="0" fontId="49" fillId="0" borderId="0" xfId="35" applyNumberFormat="1" applyFont="1" applyFill="1" applyBorder="1" applyAlignment="1" applyProtection="1">
      <alignment horizontal="center" vertical="top" wrapText="1"/>
    </xf>
    <xf numFmtId="0" fontId="11" fillId="0" borderId="0" xfId="35" applyNumberFormat="1" applyFont="1" applyFill="1" applyBorder="1" applyAlignment="1" applyProtection="1">
      <alignment horizontal="center" vertical="top" wrapText="1"/>
    </xf>
    <xf numFmtId="0" fontId="0" fillId="0" borderId="10" xfId="0"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57"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cellXfs>
  <cellStyles count="87">
    <cellStyle name="20% - Акцент1" xfId="47"/>
    <cellStyle name="20% - Акцент2" xfId="48"/>
    <cellStyle name="20% - Акцент3" xfId="49"/>
    <cellStyle name="20% - Акцент4" xfId="50"/>
    <cellStyle name="20% - Акцент5" xfId="51"/>
    <cellStyle name="20% - Акцент6" xfId="52"/>
    <cellStyle name="40% - Акцент1" xfId="53"/>
    <cellStyle name="40% - Акцент2" xfId="54"/>
    <cellStyle name="40% - Акцент3" xfId="55"/>
    <cellStyle name="40% - Акцент4" xfId="56"/>
    <cellStyle name="40% - Акцент5" xfId="57"/>
    <cellStyle name="40% - Акцент6" xfId="58"/>
    <cellStyle name="60% - Акцент1" xfId="59"/>
    <cellStyle name="60% - Акцент2" xfId="60"/>
    <cellStyle name="60% - Акцент3" xfId="61"/>
    <cellStyle name="60% - Акцент4" xfId="62"/>
    <cellStyle name="60% - Акцент5" xfId="63"/>
    <cellStyle name="60% - Акцент6" xfId="64"/>
    <cellStyle name="Excel Built-in Обычный_УКБ до бюджету 2016р ост" xfId="85"/>
    <cellStyle name="Normal_meresha_07" xfId="1"/>
    <cellStyle name="Акцент1" xfId="65"/>
    <cellStyle name="Акцент2" xfId="66"/>
    <cellStyle name="Акцент3" xfId="67"/>
    <cellStyle name="Акцент4" xfId="68"/>
    <cellStyle name="Акцент5" xfId="69"/>
    <cellStyle name="Акцент6" xfId="70"/>
    <cellStyle name="Ввід" xfId="2"/>
    <cellStyle name="Ввод " xfId="71"/>
    <cellStyle name="Вывод" xfId="72"/>
    <cellStyle name="Вычисление" xfId="73"/>
    <cellStyle name="Гіперпосилання 2" xfId="74"/>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0" xfId="20"/>
    <cellStyle name="Звичайний 3" xfId="21"/>
    <cellStyle name="Звичайний 3 2" xfId="22"/>
    <cellStyle name="Звичайний 4" xfId="23"/>
    <cellStyle name="Звичайний 4 2" xfId="24"/>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2"/>
    <cellStyle name="Итог" xfId="75"/>
    <cellStyle name="Контрольна клітинка" xfId="31"/>
    <cellStyle name="Контрольная ячейка" xfId="76"/>
    <cellStyle name="Назва" xfId="32"/>
    <cellStyle name="Название" xfId="77"/>
    <cellStyle name="Нейтральный" xfId="78"/>
    <cellStyle name="Обычный" xfId="0" builtinId="0"/>
    <cellStyle name="Обычный 2" xfId="33"/>
    <cellStyle name="Обычный 2 2" xfId="34"/>
    <cellStyle name="Обычный 3" xfId="35"/>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6"/>
    <cellStyle name="Обычный_УЖКГ бюджет 2016 Після Ямчука 2" xfId="40"/>
    <cellStyle name="Обычный_УКБ до бюджету 2016р ост" xfId="41"/>
    <cellStyle name="Обычный_УКБ до бюджету 2016р ост 2" xfId="86"/>
    <cellStyle name="Плохой" xfId="79"/>
    <cellStyle name="Пояснение" xfId="80"/>
    <cellStyle name="Примечание" xfId="81"/>
    <cellStyle name="Связанная ячейка" xfId="82"/>
    <cellStyle name="Середній" xfId="43"/>
    <cellStyle name="Стиль 1" xfId="44"/>
    <cellStyle name="Текст попередження" xfId="45"/>
    <cellStyle name="Текст предупреждения" xfId="83"/>
    <cellStyle name="Хороший" xfId="84"/>
  </cellStyles>
  <dxfs count="0"/>
  <tableStyles count="0" defaultTableStyle="TableStyleMedium2" defaultPivotStyle="PivotStyleLight16"/>
  <colors>
    <mruColors>
      <color rgb="FFFF99FF"/>
      <color rgb="FF99FF99"/>
      <color rgb="FFFB0592"/>
      <color rgb="FF66FFCC"/>
      <color rgb="FF66FFFF"/>
      <color rgb="FF29F5FF"/>
      <color rgb="FFFCB142"/>
      <color rgb="FFFFCC00"/>
      <color rgb="FFFFA2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R149"/>
  <sheetViews>
    <sheetView showZeros="0" view="pageBreakPreview" topLeftCell="A37" zoomScaleSheetLayoutView="100" workbookViewId="0">
      <selection activeCell="D14" sqref="D14"/>
    </sheetView>
  </sheetViews>
  <sheetFormatPr defaultColWidth="6.85546875" defaultRowHeight="12.75"/>
  <cols>
    <col min="1" max="1" width="10.140625" style="90" customWidth="1"/>
    <col min="2" max="2" width="40.42578125" style="90" customWidth="1"/>
    <col min="3" max="4" width="17.28515625" style="90" customWidth="1"/>
    <col min="5" max="5" width="15.7109375" style="90" customWidth="1"/>
    <col min="6" max="6" width="14.5703125" style="90" customWidth="1"/>
    <col min="7" max="11" width="7.85546875" style="90" customWidth="1"/>
    <col min="12" max="243" width="7.85546875" style="91" customWidth="1"/>
    <col min="244" max="252" width="7.85546875" style="90" customWidth="1"/>
    <col min="253" max="16384" width="6.85546875" style="91"/>
  </cols>
  <sheetData>
    <row r="1" spans="1:252" ht="15.75">
      <c r="D1" s="551" t="s">
        <v>147</v>
      </c>
      <c r="E1" s="552"/>
      <c r="F1" s="552"/>
      <c r="G1" s="552"/>
    </row>
    <row r="2" spans="1:252" ht="15.75">
      <c r="C2" s="92"/>
      <c r="D2" s="551" t="s">
        <v>300</v>
      </c>
      <c r="E2" s="553"/>
      <c r="F2" s="553"/>
      <c r="G2" s="553"/>
      <c r="L2" s="90"/>
    </row>
    <row r="3" spans="1:252" ht="6" customHeight="1">
      <c r="C3" s="92"/>
      <c r="D3" s="551"/>
      <c r="E3" s="553"/>
      <c r="F3" s="553"/>
      <c r="G3" s="553"/>
      <c r="L3" s="90"/>
    </row>
    <row r="4" spans="1:252" ht="20.25" hidden="1">
      <c r="A4" s="554"/>
      <c r="B4" s="555"/>
      <c r="C4" s="555"/>
      <c r="D4" s="555"/>
      <c r="E4" s="555"/>
      <c r="F4" s="93"/>
      <c r="G4" s="93"/>
    </row>
    <row r="5" spans="1:252" ht="25.5" customHeight="1">
      <c r="A5" s="556" t="s">
        <v>306</v>
      </c>
      <c r="B5" s="557"/>
      <c r="C5" s="557"/>
      <c r="D5" s="557"/>
      <c r="E5" s="557"/>
      <c r="G5" s="93"/>
    </row>
    <row r="6" spans="1:252" ht="10.5" customHeight="1">
      <c r="B6" s="94"/>
      <c r="C6" s="94"/>
      <c r="D6" s="94"/>
      <c r="E6" s="94"/>
      <c r="F6" s="94" t="s">
        <v>148</v>
      </c>
      <c r="G6" s="93"/>
    </row>
    <row r="7" spans="1:252" s="98" customFormat="1" ht="31.5" customHeight="1">
      <c r="A7" s="558" t="s">
        <v>149</v>
      </c>
      <c r="B7" s="558" t="s">
        <v>150</v>
      </c>
      <c r="C7" s="558" t="s">
        <v>7</v>
      </c>
      <c r="D7" s="558" t="s">
        <v>36</v>
      </c>
      <c r="E7" s="558" t="s">
        <v>127</v>
      </c>
      <c r="F7" s="558"/>
      <c r="G7" s="96"/>
      <c r="H7" s="97"/>
      <c r="I7" s="97"/>
      <c r="J7" s="97"/>
      <c r="K7" s="97"/>
      <c r="IJ7" s="97"/>
      <c r="IK7" s="97"/>
      <c r="IL7" s="97"/>
      <c r="IM7" s="97"/>
      <c r="IN7" s="97"/>
      <c r="IO7" s="97"/>
      <c r="IP7" s="97"/>
      <c r="IQ7" s="97"/>
      <c r="IR7" s="97"/>
    </row>
    <row r="8" spans="1:252" s="102" customFormat="1" ht="25.5">
      <c r="A8" s="558"/>
      <c r="B8" s="558"/>
      <c r="C8" s="558"/>
      <c r="D8" s="558"/>
      <c r="E8" s="95" t="s">
        <v>7</v>
      </c>
      <c r="F8" s="99" t="s">
        <v>151</v>
      </c>
      <c r="G8" s="100"/>
      <c r="H8" s="101"/>
      <c r="I8" s="101"/>
      <c r="J8" s="101"/>
      <c r="K8" s="101"/>
      <c r="IJ8" s="101"/>
      <c r="IK8" s="101"/>
      <c r="IL8" s="101"/>
      <c r="IM8" s="101"/>
      <c r="IN8" s="101"/>
      <c r="IO8" s="101"/>
      <c r="IP8" s="101"/>
      <c r="IQ8" s="101"/>
      <c r="IR8" s="101"/>
    </row>
    <row r="9" spans="1:252" s="102" customFormat="1" ht="15.75">
      <c r="A9" s="95">
        <v>1</v>
      </c>
      <c r="B9" s="95">
        <v>2</v>
      </c>
      <c r="C9" s="95">
        <v>3</v>
      </c>
      <c r="D9" s="95">
        <v>4</v>
      </c>
      <c r="E9" s="95">
        <v>5</v>
      </c>
      <c r="F9" s="99">
        <v>6</v>
      </c>
      <c r="G9" s="100"/>
      <c r="H9" s="101"/>
      <c r="I9" s="101"/>
      <c r="J9" s="101"/>
      <c r="K9" s="101"/>
      <c r="IJ9" s="101"/>
      <c r="IK9" s="101"/>
      <c r="IL9" s="101"/>
      <c r="IM9" s="101"/>
      <c r="IN9" s="101"/>
      <c r="IO9" s="101"/>
      <c r="IP9" s="101"/>
      <c r="IQ9" s="101"/>
      <c r="IR9" s="101"/>
    </row>
    <row r="10" spans="1:252" s="108" customFormat="1" ht="14.25">
      <c r="A10" s="103">
        <v>10000000</v>
      </c>
      <c r="B10" s="104" t="s">
        <v>152</v>
      </c>
      <c r="C10" s="105">
        <f>SUM(D10,E10)</f>
        <v>1446464174.7</v>
      </c>
      <c r="D10" s="105">
        <f>SUM(D11,D20,D21,D22,D23,D41)</f>
        <v>1445614174.7</v>
      </c>
      <c r="E10" s="105">
        <v>850000</v>
      </c>
      <c r="F10" s="105"/>
      <c r="G10" s="106"/>
      <c r="H10" s="107"/>
      <c r="I10" s="107"/>
      <c r="J10" s="107"/>
      <c r="K10" s="107"/>
      <c r="IJ10" s="107"/>
      <c r="IK10" s="107"/>
      <c r="IL10" s="107"/>
      <c r="IM10" s="107"/>
      <c r="IN10" s="107"/>
      <c r="IO10" s="107"/>
      <c r="IP10" s="107"/>
      <c r="IQ10" s="107"/>
      <c r="IR10" s="107"/>
    </row>
    <row r="11" spans="1:252" s="115" customFormat="1" ht="25.5">
      <c r="A11" s="109">
        <v>11000000</v>
      </c>
      <c r="B11" s="110" t="s">
        <v>153</v>
      </c>
      <c r="C11" s="111">
        <f t="shared" ref="C11:C78" si="0">SUM(D11,E11)</f>
        <v>892704966.77999997</v>
      </c>
      <c r="D11" s="111">
        <f>SUM(D12,D18)</f>
        <v>892704966.77999997</v>
      </c>
      <c r="E11" s="112"/>
      <c r="F11" s="112"/>
      <c r="G11" s="113"/>
      <c r="H11" s="114"/>
      <c r="I11" s="114"/>
      <c r="J11" s="114"/>
      <c r="K11" s="114"/>
      <c r="IJ11" s="114"/>
      <c r="IK11" s="114"/>
      <c r="IL11" s="114"/>
      <c r="IM11" s="114"/>
      <c r="IN11" s="114"/>
      <c r="IO11" s="114"/>
      <c r="IP11" s="114"/>
      <c r="IQ11" s="114"/>
      <c r="IR11" s="114"/>
    </row>
    <row r="12" spans="1:252" s="115" customFormat="1" ht="14.25">
      <c r="A12" s="103">
        <v>11010000</v>
      </c>
      <c r="B12" s="116" t="s">
        <v>154</v>
      </c>
      <c r="C12" s="111">
        <f t="shared" si="0"/>
        <v>892204966.77999997</v>
      </c>
      <c r="D12" s="117">
        <f>SUM(D13:D17)</f>
        <v>892204966.77999997</v>
      </c>
      <c r="E12" s="105"/>
      <c r="F12" s="105"/>
      <c r="G12" s="113"/>
      <c r="H12" s="114"/>
      <c r="I12" s="114"/>
      <c r="J12" s="114"/>
      <c r="K12" s="114"/>
      <c r="IJ12" s="114"/>
      <c r="IK12" s="114"/>
      <c r="IL12" s="114"/>
      <c r="IM12" s="114"/>
      <c r="IN12" s="114"/>
      <c r="IO12" s="114"/>
      <c r="IP12" s="114"/>
      <c r="IQ12" s="114"/>
      <c r="IR12" s="114"/>
    </row>
    <row r="13" spans="1:252" s="115" customFormat="1" ht="36">
      <c r="A13" s="118">
        <v>11010100</v>
      </c>
      <c r="B13" s="119" t="s">
        <v>155</v>
      </c>
      <c r="C13" s="105">
        <f t="shared" si="0"/>
        <v>768304966.77999997</v>
      </c>
      <c r="D13" s="120">
        <v>768304966.77999997</v>
      </c>
      <c r="E13" s="120"/>
      <c r="F13" s="120"/>
      <c r="G13" s="113"/>
      <c r="H13" s="114"/>
      <c r="I13" s="114"/>
      <c r="J13" s="114"/>
      <c r="K13" s="114"/>
      <c r="IJ13" s="114"/>
      <c r="IK13" s="114"/>
      <c r="IL13" s="114"/>
      <c r="IM13" s="114"/>
      <c r="IN13" s="114"/>
      <c r="IO13" s="114"/>
      <c r="IP13" s="114"/>
      <c r="IQ13" s="114"/>
      <c r="IR13" s="114"/>
    </row>
    <row r="14" spans="1:252" s="115" customFormat="1" ht="60">
      <c r="A14" s="118">
        <v>11010200</v>
      </c>
      <c r="B14" s="119" t="s">
        <v>156</v>
      </c>
      <c r="C14" s="105">
        <f t="shared" si="0"/>
        <v>105000000</v>
      </c>
      <c r="D14" s="120">
        <v>105000000</v>
      </c>
      <c r="E14" s="120"/>
      <c r="F14" s="120"/>
      <c r="G14" s="113"/>
      <c r="H14" s="114"/>
      <c r="I14" s="114"/>
      <c r="J14" s="114"/>
      <c r="K14" s="114"/>
      <c r="IJ14" s="114"/>
      <c r="IK14" s="114"/>
      <c r="IL14" s="114"/>
      <c r="IM14" s="114"/>
      <c r="IN14" s="114"/>
      <c r="IO14" s="114"/>
      <c r="IP14" s="114"/>
      <c r="IQ14" s="114"/>
      <c r="IR14" s="114"/>
    </row>
    <row r="15" spans="1:252" s="115" customFormat="1" ht="36">
      <c r="A15" s="118">
        <v>11010400</v>
      </c>
      <c r="B15" s="119" t="s">
        <v>157</v>
      </c>
      <c r="C15" s="105">
        <f t="shared" si="0"/>
        <v>6300000</v>
      </c>
      <c r="D15" s="120">
        <v>6300000</v>
      </c>
      <c r="E15" s="120"/>
      <c r="F15" s="120"/>
      <c r="G15" s="113"/>
      <c r="H15" s="114"/>
      <c r="I15" s="114"/>
      <c r="J15" s="114"/>
      <c r="K15" s="114"/>
      <c r="IJ15" s="114"/>
      <c r="IK15" s="114"/>
      <c r="IL15" s="114"/>
      <c r="IM15" s="114"/>
      <c r="IN15" s="114"/>
      <c r="IO15" s="114"/>
      <c r="IP15" s="114"/>
      <c r="IQ15" s="114"/>
      <c r="IR15" s="114"/>
    </row>
    <row r="16" spans="1:252" s="101" customFormat="1" ht="36">
      <c r="A16" s="118">
        <v>11010500</v>
      </c>
      <c r="B16" s="119" t="s">
        <v>158</v>
      </c>
      <c r="C16" s="105">
        <f t="shared" si="0"/>
        <v>12100000</v>
      </c>
      <c r="D16" s="120">
        <f>12100000</f>
        <v>12100000</v>
      </c>
      <c r="E16" s="120"/>
      <c r="F16" s="120"/>
      <c r="G16" s="100"/>
    </row>
    <row r="17" spans="1:252" s="101" customFormat="1" ht="60">
      <c r="A17" s="118">
        <v>11010900</v>
      </c>
      <c r="B17" s="119" t="s">
        <v>734</v>
      </c>
      <c r="C17" s="105">
        <v>500000</v>
      </c>
      <c r="D17" s="120">
        <v>500000</v>
      </c>
      <c r="E17" s="120"/>
      <c r="F17" s="120"/>
      <c r="G17" s="100"/>
    </row>
    <row r="18" spans="1:252" s="108" customFormat="1" ht="15">
      <c r="A18" s="109">
        <v>11020000</v>
      </c>
      <c r="B18" s="116" t="s">
        <v>159</v>
      </c>
      <c r="C18" s="105">
        <f t="shared" si="0"/>
        <v>500000</v>
      </c>
      <c r="D18" s="121">
        <f>SUM(D19)</f>
        <v>500000</v>
      </c>
      <c r="E18" s="122"/>
      <c r="F18" s="122"/>
      <c r="G18" s="106"/>
      <c r="H18" s="107"/>
      <c r="I18" s="107"/>
      <c r="J18" s="107"/>
      <c r="K18" s="107"/>
      <c r="IJ18" s="107"/>
      <c r="IK18" s="107"/>
      <c r="IL18" s="107"/>
      <c r="IM18" s="107"/>
      <c r="IN18" s="107"/>
      <c r="IO18" s="107"/>
      <c r="IP18" s="107"/>
      <c r="IQ18" s="107"/>
      <c r="IR18" s="107"/>
    </row>
    <row r="19" spans="1:252" s="102" customFormat="1" ht="24">
      <c r="A19" s="118">
        <v>11020200</v>
      </c>
      <c r="B19" s="123" t="s">
        <v>160</v>
      </c>
      <c r="C19" s="105">
        <f t="shared" si="0"/>
        <v>500000</v>
      </c>
      <c r="D19" s="112">
        <v>500000</v>
      </c>
      <c r="E19" s="124"/>
      <c r="F19" s="112"/>
      <c r="G19" s="100"/>
      <c r="H19" s="101"/>
      <c r="I19" s="101"/>
      <c r="J19" s="101"/>
      <c r="K19" s="101"/>
      <c r="IJ19" s="101"/>
      <c r="IK19" s="101"/>
      <c r="IL19" s="101"/>
      <c r="IM19" s="101"/>
      <c r="IN19" s="101"/>
      <c r="IO19" s="101"/>
      <c r="IP19" s="101"/>
      <c r="IQ19" s="101"/>
      <c r="IR19" s="101"/>
    </row>
    <row r="20" spans="1:252" s="128" customFormat="1" ht="26.25" customHeight="1">
      <c r="A20" s="99">
        <v>14021900</v>
      </c>
      <c r="B20" s="110" t="s">
        <v>294</v>
      </c>
      <c r="C20" s="111">
        <f>SUM(D20,E20)</f>
        <v>16165000</v>
      </c>
      <c r="D20" s="111">
        <v>16165000</v>
      </c>
      <c r="E20" s="125"/>
      <c r="F20" s="125"/>
      <c r="G20" s="126"/>
      <c r="H20" s="127"/>
      <c r="I20" s="127"/>
      <c r="J20" s="127"/>
      <c r="K20" s="127"/>
      <c r="IJ20" s="127"/>
      <c r="IK20" s="127"/>
      <c r="IL20" s="127"/>
      <c r="IM20" s="127"/>
      <c r="IN20" s="127"/>
      <c r="IO20" s="127"/>
      <c r="IP20" s="127"/>
      <c r="IQ20" s="127"/>
      <c r="IR20" s="127"/>
    </row>
    <row r="21" spans="1:252" s="128" customFormat="1" ht="22.5" customHeight="1">
      <c r="A21" s="99">
        <v>14031900</v>
      </c>
      <c r="B21" s="110" t="s">
        <v>295</v>
      </c>
      <c r="C21" s="111">
        <v>63935000</v>
      </c>
      <c r="D21" s="111">
        <v>63935000</v>
      </c>
      <c r="E21" s="125"/>
      <c r="F21" s="125"/>
      <c r="G21" s="126"/>
      <c r="H21" s="127"/>
      <c r="I21" s="127"/>
      <c r="J21" s="127"/>
      <c r="K21" s="127"/>
      <c r="IJ21" s="127"/>
      <c r="IK21" s="127"/>
      <c r="IL21" s="127"/>
      <c r="IM21" s="127"/>
      <c r="IN21" s="127"/>
      <c r="IO21" s="127"/>
      <c r="IP21" s="127"/>
      <c r="IQ21" s="127"/>
      <c r="IR21" s="127"/>
    </row>
    <row r="22" spans="1:252" s="128" customFormat="1" ht="39.75" customHeight="1">
      <c r="A22" s="99">
        <v>14040000</v>
      </c>
      <c r="B22" s="110" t="s">
        <v>161</v>
      </c>
      <c r="C22" s="111">
        <v>83250000</v>
      </c>
      <c r="D22" s="111">
        <v>83250000</v>
      </c>
      <c r="E22" s="125"/>
      <c r="F22" s="125"/>
      <c r="G22" s="126"/>
      <c r="H22" s="127"/>
      <c r="I22" s="127"/>
      <c r="J22" s="127"/>
      <c r="K22" s="127"/>
      <c r="IJ22" s="127"/>
      <c r="IK22" s="127"/>
      <c r="IL22" s="127"/>
      <c r="IM22" s="127"/>
      <c r="IN22" s="127"/>
      <c r="IO22" s="127"/>
      <c r="IP22" s="127"/>
      <c r="IQ22" s="127"/>
      <c r="IR22" s="127"/>
    </row>
    <row r="23" spans="1:252" s="102" customFormat="1" ht="15">
      <c r="A23" s="103">
        <v>18000000</v>
      </c>
      <c r="B23" s="129" t="s">
        <v>162</v>
      </c>
      <c r="C23" s="105">
        <f t="shared" si="0"/>
        <v>389559207.92000002</v>
      </c>
      <c r="D23" s="105">
        <f>SUM(D24,D35,D38)</f>
        <v>389559207.92000002</v>
      </c>
      <c r="E23" s="105"/>
      <c r="F23" s="105"/>
      <c r="G23" s="100"/>
      <c r="H23" s="101"/>
      <c r="I23" s="101"/>
      <c r="J23" s="101"/>
      <c r="K23" s="101"/>
      <c r="IJ23" s="101"/>
      <c r="IK23" s="101"/>
      <c r="IL23" s="101"/>
      <c r="IM23" s="101"/>
      <c r="IN23" s="101"/>
      <c r="IO23" s="101"/>
      <c r="IP23" s="101"/>
      <c r="IQ23" s="101"/>
      <c r="IR23" s="101"/>
    </row>
    <row r="24" spans="1:252" s="102" customFormat="1" ht="15">
      <c r="A24" s="109">
        <v>18010000</v>
      </c>
      <c r="B24" s="130" t="s">
        <v>163</v>
      </c>
      <c r="C24" s="105">
        <f t="shared" si="0"/>
        <v>164334207.92000002</v>
      </c>
      <c r="D24" s="131">
        <f>SUM(D25:D34)</f>
        <v>164334207.92000002</v>
      </c>
      <c r="E24" s="112"/>
      <c r="F24" s="112"/>
      <c r="G24" s="100"/>
      <c r="H24" s="101"/>
      <c r="I24" s="101"/>
      <c r="J24" s="101"/>
      <c r="K24" s="101"/>
      <c r="IJ24" s="101"/>
      <c r="IK24" s="101"/>
      <c r="IL24" s="101"/>
      <c r="IM24" s="101"/>
      <c r="IN24" s="101"/>
      <c r="IO24" s="101"/>
      <c r="IP24" s="101"/>
      <c r="IQ24" s="101"/>
      <c r="IR24" s="101"/>
    </row>
    <row r="25" spans="1:252" s="102" customFormat="1" ht="36">
      <c r="A25" s="109">
        <v>18010100</v>
      </c>
      <c r="B25" s="132" t="s">
        <v>164</v>
      </c>
      <c r="C25" s="105">
        <f t="shared" si="0"/>
        <v>145200</v>
      </c>
      <c r="D25" s="112">
        <v>145200</v>
      </c>
      <c r="E25" s="112"/>
      <c r="F25" s="112"/>
      <c r="G25" s="100"/>
      <c r="H25" s="101"/>
      <c r="I25" s="101"/>
      <c r="J25" s="101"/>
      <c r="K25" s="101"/>
      <c r="IJ25" s="101"/>
      <c r="IK25" s="101"/>
      <c r="IL25" s="101"/>
      <c r="IM25" s="101"/>
      <c r="IN25" s="101"/>
      <c r="IO25" s="101"/>
      <c r="IP25" s="101"/>
      <c r="IQ25" s="101"/>
      <c r="IR25" s="101"/>
    </row>
    <row r="26" spans="1:252" s="102" customFormat="1" ht="36">
      <c r="A26" s="109">
        <v>18010200</v>
      </c>
      <c r="B26" s="132" t="s">
        <v>165</v>
      </c>
      <c r="C26" s="105">
        <f>D26</f>
        <v>6760920</v>
      </c>
      <c r="D26" s="112">
        <f>6750000+10920</f>
        <v>6760920</v>
      </c>
      <c r="E26" s="112"/>
      <c r="F26" s="112"/>
      <c r="G26" s="100"/>
      <c r="H26" s="101"/>
      <c r="I26" s="101"/>
      <c r="J26" s="101"/>
      <c r="K26" s="101"/>
      <c r="IJ26" s="101"/>
      <c r="IK26" s="101"/>
      <c r="IL26" s="101"/>
      <c r="IM26" s="101"/>
      <c r="IN26" s="101"/>
      <c r="IO26" s="101"/>
      <c r="IP26" s="101"/>
      <c r="IQ26" s="101"/>
      <c r="IR26" s="101"/>
    </row>
    <row r="27" spans="1:252" s="102" customFormat="1" ht="36">
      <c r="A27" s="109">
        <v>18010300</v>
      </c>
      <c r="B27" s="132" t="s">
        <v>166</v>
      </c>
      <c r="C27" s="105">
        <f t="shared" si="0"/>
        <v>550500</v>
      </c>
      <c r="D27" s="112">
        <v>550500</v>
      </c>
      <c r="E27" s="112"/>
      <c r="F27" s="112"/>
      <c r="G27" s="100"/>
      <c r="H27" s="101"/>
      <c r="I27" s="101"/>
      <c r="J27" s="101"/>
      <c r="K27" s="101"/>
      <c r="IJ27" s="101"/>
      <c r="IK27" s="101"/>
      <c r="IL27" s="101"/>
      <c r="IM27" s="101"/>
      <c r="IN27" s="101"/>
      <c r="IO27" s="101"/>
      <c r="IP27" s="101"/>
      <c r="IQ27" s="101"/>
      <c r="IR27" s="101"/>
    </row>
    <row r="28" spans="1:252" s="102" customFormat="1" ht="36">
      <c r="A28" s="109">
        <v>18010400</v>
      </c>
      <c r="B28" s="132" t="s">
        <v>167</v>
      </c>
      <c r="C28" s="105">
        <f t="shared" si="0"/>
        <v>6354300</v>
      </c>
      <c r="D28" s="112">
        <v>6354300</v>
      </c>
      <c r="E28" s="112"/>
      <c r="F28" s="112"/>
      <c r="G28" s="100"/>
      <c r="H28" s="101"/>
      <c r="I28" s="101"/>
      <c r="J28" s="101"/>
      <c r="K28" s="101"/>
      <c r="IJ28" s="101"/>
      <c r="IK28" s="101"/>
      <c r="IL28" s="101"/>
      <c r="IM28" s="101"/>
      <c r="IN28" s="101"/>
      <c r="IO28" s="101"/>
      <c r="IP28" s="101"/>
      <c r="IQ28" s="101"/>
      <c r="IR28" s="101"/>
    </row>
    <row r="29" spans="1:252" s="102" customFormat="1" ht="15">
      <c r="A29" s="109">
        <v>18010500</v>
      </c>
      <c r="B29" s="133" t="s">
        <v>168</v>
      </c>
      <c r="C29" s="105">
        <f t="shared" si="0"/>
        <v>40300000</v>
      </c>
      <c r="D29" s="112">
        <v>40300000</v>
      </c>
      <c r="E29" s="112"/>
      <c r="F29" s="112"/>
      <c r="G29" s="100"/>
      <c r="H29" s="101"/>
      <c r="I29" s="101"/>
      <c r="J29" s="101"/>
      <c r="K29" s="101"/>
      <c r="IJ29" s="101"/>
      <c r="IK29" s="101"/>
      <c r="IL29" s="101"/>
      <c r="IM29" s="101"/>
      <c r="IN29" s="101"/>
      <c r="IO29" s="101"/>
      <c r="IP29" s="101"/>
      <c r="IQ29" s="101"/>
      <c r="IR29" s="101"/>
    </row>
    <row r="30" spans="1:252" s="102" customFormat="1" ht="15">
      <c r="A30" s="109">
        <v>18010600</v>
      </c>
      <c r="B30" s="132" t="s">
        <v>169</v>
      </c>
      <c r="C30" s="105">
        <f t="shared" si="0"/>
        <v>83700000</v>
      </c>
      <c r="D30" s="112">
        <v>83700000</v>
      </c>
      <c r="E30" s="112"/>
      <c r="F30" s="112"/>
      <c r="G30" s="100"/>
      <c r="H30" s="101"/>
      <c r="I30" s="101"/>
      <c r="J30" s="101"/>
      <c r="K30" s="101"/>
      <c r="IJ30" s="101"/>
      <c r="IK30" s="101"/>
      <c r="IL30" s="101"/>
      <c r="IM30" s="101"/>
      <c r="IN30" s="101"/>
      <c r="IO30" s="101"/>
      <c r="IP30" s="101"/>
      <c r="IQ30" s="101"/>
      <c r="IR30" s="101"/>
    </row>
    <row r="31" spans="1:252" s="102" customFormat="1" ht="15">
      <c r="A31" s="109">
        <v>18010700</v>
      </c>
      <c r="B31" s="132" t="s">
        <v>170</v>
      </c>
      <c r="C31" s="105">
        <f t="shared" si="0"/>
        <v>2050000</v>
      </c>
      <c r="D31" s="112">
        <v>2050000</v>
      </c>
      <c r="E31" s="112"/>
      <c r="F31" s="112"/>
      <c r="G31" s="100"/>
      <c r="H31" s="101"/>
      <c r="I31" s="101"/>
      <c r="J31" s="101"/>
      <c r="K31" s="101"/>
      <c r="IJ31" s="101"/>
      <c r="IK31" s="101"/>
      <c r="IL31" s="101"/>
      <c r="IM31" s="101"/>
      <c r="IN31" s="101"/>
      <c r="IO31" s="101"/>
      <c r="IP31" s="101"/>
      <c r="IQ31" s="101"/>
      <c r="IR31" s="101"/>
    </row>
    <row r="32" spans="1:252" s="102" customFormat="1" ht="15">
      <c r="A32" s="109">
        <v>18010900</v>
      </c>
      <c r="B32" s="132" t="s">
        <v>171</v>
      </c>
      <c r="C32" s="105">
        <f t="shared" si="0"/>
        <v>21973287.920000002</v>
      </c>
      <c r="D32" s="112">
        <v>21973287.920000002</v>
      </c>
      <c r="E32" s="112"/>
      <c r="F32" s="112"/>
      <c r="G32" s="100"/>
      <c r="H32" s="101"/>
      <c r="I32" s="101"/>
      <c r="J32" s="101"/>
      <c r="K32" s="101"/>
      <c r="IJ32" s="101"/>
      <c r="IK32" s="101"/>
      <c r="IL32" s="101"/>
      <c r="IM32" s="101"/>
      <c r="IN32" s="101"/>
      <c r="IO32" s="101"/>
      <c r="IP32" s="101"/>
      <c r="IQ32" s="101"/>
      <c r="IR32" s="101"/>
    </row>
    <row r="33" spans="1:252" s="108" customFormat="1" ht="15">
      <c r="A33" s="109">
        <v>18011000</v>
      </c>
      <c r="B33" s="132" t="s">
        <v>172</v>
      </c>
      <c r="C33" s="105">
        <f t="shared" si="0"/>
        <v>1600000</v>
      </c>
      <c r="D33" s="112">
        <v>1600000</v>
      </c>
      <c r="E33" s="112"/>
      <c r="F33" s="112"/>
      <c r="G33" s="106"/>
      <c r="H33" s="107"/>
      <c r="I33" s="107"/>
      <c r="J33" s="107"/>
      <c r="K33" s="107"/>
      <c r="IJ33" s="107"/>
      <c r="IK33" s="107"/>
      <c r="IL33" s="107"/>
      <c r="IM33" s="107"/>
      <c r="IN33" s="107"/>
      <c r="IO33" s="107"/>
      <c r="IP33" s="107"/>
      <c r="IQ33" s="107"/>
      <c r="IR33" s="107"/>
    </row>
    <row r="34" spans="1:252" s="102" customFormat="1" ht="15">
      <c r="A34" s="109">
        <v>18011100</v>
      </c>
      <c r="B34" s="132" t="s">
        <v>173</v>
      </c>
      <c r="C34" s="105">
        <f t="shared" si="0"/>
        <v>900000</v>
      </c>
      <c r="D34" s="112">
        <v>900000</v>
      </c>
      <c r="E34" s="112"/>
      <c r="F34" s="112"/>
      <c r="G34" s="100"/>
      <c r="H34" s="101"/>
      <c r="I34" s="101"/>
      <c r="J34" s="101"/>
      <c r="K34" s="101"/>
      <c r="IJ34" s="101"/>
      <c r="IK34" s="101"/>
      <c r="IL34" s="101"/>
      <c r="IM34" s="101"/>
      <c r="IN34" s="101"/>
      <c r="IO34" s="101"/>
      <c r="IP34" s="101"/>
      <c r="IQ34" s="101"/>
      <c r="IR34" s="101"/>
    </row>
    <row r="35" spans="1:252" s="102" customFormat="1" ht="15">
      <c r="A35" s="103">
        <v>1803000</v>
      </c>
      <c r="B35" s="134" t="s">
        <v>174</v>
      </c>
      <c r="C35" s="105">
        <f t="shared" si="0"/>
        <v>175000</v>
      </c>
      <c r="D35" s="105">
        <f>SUM(D36:D37)</f>
        <v>175000</v>
      </c>
      <c r="E35" s="105"/>
      <c r="F35" s="105"/>
      <c r="G35" s="100"/>
      <c r="H35" s="101"/>
      <c r="I35" s="101"/>
      <c r="J35" s="101"/>
      <c r="K35" s="101"/>
      <c r="IJ35" s="101"/>
      <c r="IK35" s="101"/>
      <c r="IL35" s="101"/>
      <c r="IM35" s="101"/>
      <c r="IN35" s="101"/>
      <c r="IO35" s="101"/>
      <c r="IP35" s="101"/>
      <c r="IQ35" s="101"/>
      <c r="IR35" s="101"/>
    </row>
    <row r="36" spans="1:252" s="102" customFormat="1" ht="15">
      <c r="A36" s="109">
        <v>18030100</v>
      </c>
      <c r="B36" s="132" t="s">
        <v>175</v>
      </c>
      <c r="C36" s="105">
        <f t="shared" si="0"/>
        <v>118000</v>
      </c>
      <c r="D36" s="112">
        <v>118000</v>
      </c>
      <c r="E36" s="112"/>
      <c r="F36" s="112"/>
      <c r="G36" s="100"/>
      <c r="H36" s="101"/>
      <c r="I36" s="101"/>
      <c r="J36" s="101"/>
      <c r="K36" s="101"/>
      <c r="IJ36" s="101"/>
      <c r="IK36" s="101"/>
      <c r="IL36" s="101"/>
      <c r="IM36" s="101"/>
      <c r="IN36" s="101"/>
      <c r="IO36" s="101"/>
      <c r="IP36" s="101"/>
      <c r="IQ36" s="101"/>
      <c r="IR36" s="101"/>
    </row>
    <row r="37" spans="1:252" s="102" customFormat="1" ht="15">
      <c r="A37" s="109">
        <v>18030200</v>
      </c>
      <c r="B37" s="132" t="s">
        <v>176</v>
      </c>
      <c r="C37" s="105">
        <f t="shared" si="0"/>
        <v>57000</v>
      </c>
      <c r="D37" s="112">
        <v>57000</v>
      </c>
      <c r="E37" s="112"/>
      <c r="F37" s="112"/>
      <c r="G37" s="100"/>
      <c r="H37" s="101"/>
      <c r="I37" s="101"/>
      <c r="J37" s="101"/>
      <c r="K37" s="101"/>
      <c r="IJ37" s="101"/>
      <c r="IK37" s="101"/>
      <c r="IL37" s="101"/>
      <c r="IM37" s="101"/>
      <c r="IN37" s="101"/>
      <c r="IO37" s="101"/>
      <c r="IP37" s="101"/>
      <c r="IQ37" s="101"/>
      <c r="IR37" s="101"/>
    </row>
    <row r="38" spans="1:252" s="102" customFormat="1" ht="15">
      <c r="A38" s="103">
        <v>18050000</v>
      </c>
      <c r="B38" s="130" t="s">
        <v>177</v>
      </c>
      <c r="C38" s="105">
        <f t="shared" si="0"/>
        <v>225050000</v>
      </c>
      <c r="D38" s="105">
        <f>SUM(D39:D40)</f>
        <v>225050000</v>
      </c>
      <c r="E38" s="112"/>
      <c r="F38" s="112"/>
      <c r="G38" s="100"/>
      <c r="H38" s="101"/>
      <c r="I38" s="101"/>
      <c r="J38" s="101"/>
      <c r="K38" s="101"/>
      <c r="IJ38" s="101"/>
      <c r="IK38" s="101"/>
      <c r="IL38" s="101"/>
      <c r="IM38" s="101"/>
      <c r="IN38" s="101"/>
      <c r="IO38" s="101"/>
      <c r="IP38" s="101"/>
      <c r="IQ38" s="101"/>
      <c r="IR38" s="101"/>
    </row>
    <row r="39" spans="1:252" s="102" customFormat="1" ht="17.25" customHeight="1">
      <c r="A39" s="109">
        <v>18050300</v>
      </c>
      <c r="B39" s="119" t="s">
        <v>178</v>
      </c>
      <c r="C39" s="111">
        <f t="shared" si="0"/>
        <v>55980000</v>
      </c>
      <c r="D39" s="112">
        <v>55980000</v>
      </c>
      <c r="E39" s="112"/>
      <c r="F39" s="112"/>
      <c r="G39" s="100"/>
      <c r="H39" s="101"/>
      <c r="I39" s="101"/>
      <c r="J39" s="101"/>
      <c r="K39" s="101"/>
      <c r="IJ39" s="101"/>
      <c r="IK39" s="101"/>
      <c r="IL39" s="101"/>
      <c r="IM39" s="101"/>
      <c r="IN39" s="101"/>
      <c r="IO39" s="101"/>
      <c r="IP39" s="101"/>
      <c r="IQ39" s="101"/>
      <c r="IR39" s="101"/>
    </row>
    <row r="40" spans="1:252" s="108" customFormat="1" ht="15">
      <c r="A40" s="109">
        <v>18050400</v>
      </c>
      <c r="B40" s="132" t="s">
        <v>179</v>
      </c>
      <c r="C40" s="111">
        <f t="shared" si="0"/>
        <v>169070000</v>
      </c>
      <c r="D40" s="112">
        <v>169070000</v>
      </c>
      <c r="E40" s="112"/>
      <c r="F40" s="112"/>
      <c r="G40" s="106"/>
      <c r="H40" s="107"/>
      <c r="I40" s="107"/>
      <c r="J40" s="107"/>
      <c r="K40" s="107"/>
      <c r="IJ40" s="107"/>
      <c r="IK40" s="107"/>
      <c r="IL40" s="107"/>
      <c r="IM40" s="107"/>
      <c r="IN40" s="107"/>
      <c r="IO40" s="107"/>
      <c r="IP40" s="107"/>
      <c r="IQ40" s="107"/>
      <c r="IR40" s="107"/>
    </row>
    <row r="41" spans="1:252" s="102" customFormat="1" ht="15">
      <c r="A41" s="103">
        <v>1901000</v>
      </c>
      <c r="B41" s="129" t="s">
        <v>180</v>
      </c>
      <c r="C41" s="105">
        <f t="shared" si="0"/>
        <v>850000</v>
      </c>
      <c r="D41" s="105">
        <f>SUM(D42:D44)</f>
        <v>0</v>
      </c>
      <c r="E41" s="105">
        <f>SUM(E42:E44)</f>
        <v>850000</v>
      </c>
      <c r="F41" s="105"/>
      <c r="G41" s="100"/>
      <c r="H41" s="101"/>
      <c r="I41" s="101"/>
      <c r="J41" s="101"/>
      <c r="K41" s="101"/>
      <c r="IJ41" s="101"/>
      <c r="IK41" s="101"/>
      <c r="IL41" s="101"/>
      <c r="IM41" s="101"/>
      <c r="IN41" s="101"/>
      <c r="IO41" s="101"/>
      <c r="IP41" s="101"/>
      <c r="IQ41" s="101"/>
      <c r="IR41" s="101"/>
    </row>
    <row r="42" spans="1:252" s="102" customFormat="1" ht="36">
      <c r="A42" s="109">
        <v>19010100</v>
      </c>
      <c r="B42" s="119" t="s">
        <v>181</v>
      </c>
      <c r="C42" s="105">
        <f t="shared" si="0"/>
        <v>287700</v>
      </c>
      <c r="D42" s="112"/>
      <c r="E42" s="112">
        <v>287700</v>
      </c>
      <c r="F42" s="112"/>
      <c r="G42" s="100"/>
      <c r="H42" s="101"/>
      <c r="I42" s="101"/>
      <c r="J42" s="101"/>
      <c r="K42" s="101"/>
      <c r="IJ42" s="101"/>
      <c r="IK42" s="101"/>
      <c r="IL42" s="101"/>
      <c r="IM42" s="101"/>
      <c r="IN42" s="101"/>
      <c r="IO42" s="101"/>
      <c r="IP42" s="101"/>
      <c r="IQ42" s="101"/>
      <c r="IR42" s="101"/>
    </row>
    <row r="43" spans="1:252" s="128" customFormat="1" ht="24">
      <c r="A43" s="109">
        <v>19010200</v>
      </c>
      <c r="B43" s="119" t="s">
        <v>182</v>
      </c>
      <c r="C43" s="105">
        <f t="shared" si="0"/>
        <v>81300</v>
      </c>
      <c r="D43" s="112"/>
      <c r="E43" s="112">
        <v>81300</v>
      </c>
      <c r="F43" s="112"/>
      <c r="G43" s="126"/>
      <c r="H43" s="127"/>
      <c r="I43" s="127"/>
      <c r="J43" s="127"/>
      <c r="K43" s="127"/>
      <c r="IJ43" s="127"/>
      <c r="IK43" s="127"/>
      <c r="IL43" s="127"/>
      <c r="IM43" s="127"/>
      <c r="IN43" s="127"/>
      <c r="IO43" s="127"/>
      <c r="IP43" s="127"/>
      <c r="IQ43" s="127"/>
      <c r="IR43" s="127"/>
    </row>
    <row r="44" spans="1:252" s="102" customFormat="1" ht="36">
      <c r="A44" s="109">
        <v>19010300</v>
      </c>
      <c r="B44" s="119" t="s">
        <v>183</v>
      </c>
      <c r="C44" s="105">
        <f t="shared" si="0"/>
        <v>481000</v>
      </c>
      <c r="D44" s="112"/>
      <c r="E44" s="112">
        <v>481000</v>
      </c>
      <c r="F44" s="112"/>
      <c r="G44" s="100"/>
      <c r="H44" s="101"/>
      <c r="I44" s="101"/>
      <c r="J44" s="101"/>
      <c r="K44" s="101"/>
      <c r="IJ44" s="101"/>
      <c r="IK44" s="101"/>
      <c r="IL44" s="101"/>
      <c r="IM44" s="101"/>
      <c r="IN44" s="101"/>
      <c r="IO44" s="101"/>
      <c r="IP44" s="101"/>
      <c r="IQ44" s="101"/>
      <c r="IR44" s="101"/>
    </row>
    <row r="45" spans="1:252" s="102" customFormat="1" ht="15">
      <c r="A45" s="103">
        <v>20000000</v>
      </c>
      <c r="B45" s="104" t="s">
        <v>184</v>
      </c>
      <c r="C45" s="105">
        <f t="shared" si="0"/>
        <v>199925507</v>
      </c>
      <c r="D45" s="111">
        <f>SUM(D46,D47,D48,D51,D60,D63)</f>
        <v>65064000</v>
      </c>
      <c r="E45" s="111">
        <f>SUM(E46,E51,E60,E56,E63)</f>
        <v>134861507</v>
      </c>
      <c r="F45" s="111">
        <f>SUM(F46,F51,F60,F56)</f>
        <v>22000000</v>
      </c>
      <c r="G45" s="100"/>
      <c r="H45" s="101"/>
      <c r="I45" s="101"/>
      <c r="J45" s="101"/>
      <c r="K45" s="101"/>
      <c r="IJ45" s="101"/>
      <c r="IK45" s="101"/>
      <c r="IL45" s="101"/>
      <c r="IM45" s="101"/>
      <c r="IN45" s="101"/>
      <c r="IO45" s="101"/>
      <c r="IP45" s="101"/>
      <c r="IQ45" s="101"/>
      <c r="IR45" s="101"/>
    </row>
    <row r="46" spans="1:252" s="102" customFormat="1" ht="41.25" customHeight="1">
      <c r="A46" s="109">
        <v>21010300</v>
      </c>
      <c r="B46" s="135" t="s">
        <v>185</v>
      </c>
      <c r="C46" s="105">
        <f t="shared" si="0"/>
        <v>800000</v>
      </c>
      <c r="D46" s="112">
        <v>800000</v>
      </c>
      <c r="E46" s="112"/>
      <c r="F46" s="112"/>
      <c r="G46" s="100"/>
      <c r="H46" s="101"/>
      <c r="I46" s="101"/>
      <c r="J46" s="101"/>
      <c r="K46" s="101"/>
      <c r="IJ46" s="101"/>
      <c r="IK46" s="101"/>
      <c r="IL46" s="101"/>
      <c r="IM46" s="101"/>
      <c r="IN46" s="101"/>
      <c r="IO46" s="101"/>
      <c r="IP46" s="101"/>
      <c r="IQ46" s="101"/>
      <c r="IR46" s="101"/>
    </row>
    <row r="47" spans="1:252" s="102" customFormat="1" ht="27" customHeight="1">
      <c r="A47" s="109">
        <v>21050000</v>
      </c>
      <c r="B47" s="135" t="s">
        <v>186</v>
      </c>
      <c r="C47" s="105">
        <v>17500000</v>
      </c>
      <c r="D47" s="112">
        <v>17500000</v>
      </c>
      <c r="E47" s="112"/>
      <c r="F47" s="112"/>
      <c r="G47" s="100"/>
      <c r="H47" s="101"/>
      <c r="I47" s="101"/>
      <c r="J47" s="101"/>
      <c r="K47" s="101"/>
      <c r="IJ47" s="101"/>
      <c r="IK47" s="101"/>
      <c r="IL47" s="101"/>
      <c r="IM47" s="101"/>
      <c r="IN47" s="101"/>
      <c r="IO47" s="101"/>
      <c r="IP47" s="101"/>
      <c r="IQ47" s="101"/>
      <c r="IR47" s="101"/>
    </row>
    <row r="48" spans="1:252" s="128" customFormat="1" ht="27">
      <c r="A48" s="136">
        <v>21800000</v>
      </c>
      <c r="B48" s="137" t="s">
        <v>187</v>
      </c>
      <c r="C48" s="111">
        <f>SUM(D48,E48)</f>
        <v>1200000</v>
      </c>
      <c r="D48" s="117">
        <f>SUM(D49:D50)</f>
        <v>1200000</v>
      </c>
      <c r="E48" s="117"/>
      <c r="F48" s="117"/>
      <c r="G48" s="126"/>
      <c r="H48" s="127"/>
      <c r="I48" s="127"/>
      <c r="J48" s="127"/>
      <c r="K48" s="127"/>
      <c r="IJ48" s="127"/>
      <c r="IK48" s="127"/>
      <c r="IL48" s="127"/>
      <c r="IM48" s="127"/>
      <c r="IN48" s="127"/>
      <c r="IO48" s="127"/>
      <c r="IP48" s="127"/>
      <c r="IQ48" s="127"/>
      <c r="IR48" s="127"/>
    </row>
    <row r="49" spans="1:252" s="102" customFormat="1" ht="15">
      <c r="A49" s="118">
        <v>21081100</v>
      </c>
      <c r="B49" s="138" t="s">
        <v>188</v>
      </c>
      <c r="C49" s="105">
        <f>SUM(D49,E49)</f>
        <v>740000</v>
      </c>
      <c r="D49" s="112">
        <v>740000</v>
      </c>
      <c r="E49" s="112"/>
      <c r="F49" s="112"/>
      <c r="G49" s="100"/>
      <c r="H49" s="101"/>
      <c r="I49" s="101"/>
      <c r="J49" s="101"/>
      <c r="K49" s="101"/>
      <c r="IJ49" s="101"/>
      <c r="IK49" s="101"/>
      <c r="IL49" s="101"/>
      <c r="IM49" s="101"/>
      <c r="IN49" s="101"/>
      <c r="IO49" s="101"/>
      <c r="IP49" s="101"/>
      <c r="IQ49" s="101"/>
      <c r="IR49" s="101"/>
    </row>
    <row r="50" spans="1:252" s="102" customFormat="1" ht="36">
      <c r="A50" s="109">
        <v>21081500</v>
      </c>
      <c r="B50" s="119" t="s">
        <v>189</v>
      </c>
      <c r="C50" s="105">
        <f>SUM(D50,E50)</f>
        <v>460000</v>
      </c>
      <c r="D50" s="112">
        <v>460000</v>
      </c>
      <c r="E50" s="112"/>
      <c r="F50" s="112"/>
      <c r="G50" s="100"/>
      <c r="H50" s="101"/>
      <c r="I50" s="101"/>
      <c r="J50" s="101"/>
      <c r="K50" s="101"/>
      <c r="IJ50" s="101"/>
      <c r="IK50" s="101"/>
      <c r="IL50" s="101"/>
      <c r="IM50" s="101"/>
      <c r="IN50" s="101"/>
      <c r="IO50" s="101"/>
      <c r="IP50" s="101"/>
      <c r="IQ50" s="101"/>
      <c r="IR50" s="101"/>
    </row>
    <row r="51" spans="1:252" s="102" customFormat="1" ht="27">
      <c r="A51" s="103">
        <v>22000000</v>
      </c>
      <c r="B51" s="116" t="s">
        <v>190</v>
      </c>
      <c r="C51" s="105">
        <f t="shared" si="0"/>
        <v>38060000</v>
      </c>
      <c r="D51" s="112">
        <f>SUM(D52:D56)</f>
        <v>38060000</v>
      </c>
      <c r="E51" s="112"/>
      <c r="F51" s="112"/>
      <c r="G51" s="100"/>
      <c r="H51" s="101"/>
      <c r="I51" s="101"/>
      <c r="J51" s="101"/>
      <c r="K51" s="101"/>
      <c r="IJ51" s="101"/>
      <c r="IK51" s="101"/>
      <c r="IL51" s="101"/>
      <c r="IM51" s="101"/>
      <c r="IN51" s="101"/>
      <c r="IO51" s="101"/>
      <c r="IP51" s="101"/>
      <c r="IQ51" s="101"/>
      <c r="IR51" s="101"/>
    </row>
    <row r="52" spans="1:252" s="102" customFormat="1" ht="38.25">
      <c r="A52" s="109">
        <v>22010300</v>
      </c>
      <c r="B52" s="139" t="s">
        <v>307</v>
      </c>
      <c r="C52" s="105">
        <v>905000</v>
      </c>
      <c r="D52" s="112">
        <v>905000</v>
      </c>
      <c r="E52" s="112"/>
      <c r="F52" s="112"/>
      <c r="G52" s="100"/>
      <c r="H52" s="101"/>
      <c r="I52" s="101"/>
      <c r="J52" s="101"/>
      <c r="K52" s="101"/>
      <c r="IJ52" s="101"/>
      <c r="IK52" s="101"/>
      <c r="IL52" s="101"/>
      <c r="IM52" s="101"/>
      <c r="IN52" s="101"/>
      <c r="IO52" s="101"/>
      <c r="IP52" s="101"/>
      <c r="IQ52" s="101"/>
      <c r="IR52" s="101"/>
    </row>
    <row r="53" spans="1:252" s="102" customFormat="1" ht="25.5">
      <c r="A53" s="109">
        <v>22012600</v>
      </c>
      <c r="B53" s="139" t="s">
        <v>191</v>
      </c>
      <c r="C53" s="105">
        <v>650000</v>
      </c>
      <c r="D53" s="112">
        <v>650000</v>
      </c>
      <c r="E53" s="112"/>
      <c r="F53" s="112"/>
      <c r="G53" s="100"/>
      <c r="H53" s="101"/>
      <c r="I53" s="101"/>
      <c r="J53" s="101"/>
      <c r="K53" s="101"/>
      <c r="IJ53" s="101"/>
      <c r="IK53" s="101"/>
      <c r="IL53" s="101"/>
      <c r="IM53" s="101"/>
      <c r="IN53" s="101"/>
      <c r="IO53" s="101"/>
      <c r="IP53" s="101"/>
      <c r="IQ53" s="101"/>
      <c r="IR53" s="101"/>
    </row>
    <row r="54" spans="1:252" s="142" customFormat="1" ht="15">
      <c r="A54" s="109">
        <v>22012500</v>
      </c>
      <c r="B54" s="119" t="s">
        <v>192</v>
      </c>
      <c r="C54" s="105">
        <f t="shared" si="0"/>
        <v>26945000</v>
      </c>
      <c r="D54" s="112">
        <v>26945000</v>
      </c>
      <c r="E54" s="112"/>
      <c r="F54" s="112"/>
      <c r="G54" s="140"/>
      <c r="H54" s="141"/>
      <c r="I54" s="141"/>
      <c r="J54" s="141"/>
      <c r="K54" s="141"/>
      <c r="IJ54" s="141"/>
      <c r="IK54" s="141"/>
      <c r="IL54" s="141"/>
      <c r="IM54" s="141"/>
      <c r="IN54" s="141"/>
      <c r="IO54" s="141"/>
      <c r="IP54" s="141"/>
      <c r="IQ54" s="141"/>
      <c r="IR54" s="141"/>
    </row>
    <row r="55" spans="1:252" s="102" customFormat="1" ht="36">
      <c r="A55" s="118">
        <v>22080400</v>
      </c>
      <c r="B55" s="138" t="s">
        <v>193</v>
      </c>
      <c r="C55" s="105">
        <f t="shared" si="0"/>
        <v>8560000</v>
      </c>
      <c r="D55" s="112">
        <v>8560000</v>
      </c>
      <c r="E55" s="112"/>
      <c r="F55" s="112"/>
      <c r="G55" s="100"/>
      <c r="H55" s="101"/>
      <c r="I55" s="101"/>
      <c r="J55" s="101"/>
      <c r="K55" s="101"/>
      <c r="IJ55" s="101"/>
      <c r="IK55" s="101"/>
      <c r="IL55" s="101"/>
      <c r="IM55" s="101"/>
      <c r="IN55" s="101"/>
      <c r="IO55" s="101"/>
      <c r="IP55" s="101"/>
      <c r="IQ55" s="101"/>
      <c r="IR55" s="101"/>
    </row>
    <row r="56" spans="1:252" s="102" customFormat="1" ht="15">
      <c r="A56" s="143">
        <v>22090000</v>
      </c>
      <c r="B56" s="144" t="s">
        <v>194</v>
      </c>
      <c r="C56" s="105">
        <f t="shared" si="0"/>
        <v>1000000</v>
      </c>
      <c r="D56" s="145">
        <f>SUM(D57:D59)</f>
        <v>1000000</v>
      </c>
      <c r="E56" s="146"/>
      <c r="F56" s="146"/>
      <c r="G56" s="100"/>
      <c r="H56" s="101"/>
      <c r="I56" s="101"/>
      <c r="J56" s="101"/>
      <c r="K56" s="101"/>
      <c r="IJ56" s="101"/>
      <c r="IK56" s="101"/>
      <c r="IL56" s="101"/>
      <c r="IM56" s="101"/>
      <c r="IN56" s="101"/>
      <c r="IO56" s="101"/>
      <c r="IP56" s="101"/>
      <c r="IQ56" s="101"/>
      <c r="IR56" s="101"/>
    </row>
    <row r="57" spans="1:252" s="102" customFormat="1" ht="36">
      <c r="A57" s="118">
        <v>22090100</v>
      </c>
      <c r="B57" s="132" t="s">
        <v>195</v>
      </c>
      <c r="C57" s="105">
        <f t="shared" si="0"/>
        <v>145000</v>
      </c>
      <c r="D57" s="112">
        <v>145000</v>
      </c>
      <c r="E57" s="112"/>
      <c r="F57" s="112"/>
      <c r="G57" s="100"/>
      <c r="H57" s="101"/>
      <c r="I57" s="101"/>
      <c r="J57" s="101"/>
      <c r="K57" s="101"/>
      <c r="IJ57" s="101"/>
      <c r="IK57" s="101"/>
      <c r="IL57" s="101"/>
      <c r="IM57" s="101"/>
      <c r="IN57" s="101"/>
      <c r="IO57" s="101"/>
      <c r="IP57" s="101"/>
      <c r="IQ57" s="101"/>
      <c r="IR57" s="101"/>
    </row>
    <row r="58" spans="1:252" s="102" customFormat="1" ht="15">
      <c r="A58" s="118">
        <v>22090200</v>
      </c>
      <c r="B58" s="132" t="s">
        <v>196</v>
      </c>
      <c r="C58" s="105">
        <f t="shared" si="0"/>
        <v>220000</v>
      </c>
      <c r="D58" s="112">
        <v>220000</v>
      </c>
      <c r="E58" s="112"/>
      <c r="F58" s="112"/>
      <c r="G58" s="100"/>
      <c r="H58" s="101"/>
      <c r="I58" s="101"/>
      <c r="J58" s="101"/>
      <c r="K58" s="101"/>
      <c r="IJ58" s="101"/>
      <c r="IK58" s="101"/>
      <c r="IL58" s="101"/>
      <c r="IM58" s="101"/>
      <c r="IN58" s="101"/>
      <c r="IO58" s="101"/>
      <c r="IP58" s="101"/>
      <c r="IQ58" s="101"/>
      <c r="IR58" s="101"/>
    </row>
    <row r="59" spans="1:252" s="115" customFormat="1" ht="36">
      <c r="A59" s="118">
        <v>22090400</v>
      </c>
      <c r="B59" s="132" t="s">
        <v>197</v>
      </c>
      <c r="C59" s="105">
        <f t="shared" si="0"/>
        <v>635000</v>
      </c>
      <c r="D59" s="112">
        <v>635000</v>
      </c>
      <c r="E59" s="112"/>
      <c r="F59" s="112"/>
      <c r="G59" s="113"/>
      <c r="H59" s="114"/>
      <c r="I59" s="114"/>
      <c r="J59" s="114"/>
      <c r="K59" s="114"/>
      <c r="IJ59" s="114"/>
      <c r="IK59" s="114"/>
      <c r="IL59" s="114"/>
      <c r="IM59" s="114"/>
      <c r="IN59" s="114"/>
      <c r="IO59" s="114"/>
      <c r="IP59" s="114"/>
      <c r="IQ59" s="114"/>
      <c r="IR59" s="114"/>
    </row>
    <row r="60" spans="1:252" s="102" customFormat="1" ht="15">
      <c r="A60" s="103">
        <v>24000000</v>
      </c>
      <c r="B60" s="144" t="s">
        <v>198</v>
      </c>
      <c r="C60" s="105">
        <f t="shared" si="0"/>
        <v>29504000</v>
      </c>
      <c r="D60" s="121">
        <f>D61+D62</f>
        <v>7504000</v>
      </c>
      <c r="E60" s="121">
        <f>E61+E62</f>
        <v>22000000</v>
      </c>
      <c r="F60" s="105">
        <v>22000000</v>
      </c>
      <c r="G60" s="100"/>
      <c r="H60" s="101"/>
      <c r="I60" s="101"/>
      <c r="J60" s="101"/>
      <c r="K60" s="101"/>
      <c r="IJ60" s="101"/>
      <c r="IK60" s="101"/>
      <c r="IL60" s="101"/>
      <c r="IM60" s="101"/>
      <c r="IN60" s="101"/>
      <c r="IO60" s="101"/>
      <c r="IP60" s="101"/>
      <c r="IQ60" s="101"/>
      <c r="IR60" s="101"/>
    </row>
    <row r="61" spans="1:252" s="102" customFormat="1" ht="15">
      <c r="A61" s="118">
        <v>24060300</v>
      </c>
      <c r="B61" s="119" t="s">
        <v>199</v>
      </c>
      <c r="C61" s="105">
        <f t="shared" si="0"/>
        <v>7504000</v>
      </c>
      <c r="D61" s="122">
        <v>7504000</v>
      </c>
      <c r="E61" s="122"/>
      <c r="F61" s="122"/>
      <c r="G61" s="100"/>
      <c r="H61" s="101"/>
      <c r="I61" s="101"/>
      <c r="J61" s="101"/>
      <c r="K61" s="101"/>
      <c r="IJ61" s="101"/>
      <c r="IK61" s="101"/>
      <c r="IL61" s="101"/>
      <c r="IM61" s="101"/>
      <c r="IN61" s="101"/>
      <c r="IO61" s="101"/>
      <c r="IP61" s="101"/>
      <c r="IQ61" s="101"/>
      <c r="IR61" s="101"/>
    </row>
    <row r="62" spans="1:252" s="108" customFormat="1" ht="24">
      <c r="A62" s="118">
        <v>24170000</v>
      </c>
      <c r="B62" s="123" t="s">
        <v>200</v>
      </c>
      <c r="C62" s="105">
        <f t="shared" si="0"/>
        <v>22000000</v>
      </c>
      <c r="D62" s="122"/>
      <c r="E62" s="122">
        <v>22000000</v>
      </c>
      <c r="F62" s="122">
        <v>22000000</v>
      </c>
      <c r="G62" s="106"/>
      <c r="H62" s="107"/>
      <c r="I62" s="107"/>
      <c r="J62" s="107"/>
      <c r="K62" s="107"/>
      <c r="IJ62" s="107"/>
      <c r="IK62" s="107"/>
      <c r="IL62" s="107"/>
      <c r="IM62" s="107"/>
      <c r="IN62" s="107"/>
      <c r="IO62" s="107"/>
      <c r="IP62" s="107"/>
      <c r="IQ62" s="107"/>
      <c r="IR62" s="107"/>
    </row>
    <row r="63" spans="1:252" s="102" customFormat="1" ht="15">
      <c r="A63" s="103">
        <v>25000000</v>
      </c>
      <c r="B63" s="110" t="s">
        <v>201</v>
      </c>
      <c r="C63" s="105">
        <f t="shared" si="0"/>
        <v>112861507</v>
      </c>
      <c r="D63" s="121">
        <f>SUM(D64,D69)</f>
        <v>0</v>
      </c>
      <c r="E63" s="121">
        <f>SUM(E64,E69)</f>
        <v>112861507</v>
      </c>
      <c r="F63" s="121"/>
      <c r="G63" s="100"/>
      <c r="H63" s="101"/>
      <c r="I63" s="101"/>
      <c r="J63" s="101"/>
      <c r="K63" s="101"/>
      <c r="IJ63" s="101"/>
      <c r="IK63" s="101"/>
      <c r="IL63" s="101"/>
      <c r="IM63" s="101"/>
      <c r="IN63" s="101"/>
      <c r="IO63" s="101"/>
      <c r="IP63" s="101"/>
      <c r="IQ63" s="101"/>
      <c r="IR63" s="101"/>
    </row>
    <row r="64" spans="1:252" s="102" customFormat="1" ht="38.25">
      <c r="A64" s="109">
        <v>25010000</v>
      </c>
      <c r="B64" s="147" t="s">
        <v>202</v>
      </c>
      <c r="C64" s="105">
        <f t="shared" si="0"/>
        <v>112861507</v>
      </c>
      <c r="D64" s="122">
        <v>0</v>
      </c>
      <c r="E64" s="122">
        <f>SUM(E65:E68)</f>
        <v>112861507</v>
      </c>
      <c r="F64" s="122"/>
      <c r="G64" s="100"/>
      <c r="H64" s="101"/>
      <c r="I64" s="101"/>
      <c r="J64" s="101"/>
      <c r="K64" s="101"/>
      <c r="IJ64" s="101"/>
      <c r="IK64" s="101"/>
      <c r="IL64" s="101"/>
      <c r="IM64" s="101"/>
      <c r="IN64" s="101"/>
      <c r="IO64" s="101"/>
      <c r="IP64" s="101"/>
      <c r="IQ64" s="101"/>
      <c r="IR64" s="101"/>
    </row>
    <row r="65" spans="1:252" s="102" customFormat="1" ht="38.25">
      <c r="A65" s="109">
        <v>25010100</v>
      </c>
      <c r="B65" s="148" t="s">
        <v>203</v>
      </c>
      <c r="C65" s="105">
        <v>99403409</v>
      </c>
      <c r="D65" s="122">
        <v>0</v>
      </c>
      <c r="E65" s="122">
        <v>99403409</v>
      </c>
      <c r="F65" s="122"/>
      <c r="G65" s="100"/>
      <c r="H65" s="101"/>
      <c r="I65" s="101"/>
      <c r="J65" s="101"/>
      <c r="K65" s="101"/>
      <c r="IJ65" s="101"/>
      <c r="IK65" s="101"/>
      <c r="IL65" s="101"/>
      <c r="IM65" s="101"/>
      <c r="IN65" s="101"/>
      <c r="IO65" s="101"/>
      <c r="IP65" s="101"/>
      <c r="IQ65" s="101"/>
      <c r="IR65" s="101"/>
    </row>
    <row r="66" spans="1:252" s="102" customFormat="1" ht="25.5">
      <c r="A66" s="109">
        <v>25010200</v>
      </c>
      <c r="B66" s="148" t="s">
        <v>204</v>
      </c>
      <c r="C66" s="105">
        <f t="shared" si="0"/>
        <v>8870732</v>
      </c>
      <c r="D66" s="122">
        <v>0</v>
      </c>
      <c r="E66" s="122">
        <v>8870732</v>
      </c>
      <c r="F66" s="122"/>
      <c r="G66" s="100"/>
      <c r="H66" s="101"/>
      <c r="I66" s="101"/>
      <c r="J66" s="101"/>
      <c r="K66" s="101"/>
      <c r="IJ66" s="101"/>
      <c r="IK66" s="101"/>
      <c r="IL66" s="101"/>
      <c r="IM66" s="101"/>
      <c r="IN66" s="101"/>
      <c r="IO66" s="101"/>
      <c r="IP66" s="101"/>
      <c r="IQ66" s="101"/>
      <c r="IR66" s="101"/>
    </row>
    <row r="67" spans="1:252" s="102" customFormat="1" ht="15">
      <c r="A67" s="109">
        <v>25010300</v>
      </c>
      <c r="B67" s="148" t="s">
        <v>205</v>
      </c>
      <c r="C67" s="105">
        <f t="shared" si="0"/>
        <v>4558166</v>
      </c>
      <c r="D67" s="122">
        <v>0</v>
      </c>
      <c r="E67" s="122">
        <v>4558166</v>
      </c>
      <c r="F67" s="122"/>
      <c r="G67" s="100"/>
      <c r="H67" s="101"/>
      <c r="I67" s="101"/>
      <c r="J67" s="101"/>
      <c r="K67" s="101"/>
      <c r="IJ67" s="101"/>
      <c r="IK67" s="101"/>
      <c r="IL67" s="101"/>
      <c r="IM67" s="101"/>
      <c r="IN67" s="101"/>
      <c r="IO67" s="101"/>
      <c r="IP67" s="101"/>
      <c r="IQ67" s="101"/>
      <c r="IR67" s="101"/>
    </row>
    <row r="68" spans="1:252" s="102" customFormat="1" ht="38.25">
      <c r="A68" s="109">
        <v>25010400</v>
      </c>
      <c r="B68" s="148" t="s">
        <v>206</v>
      </c>
      <c r="C68" s="105">
        <f t="shared" si="0"/>
        <v>29200</v>
      </c>
      <c r="D68" s="122">
        <v>0</v>
      </c>
      <c r="E68" s="122">
        <v>29200</v>
      </c>
      <c r="F68" s="122"/>
      <c r="G68" s="100"/>
      <c r="H68" s="101"/>
      <c r="I68" s="101"/>
      <c r="J68" s="101"/>
      <c r="K68" s="101"/>
      <c r="IJ68" s="101"/>
      <c r="IK68" s="101"/>
      <c r="IL68" s="101"/>
      <c r="IM68" s="101"/>
      <c r="IN68" s="101"/>
      <c r="IO68" s="101"/>
      <c r="IP68" s="101"/>
      <c r="IQ68" s="101"/>
      <c r="IR68" s="101"/>
    </row>
    <row r="69" spans="1:252" s="102" customFormat="1" ht="28.5">
      <c r="A69" s="109">
        <v>25020000</v>
      </c>
      <c r="B69" s="147" t="s">
        <v>207</v>
      </c>
      <c r="C69" s="105">
        <f t="shared" si="0"/>
        <v>0</v>
      </c>
      <c r="D69" s="122">
        <v>0</v>
      </c>
      <c r="E69" s="122">
        <v>0</v>
      </c>
      <c r="F69" s="122"/>
      <c r="G69" s="100"/>
      <c r="H69" s="101"/>
      <c r="I69" s="101"/>
      <c r="J69" s="101"/>
      <c r="K69" s="101"/>
      <c r="IJ69" s="101"/>
      <c r="IK69" s="101"/>
      <c r="IL69" s="101"/>
      <c r="IM69" s="101"/>
      <c r="IN69" s="101"/>
      <c r="IO69" s="101"/>
      <c r="IP69" s="101"/>
      <c r="IQ69" s="101"/>
      <c r="IR69" s="101"/>
    </row>
    <row r="70" spans="1:252" s="128" customFormat="1" ht="15">
      <c r="A70" s="109">
        <v>25020100</v>
      </c>
      <c r="B70" s="148" t="s">
        <v>208</v>
      </c>
      <c r="C70" s="105">
        <f t="shared" si="0"/>
        <v>0</v>
      </c>
      <c r="D70" s="122">
        <v>0</v>
      </c>
      <c r="E70" s="122">
        <v>0</v>
      </c>
      <c r="F70" s="122"/>
      <c r="G70" s="126"/>
      <c r="H70" s="127"/>
      <c r="I70" s="127"/>
      <c r="J70" s="127"/>
      <c r="K70" s="127"/>
      <c r="IJ70" s="127"/>
      <c r="IK70" s="127"/>
      <c r="IL70" s="127"/>
      <c r="IM70" s="127"/>
      <c r="IN70" s="127"/>
      <c r="IO70" s="127"/>
      <c r="IP70" s="127"/>
      <c r="IQ70" s="127"/>
      <c r="IR70" s="127"/>
    </row>
    <row r="71" spans="1:252" s="102" customFormat="1" ht="89.25" hidden="1">
      <c r="A71" s="109">
        <v>25020200</v>
      </c>
      <c r="B71" s="148" t="s">
        <v>209</v>
      </c>
      <c r="C71" s="105">
        <f t="shared" si="0"/>
        <v>0</v>
      </c>
      <c r="D71" s="122"/>
      <c r="E71" s="122">
        <v>0</v>
      </c>
      <c r="F71" s="122"/>
      <c r="G71" s="100"/>
      <c r="H71" s="101"/>
      <c r="I71" s="101"/>
      <c r="J71" s="101"/>
      <c r="K71" s="101"/>
      <c r="IJ71" s="101"/>
      <c r="IK71" s="101"/>
      <c r="IL71" s="101"/>
      <c r="IM71" s="101"/>
      <c r="IN71" s="101"/>
      <c r="IO71" s="101"/>
      <c r="IP71" s="101"/>
      <c r="IQ71" s="101"/>
      <c r="IR71" s="101"/>
    </row>
    <row r="72" spans="1:252" s="115" customFormat="1" ht="14.25">
      <c r="A72" s="103">
        <v>30000000</v>
      </c>
      <c r="B72" s="104" t="s">
        <v>210</v>
      </c>
      <c r="C72" s="105">
        <f t="shared" si="0"/>
        <v>6139200</v>
      </c>
      <c r="D72" s="121">
        <f>SUM(D73)</f>
        <v>75000</v>
      </c>
      <c r="E72" s="121">
        <f>SUM(E73,E76)</f>
        <v>6064200</v>
      </c>
      <c r="F72" s="121">
        <f>SUM(F73,F76)</f>
        <v>6064200</v>
      </c>
      <c r="G72" s="113"/>
      <c r="H72" s="114"/>
      <c r="I72" s="114"/>
      <c r="J72" s="114"/>
      <c r="K72" s="114"/>
      <c r="IJ72" s="114"/>
      <c r="IK72" s="114"/>
      <c r="IL72" s="114"/>
      <c r="IM72" s="114"/>
      <c r="IN72" s="114"/>
      <c r="IO72" s="114"/>
      <c r="IP72" s="114"/>
      <c r="IQ72" s="114"/>
      <c r="IR72" s="114"/>
    </row>
    <row r="73" spans="1:252" s="102" customFormat="1" ht="30">
      <c r="A73" s="109">
        <v>31000000</v>
      </c>
      <c r="B73" s="149" t="s">
        <v>211</v>
      </c>
      <c r="C73" s="105">
        <f t="shared" si="0"/>
        <v>1127341</v>
      </c>
      <c r="D73" s="131">
        <v>75000</v>
      </c>
      <c r="E73" s="131">
        <f>SUM(E75)</f>
        <v>1052341</v>
      </c>
      <c r="F73" s="131">
        <f>SUM(F75)</f>
        <v>1052341</v>
      </c>
      <c r="G73" s="100"/>
      <c r="H73" s="101"/>
      <c r="I73" s="101"/>
      <c r="J73" s="101"/>
      <c r="K73" s="101"/>
      <c r="IJ73" s="101"/>
      <c r="IK73" s="101"/>
      <c r="IL73" s="101"/>
      <c r="IM73" s="101"/>
      <c r="IN73" s="101"/>
      <c r="IO73" s="101"/>
      <c r="IP73" s="101"/>
      <c r="IQ73" s="101"/>
      <c r="IR73" s="101"/>
    </row>
    <row r="74" spans="1:252" s="102" customFormat="1" ht="60">
      <c r="A74" s="118">
        <v>31010200</v>
      </c>
      <c r="B74" s="123" t="s">
        <v>212</v>
      </c>
      <c r="C74" s="105">
        <f>SUM(D74,E74)</f>
        <v>75000</v>
      </c>
      <c r="D74" s="122">
        <v>75000</v>
      </c>
      <c r="E74" s="122"/>
      <c r="F74" s="122"/>
      <c r="G74" s="100"/>
      <c r="H74" s="101"/>
      <c r="I74" s="101"/>
      <c r="J74" s="101"/>
      <c r="K74" s="101"/>
      <c r="IJ74" s="101"/>
      <c r="IK74" s="101"/>
      <c r="IL74" s="101"/>
      <c r="IM74" s="101"/>
      <c r="IN74" s="101"/>
      <c r="IO74" s="101"/>
      <c r="IP74" s="101"/>
      <c r="IQ74" s="101"/>
      <c r="IR74" s="101"/>
    </row>
    <row r="75" spans="1:252" s="102" customFormat="1" ht="36">
      <c r="A75" s="118">
        <v>31030000</v>
      </c>
      <c r="B75" s="150" t="s">
        <v>213</v>
      </c>
      <c r="C75" s="105">
        <f t="shared" si="0"/>
        <v>1052341</v>
      </c>
      <c r="D75" s="120"/>
      <c r="E75" s="120">
        <v>1052341</v>
      </c>
      <c r="F75" s="120">
        <v>1052341</v>
      </c>
      <c r="G75" s="100"/>
      <c r="H75" s="101"/>
      <c r="I75" s="101"/>
      <c r="J75" s="101"/>
      <c r="K75" s="101"/>
      <c r="IJ75" s="101"/>
      <c r="IK75" s="101"/>
      <c r="IL75" s="101"/>
      <c r="IM75" s="101"/>
      <c r="IN75" s="101"/>
      <c r="IO75" s="101"/>
      <c r="IP75" s="101"/>
      <c r="IQ75" s="101"/>
      <c r="IR75" s="101"/>
    </row>
    <row r="76" spans="1:252" s="102" customFormat="1" ht="30">
      <c r="A76" s="109">
        <v>33000000</v>
      </c>
      <c r="B76" s="149" t="s">
        <v>214</v>
      </c>
      <c r="C76" s="105">
        <f t="shared" si="0"/>
        <v>5011859</v>
      </c>
      <c r="D76" s="131"/>
      <c r="E76" s="131">
        <f>SUM(E77)</f>
        <v>5011859</v>
      </c>
      <c r="F76" s="131">
        <f>SUM(F77)</f>
        <v>5011859</v>
      </c>
      <c r="G76" s="100"/>
      <c r="H76" s="101"/>
      <c r="I76" s="101"/>
      <c r="J76" s="101"/>
      <c r="K76" s="101"/>
      <c r="IJ76" s="101"/>
      <c r="IK76" s="101"/>
      <c r="IL76" s="101"/>
      <c r="IM76" s="101"/>
      <c r="IN76" s="101"/>
      <c r="IO76" s="101"/>
      <c r="IP76" s="101"/>
      <c r="IQ76" s="101"/>
      <c r="IR76" s="101"/>
    </row>
    <row r="77" spans="1:252" s="102" customFormat="1" ht="15">
      <c r="A77" s="109">
        <v>33010000</v>
      </c>
      <c r="B77" s="149" t="s">
        <v>215</v>
      </c>
      <c r="C77" s="105">
        <f t="shared" si="0"/>
        <v>5011859</v>
      </c>
      <c r="D77" s="112"/>
      <c r="E77" s="112">
        <f>SUM(E78,E79)</f>
        <v>5011859</v>
      </c>
      <c r="F77" s="112">
        <f>SUM(F78,F79)</f>
        <v>5011859</v>
      </c>
      <c r="G77" s="100"/>
      <c r="H77" s="101"/>
      <c r="I77" s="101"/>
      <c r="J77" s="101"/>
      <c r="K77" s="101"/>
      <c r="IJ77" s="101"/>
      <c r="IK77" s="101"/>
      <c r="IL77" s="101"/>
      <c r="IM77" s="101"/>
      <c r="IN77" s="101"/>
      <c r="IO77" s="101"/>
      <c r="IP77" s="101"/>
      <c r="IQ77" s="101"/>
      <c r="IR77" s="101"/>
    </row>
    <row r="78" spans="1:252" s="102" customFormat="1" ht="48">
      <c r="A78" s="109">
        <v>33010100</v>
      </c>
      <c r="B78" s="150" t="s">
        <v>729</v>
      </c>
      <c r="C78" s="105">
        <f t="shared" si="0"/>
        <v>3646567</v>
      </c>
      <c r="D78" s="112"/>
      <c r="E78" s="112">
        <v>3646567</v>
      </c>
      <c r="F78" s="112">
        <v>3646567</v>
      </c>
      <c r="G78" s="100"/>
      <c r="H78" s="101"/>
      <c r="I78" s="101"/>
      <c r="J78" s="101"/>
      <c r="K78" s="101"/>
      <c r="IJ78" s="101"/>
      <c r="IK78" s="101"/>
      <c r="IL78" s="101"/>
      <c r="IM78" s="101"/>
      <c r="IN78" s="101"/>
      <c r="IO78" s="101"/>
      <c r="IP78" s="101"/>
      <c r="IQ78" s="101"/>
      <c r="IR78" s="101"/>
    </row>
    <row r="79" spans="1:252" s="102" customFormat="1" ht="48">
      <c r="A79" s="109">
        <v>33010200</v>
      </c>
      <c r="B79" s="150" t="s">
        <v>216</v>
      </c>
      <c r="C79" s="105">
        <f t="shared" ref="C79:C101" si="1">SUM(D79,E79)</f>
        <v>1365292</v>
      </c>
      <c r="D79" s="112"/>
      <c r="E79" s="112">
        <v>1365292</v>
      </c>
      <c r="F79" s="112">
        <v>1365292</v>
      </c>
      <c r="G79" s="100"/>
      <c r="H79" s="101"/>
      <c r="I79" s="101"/>
      <c r="J79" s="101"/>
      <c r="K79" s="101"/>
      <c r="IJ79" s="101"/>
      <c r="IK79" s="101"/>
      <c r="IL79" s="101"/>
      <c r="IM79" s="101"/>
      <c r="IN79" s="101"/>
      <c r="IO79" s="101"/>
      <c r="IP79" s="101"/>
      <c r="IQ79" s="101"/>
      <c r="IR79" s="101"/>
    </row>
    <row r="80" spans="1:252" s="102" customFormat="1" ht="53.25" customHeight="1">
      <c r="A80" s="103">
        <v>50110000</v>
      </c>
      <c r="B80" s="151" t="s">
        <v>217</v>
      </c>
      <c r="C80" s="105">
        <v>3507000</v>
      </c>
      <c r="D80" s="112"/>
      <c r="E80" s="105">
        <v>3507000</v>
      </c>
      <c r="F80" s="112"/>
      <c r="G80" s="100"/>
      <c r="H80" s="101"/>
      <c r="I80" s="101"/>
      <c r="J80" s="101"/>
      <c r="K80" s="101"/>
      <c r="IJ80" s="101"/>
      <c r="IK80" s="101"/>
      <c r="IL80" s="101"/>
      <c r="IM80" s="101"/>
      <c r="IN80" s="101"/>
      <c r="IO80" s="101"/>
      <c r="IP80" s="101"/>
      <c r="IQ80" s="101"/>
      <c r="IR80" s="101"/>
    </row>
    <row r="81" spans="1:252" s="108" customFormat="1" ht="18.75">
      <c r="A81" s="103"/>
      <c r="B81" s="152" t="s">
        <v>218</v>
      </c>
      <c r="C81" s="105">
        <f t="shared" si="1"/>
        <v>1656035881.7</v>
      </c>
      <c r="D81" s="121">
        <f>D10+D45+D72</f>
        <v>1510753174.7</v>
      </c>
      <c r="E81" s="121">
        <f>E10+E45+E72+E80</f>
        <v>145282707</v>
      </c>
      <c r="F81" s="121">
        <f>F10+F45+F63+F72</f>
        <v>28064200</v>
      </c>
      <c r="G81" s="106"/>
      <c r="H81" s="107"/>
      <c r="I81" s="107"/>
      <c r="J81" s="107"/>
      <c r="K81" s="107"/>
      <c r="IJ81" s="107"/>
      <c r="IK81" s="107"/>
      <c r="IL81" s="107"/>
      <c r="IM81" s="107"/>
      <c r="IN81" s="107"/>
      <c r="IO81" s="107"/>
      <c r="IP81" s="107"/>
      <c r="IQ81" s="107"/>
      <c r="IR81" s="107"/>
    </row>
    <row r="82" spans="1:252" s="108" customFormat="1" ht="31.5">
      <c r="A82" s="103">
        <v>41040000</v>
      </c>
      <c r="B82" s="402" t="s">
        <v>742</v>
      </c>
      <c r="C82" s="105">
        <v>12250931</v>
      </c>
      <c r="D82" s="121">
        <v>12250931</v>
      </c>
      <c r="E82" s="121"/>
      <c r="F82" s="121"/>
      <c r="G82" s="106"/>
      <c r="H82" s="107"/>
      <c r="I82" s="107"/>
      <c r="J82" s="107"/>
      <c r="K82" s="107"/>
      <c r="IJ82" s="107"/>
      <c r="IK82" s="107"/>
      <c r="IL82" s="107"/>
      <c r="IM82" s="107"/>
      <c r="IN82" s="107"/>
      <c r="IO82" s="107"/>
      <c r="IP82" s="107"/>
      <c r="IQ82" s="107"/>
      <c r="IR82" s="107"/>
    </row>
    <row r="83" spans="1:252" s="108" customFormat="1" ht="78.75" customHeight="1">
      <c r="A83" s="109">
        <v>41040200</v>
      </c>
      <c r="B83" s="403" t="s">
        <v>735</v>
      </c>
      <c r="C83" s="105">
        <v>12250931</v>
      </c>
      <c r="D83" s="121">
        <v>12250931</v>
      </c>
      <c r="E83" s="121"/>
      <c r="F83" s="121"/>
      <c r="G83" s="106"/>
      <c r="H83" s="107"/>
      <c r="I83" s="107"/>
      <c r="J83" s="107"/>
      <c r="K83" s="107"/>
      <c r="IJ83" s="107"/>
      <c r="IK83" s="107"/>
      <c r="IL83" s="107"/>
      <c r="IM83" s="107"/>
      <c r="IN83" s="107"/>
      <c r="IO83" s="107"/>
      <c r="IP83" s="107"/>
      <c r="IQ83" s="107"/>
      <c r="IR83" s="107"/>
    </row>
    <row r="84" spans="1:252" s="108" customFormat="1" ht="14.25">
      <c r="A84" s="103">
        <v>40000000</v>
      </c>
      <c r="B84" s="129" t="s">
        <v>219</v>
      </c>
      <c r="C84" s="105">
        <f t="shared" si="1"/>
        <v>1399856605</v>
      </c>
      <c r="D84" s="121">
        <f>SUM(D85:D95)</f>
        <v>1399190026</v>
      </c>
      <c r="E84" s="121">
        <f>SUM(E85:E95)</f>
        <v>666579</v>
      </c>
      <c r="F84" s="105">
        <v>0</v>
      </c>
      <c r="G84" s="106"/>
      <c r="H84" s="107"/>
      <c r="I84" s="107"/>
      <c r="J84" s="107"/>
      <c r="K84" s="107"/>
      <c r="IJ84" s="107"/>
      <c r="IK84" s="107"/>
      <c r="IL84" s="107"/>
      <c r="IM84" s="107"/>
      <c r="IN84" s="107"/>
      <c r="IO84" s="107"/>
      <c r="IP84" s="107"/>
      <c r="IQ84" s="107"/>
      <c r="IR84" s="107"/>
    </row>
    <row r="85" spans="1:252" s="108" customFormat="1" ht="25.5">
      <c r="A85" s="109">
        <v>41033900</v>
      </c>
      <c r="B85" s="139" t="s">
        <v>220</v>
      </c>
      <c r="C85" s="105">
        <f t="shared" si="1"/>
        <v>304652500</v>
      </c>
      <c r="D85" s="112">
        <v>304652500</v>
      </c>
      <c r="E85" s="105"/>
      <c r="F85" s="105"/>
      <c r="G85" s="106"/>
      <c r="H85" s="107"/>
      <c r="I85" s="107"/>
      <c r="J85" s="107"/>
      <c r="K85" s="107"/>
      <c r="IJ85" s="107"/>
      <c r="IK85" s="107"/>
      <c r="IL85" s="107"/>
      <c r="IM85" s="107"/>
      <c r="IN85" s="107"/>
      <c r="IO85" s="107"/>
      <c r="IP85" s="107"/>
      <c r="IQ85" s="107"/>
      <c r="IR85" s="107"/>
    </row>
    <row r="86" spans="1:252" s="108" customFormat="1" ht="25.5">
      <c r="A86" s="109">
        <v>41034200</v>
      </c>
      <c r="B86" s="139" t="s">
        <v>221</v>
      </c>
      <c r="C86" s="105">
        <f t="shared" si="1"/>
        <v>210178300</v>
      </c>
      <c r="D86" s="112">
        <v>210178300</v>
      </c>
      <c r="E86" s="105"/>
      <c r="F86" s="105"/>
      <c r="G86" s="106"/>
      <c r="H86" s="107"/>
      <c r="I86" s="107"/>
      <c r="J86" s="107"/>
      <c r="K86" s="107"/>
      <c r="IJ86" s="107"/>
      <c r="IK86" s="107"/>
      <c r="IL86" s="107"/>
      <c r="IM86" s="107"/>
      <c r="IN86" s="107"/>
      <c r="IO86" s="107"/>
      <c r="IP86" s="107"/>
      <c r="IQ86" s="107"/>
      <c r="IR86" s="107"/>
    </row>
    <row r="87" spans="1:252" s="108" customFormat="1" ht="38.25">
      <c r="A87" s="109">
        <v>41051100</v>
      </c>
      <c r="B87" s="139" t="s">
        <v>798</v>
      </c>
      <c r="C87" s="105">
        <v>1041579</v>
      </c>
      <c r="D87" s="112">
        <v>375000</v>
      </c>
      <c r="E87" s="112">
        <v>666579</v>
      </c>
      <c r="F87" s="105"/>
      <c r="G87" s="106"/>
      <c r="H87" s="107"/>
      <c r="I87" s="107"/>
      <c r="J87" s="107"/>
      <c r="K87" s="107"/>
      <c r="IJ87" s="107"/>
      <c r="IK87" s="107"/>
      <c r="IL87" s="107"/>
      <c r="IM87" s="107"/>
      <c r="IN87" s="107"/>
      <c r="IO87" s="107"/>
      <c r="IP87" s="107"/>
      <c r="IQ87" s="107"/>
      <c r="IR87" s="107"/>
    </row>
    <row r="88" spans="1:252" s="108" customFormat="1" ht="51">
      <c r="A88" s="109">
        <v>41051200</v>
      </c>
      <c r="B88" s="139" t="s">
        <v>799</v>
      </c>
      <c r="C88" s="105">
        <v>2452200</v>
      </c>
      <c r="D88" s="112">
        <v>2452200</v>
      </c>
      <c r="E88" s="112"/>
      <c r="F88" s="105"/>
      <c r="G88" s="106"/>
      <c r="H88" s="107"/>
      <c r="I88" s="107"/>
      <c r="J88" s="107"/>
      <c r="K88" s="107"/>
      <c r="IJ88" s="107"/>
      <c r="IK88" s="107"/>
      <c r="IL88" s="107"/>
      <c r="IM88" s="107"/>
      <c r="IN88" s="107"/>
      <c r="IO88" s="107"/>
      <c r="IP88" s="107"/>
      <c r="IQ88" s="107"/>
      <c r="IR88" s="107"/>
    </row>
    <row r="89" spans="1:252" s="108" customFormat="1" ht="49.5" customHeight="1">
      <c r="A89" s="109">
        <v>41051500</v>
      </c>
      <c r="B89" s="139" t="s">
        <v>715</v>
      </c>
      <c r="C89" s="105">
        <v>6595200</v>
      </c>
      <c r="D89" s="112">
        <v>6595200</v>
      </c>
      <c r="E89" s="105"/>
      <c r="F89" s="105"/>
      <c r="G89" s="106"/>
      <c r="H89" s="107"/>
      <c r="I89" s="107"/>
      <c r="J89" s="107"/>
      <c r="K89" s="107"/>
      <c r="IJ89" s="107"/>
      <c r="IK89" s="107"/>
      <c r="IL89" s="107"/>
      <c r="IM89" s="107"/>
      <c r="IN89" s="107"/>
      <c r="IO89" s="107"/>
      <c r="IP89" s="107"/>
      <c r="IQ89" s="107"/>
      <c r="IR89" s="107"/>
    </row>
    <row r="90" spans="1:252" s="108" customFormat="1" ht="51">
      <c r="A90" s="109">
        <v>41052000</v>
      </c>
      <c r="B90" s="139" t="s">
        <v>716</v>
      </c>
      <c r="C90" s="105">
        <v>2835500</v>
      </c>
      <c r="D90" s="112">
        <v>2835500</v>
      </c>
      <c r="E90" s="105"/>
      <c r="F90" s="105"/>
      <c r="G90" s="106"/>
      <c r="H90" s="107"/>
      <c r="I90" s="107"/>
      <c r="J90" s="107"/>
      <c r="K90" s="107"/>
      <c r="IJ90" s="107"/>
      <c r="IK90" s="107"/>
      <c r="IL90" s="107"/>
      <c r="IM90" s="107"/>
      <c r="IN90" s="107"/>
      <c r="IO90" s="107"/>
      <c r="IP90" s="107"/>
      <c r="IQ90" s="107"/>
      <c r="IR90" s="107"/>
    </row>
    <row r="91" spans="1:252" s="108" customFormat="1" ht="198.75" customHeight="1">
      <c r="A91" s="103">
        <v>41050300</v>
      </c>
      <c r="B91" s="139" t="s">
        <v>665</v>
      </c>
      <c r="C91" s="105">
        <f t="shared" si="1"/>
        <v>343735700</v>
      </c>
      <c r="D91" s="112">
        <v>343735700</v>
      </c>
      <c r="E91" s="105"/>
      <c r="F91" s="105"/>
      <c r="G91" s="106"/>
      <c r="H91" s="107"/>
      <c r="I91" s="107"/>
      <c r="J91" s="107"/>
      <c r="K91" s="107"/>
      <c r="IJ91" s="107"/>
      <c r="IK91" s="107"/>
      <c r="IL91" s="107"/>
      <c r="IM91" s="107"/>
      <c r="IN91" s="107"/>
      <c r="IO91" s="107"/>
      <c r="IP91" s="107"/>
      <c r="IQ91" s="107"/>
      <c r="IR91" s="107"/>
    </row>
    <row r="92" spans="1:252" s="108" customFormat="1" ht="129.75" customHeight="1">
      <c r="A92" s="103">
        <v>41050100</v>
      </c>
      <c r="B92" s="139" t="s">
        <v>666</v>
      </c>
      <c r="C92" s="105">
        <v>523967300</v>
      </c>
      <c r="D92" s="112">
        <v>523967300</v>
      </c>
      <c r="E92" s="105"/>
      <c r="F92" s="105"/>
      <c r="G92" s="106"/>
      <c r="H92" s="107"/>
      <c r="I92" s="107"/>
      <c r="J92" s="107"/>
      <c r="K92" s="107"/>
      <c r="IJ92" s="107"/>
      <c r="IK92" s="107"/>
      <c r="IL92" s="107"/>
      <c r="IM92" s="107"/>
      <c r="IN92" s="107"/>
      <c r="IO92" s="107"/>
      <c r="IP92" s="107"/>
      <c r="IQ92" s="107"/>
      <c r="IR92" s="107"/>
    </row>
    <row r="93" spans="1:252" s="108" customFormat="1" ht="72" customHeight="1">
      <c r="A93" s="103">
        <v>41050200</v>
      </c>
      <c r="B93" s="139" t="s">
        <v>667</v>
      </c>
      <c r="C93" s="105">
        <f t="shared" si="1"/>
        <v>60000</v>
      </c>
      <c r="D93" s="112">
        <v>60000</v>
      </c>
      <c r="E93" s="105"/>
      <c r="F93" s="105"/>
      <c r="G93" s="106"/>
      <c r="H93" s="107"/>
      <c r="I93" s="107"/>
      <c r="J93" s="107"/>
      <c r="K93" s="107"/>
      <c r="IJ93" s="107"/>
      <c r="IK93" s="107"/>
      <c r="IL93" s="107"/>
      <c r="IM93" s="107"/>
      <c r="IN93" s="107"/>
      <c r="IO93" s="107"/>
      <c r="IP93" s="107"/>
      <c r="IQ93" s="107"/>
      <c r="IR93" s="107"/>
    </row>
    <row r="94" spans="1:252" s="108" customFormat="1" ht="168.75" customHeight="1">
      <c r="A94" s="103">
        <v>41050700</v>
      </c>
      <c r="B94" s="139" t="s">
        <v>668</v>
      </c>
      <c r="C94" s="105">
        <f t="shared" si="1"/>
        <v>851000</v>
      </c>
      <c r="D94" s="112">
        <v>851000</v>
      </c>
      <c r="E94" s="105"/>
      <c r="F94" s="105"/>
      <c r="G94" s="106"/>
      <c r="H94" s="107"/>
      <c r="I94" s="107"/>
      <c r="J94" s="107"/>
      <c r="K94" s="107"/>
      <c r="IJ94" s="107"/>
      <c r="IK94" s="107"/>
      <c r="IL94" s="107"/>
      <c r="IM94" s="107"/>
      <c r="IN94" s="107"/>
      <c r="IO94" s="107"/>
      <c r="IP94" s="107"/>
      <c r="IQ94" s="107"/>
      <c r="IR94" s="107"/>
    </row>
    <row r="95" spans="1:252" s="108" customFormat="1" ht="17.25" customHeight="1">
      <c r="A95" s="103">
        <v>41053900</v>
      </c>
      <c r="B95" s="153" t="s">
        <v>730</v>
      </c>
      <c r="C95" s="105">
        <f t="shared" si="1"/>
        <v>3487326</v>
      </c>
      <c r="D95" s="121">
        <f>SUM(D96:D100)</f>
        <v>3487326</v>
      </c>
      <c r="E95" s="105"/>
      <c r="F95" s="105"/>
      <c r="G95" s="106"/>
      <c r="H95" s="107"/>
      <c r="I95" s="107"/>
      <c r="J95" s="107"/>
      <c r="K95" s="107"/>
      <c r="IJ95" s="107"/>
      <c r="IK95" s="107"/>
      <c r="IL95" s="107"/>
      <c r="IM95" s="107"/>
      <c r="IN95" s="107"/>
      <c r="IO95" s="107"/>
      <c r="IP95" s="107"/>
      <c r="IQ95" s="107"/>
      <c r="IR95" s="107"/>
    </row>
    <row r="96" spans="1:252" s="108" customFormat="1" ht="36">
      <c r="A96" s="103"/>
      <c r="B96" s="154" t="s">
        <v>222</v>
      </c>
      <c r="C96" s="105">
        <f t="shared" si="1"/>
        <v>174859</v>
      </c>
      <c r="D96" s="112">
        <v>174859</v>
      </c>
      <c r="E96" s="105"/>
      <c r="F96" s="105"/>
      <c r="G96" s="106"/>
      <c r="H96" s="107"/>
      <c r="I96" s="107"/>
      <c r="J96" s="107"/>
      <c r="K96" s="107"/>
      <c r="IJ96" s="107"/>
      <c r="IK96" s="107"/>
      <c r="IL96" s="107"/>
      <c r="IM96" s="107"/>
      <c r="IN96" s="107"/>
      <c r="IO96" s="107"/>
      <c r="IP96" s="107"/>
      <c r="IQ96" s="107"/>
      <c r="IR96" s="107"/>
    </row>
    <row r="97" spans="1:252" s="108" customFormat="1" ht="36">
      <c r="A97" s="103"/>
      <c r="B97" s="154" t="s">
        <v>223</v>
      </c>
      <c r="C97" s="105">
        <f t="shared" si="1"/>
        <v>123359</v>
      </c>
      <c r="D97" s="112">
        <v>123359</v>
      </c>
      <c r="E97" s="105"/>
      <c r="F97" s="105"/>
      <c r="G97" s="106"/>
      <c r="H97" s="107"/>
      <c r="I97" s="107"/>
      <c r="J97" s="107"/>
      <c r="K97" s="107"/>
      <c r="IJ97" s="107"/>
      <c r="IK97" s="107"/>
      <c r="IL97" s="107"/>
      <c r="IM97" s="107"/>
      <c r="IN97" s="107"/>
      <c r="IO97" s="107"/>
      <c r="IP97" s="107"/>
      <c r="IQ97" s="107"/>
      <c r="IR97" s="107"/>
    </row>
    <row r="98" spans="1:252" s="128" customFormat="1" ht="24">
      <c r="A98" s="103"/>
      <c r="B98" s="154" t="s">
        <v>224</v>
      </c>
      <c r="C98" s="105">
        <f t="shared" si="1"/>
        <v>168</v>
      </c>
      <c r="D98" s="112">
        <v>168</v>
      </c>
      <c r="E98" s="105"/>
      <c r="F98" s="105"/>
      <c r="G98" s="126"/>
      <c r="H98" s="127"/>
      <c r="I98" s="127"/>
      <c r="J98" s="127"/>
      <c r="K98" s="127"/>
      <c r="IJ98" s="127"/>
      <c r="IK98" s="127"/>
      <c r="IL98" s="127"/>
      <c r="IM98" s="127"/>
      <c r="IN98" s="127"/>
      <c r="IO98" s="127"/>
      <c r="IP98" s="127"/>
      <c r="IQ98" s="127"/>
      <c r="IR98" s="127"/>
    </row>
    <row r="99" spans="1:252" ht="24">
      <c r="A99" s="103"/>
      <c r="B99" s="154" t="s">
        <v>225</v>
      </c>
      <c r="C99" s="105">
        <f t="shared" si="1"/>
        <v>188940</v>
      </c>
      <c r="D99" s="112">
        <v>188940</v>
      </c>
      <c r="E99" s="105"/>
      <c r="F99" s="105"/>
      <c r="G99" s="93"/>
    </row>
    <row r="100" spans="1:252" ht="24">
      <c r="A100" s="103"/>
      <c r="B100" s="154" t="s">
        <v>926</v>
      </c>
      <c r="C100" s="105">
        <f t="shared" si="1"/>
        <v>3000000</v>
      </c>
      <c r="D100" s="112">
        <v>3000000</v>
      </c>
      <c r="E100" s="105"/>
      <c r="F100" s="105"/>
      <c r="G100" s="93"/>
    </row>
    <row r="101" spans="1:252" s="159" customFormat="1" ht="20.25">
      <c r="A101" s="155"/>
      <c r="B101" s="156" t="s">
        <v>226</v>
      </c>
      <c r="C101" s="105">
        <f t="shared" si="1"/>
        <v>3068143417.6999998</v>
      </c>
      <c r="D101" s="121">
        <f>SUM(D81,D82,D84)</f>
        <v>2922194131.6999998</v>
      </c>
      <c r="E101" s="121">
        <f>SUM(E81,E84)</f>
        <v>145949286</v>
      </c>
      <c r="F101" s="121">
        <f>SUM(F81:F84)</f>
        <v>28064200</v>
      </c>
      <c r="G101" s="157"/>
      <c r="H101" s="158"/>
      <c r="I101" s="158"/>
      <c r="J101" s="158"/>
      <c r="K101" s="158"/>
      <c r="IJ101" s="158"/>
      <c r="IK101" s="158"/>
      <c r="IL101" s="158"/>
      <c r="IM101" s="158"/>
      <c r="IN101" s="158"/>
      <c r="IO101" s="158"/>
      <c r="IP101" s="158"/>
      <c r="IQ101" s="158"/>
      <c r="IR101" s="158"/>
    </row>
    <row r="102" spans="1:252">
      <c r="G102" s="93"/>
    </row>
    <row r="103" spans="1:252" ht="15.75">
      <c r="A103" s="158"/>
      <c r="B103" s="158" t="s">
        <v>227</v>
      </c>
      <c r="C103" s="158"/>
      <c r="D103" s="158"/>
      <c r="E103" s="158" t="s">
        <v>228</v>
      </c>
      <c r="F103" s="158"/>
      <c r="G103" s="93"/>
    </row>
    <row r="104" spans="1:252">
      <c r="A104" s="93"/>
      <c r="B104" s="93"/>
      <c r="C104" s="93"/>
      <c r="D104" s="93"/>
      <c r="E104" s="93"/>
      <c r="F104" s="93"/>
      <c r="G104" s="93"/>
    </row>
    <row r="105" spans="1:252">
      <c r="A105" s="93"/>
      <c r="B105" s="93"/>
      <c r="C105" s="93"/>
      <c r="D105" s="160"/>
      <c r="E105" s="93"/>
      <c r="F105" s="93"/>
      <c r="G105" s="93"/>
    </row>
    <row r="106" spans="1:252">
      <c r="A106" s="93"/>
      <c r="B106" s="93"/>
      <c r="C106" s="93"/>
      <c r="D106" s="161"/>
      <c r="E106" s="93"/>
      <c r="F106" s="93"/>
      <c r="G106" s="93"/>
    </row>
    <row r="107" spans="1:252">
      <c r="A107" s="93"/>
      <c r="B107" s="93"/>
      <c r="C107" s="93"/>
      <c r="D107" s="93"/>
      <c r="E107" s="93"/>
      <c r="F107" s="93"/>
      <c r="G107" s="93"/>
    </row>
    <row r="149" spans="5:5" ht="18.75">
      <c r="E149" s="233"/>
    </row>
  </sheetData>
  <mergeCells count="10">
    <mergeCell ref="A7:A8"/>
    <mergeCell ref="B7:B8"/>
    <mergeCell ref="C7:C8"/>
    <mergeCell ref="D7:D8"/>
    <mergeCell ref="E7:F7"/>
    <mergeCell ref="D1:G1"/>
    <mergeCell ref="D2:G2"/>
    <mergeCell ref="D3:G3"/>
    <mergeCell ref="A4:E4"/>
    <mergeCell ref="A5:E5"/>
  </mergeCells>
  <hyperlinks>
    <hyperlink ref="B73" location="_ftn1" display="_ftn1"/>
    <hyperlink ref="B72" location="_ftn1" display="_ftn1"/>
    <hyperlink ref="B59" location="_ftn1" display="_ftn1"/>
    <hyperlink ref="B15" location="_ftn1" display="_ftn1"/>
    <hyperlink ref="B14" location="_ftn1" display="_ftn1"/>
    <hyperlink ref="B43" location="_ftn1" display="_ftn1"/>
    <hyperlink ref="B76" location="_ftn1" display="_ftn1"/>
    <hyperlink ref="B77" location="_ftn1" display="_ftn1"/>
    <hyperlink ref="B48" location="_ftn1" display="_ftn1"/>
    <hyperlink ref="B49"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T216"/>
  <sheetViews>
    <sheetView view="pageBreakPreview" zoomScale="10" zoomScaleNormal="25" zoomScaleSheetLayoutView="10" zoomScalePageLayoutView="10" workbookViewId="0">
      <pane ySplit="11" topLeftCell="A172" activePane="bottomLeft" state="frozen"/>
      <selection pane="bottomLeft" activeCell="K48" sqref="K47:K48"/>
    </sheetView>
  </sheetViews>
  <sheetFormatPr defaultRowHeight="12.75"/>
  <cols>
    <col min="1" max="3" width="43.42578125" style="2" customWidth="1"/>
    <col min="4" max="4" width="106.28515625" style="2" customWidth="1"/>
    <col min="5" max="5" width="50.7109375" style="10" customWidth="1"/>
    <col min="6" max="6" width="51.85546875" style="14" customWidth="1"/>
    <col min="7" max="7" width="48.7109375" style="2" customWidth="1"/>
    <col min="8" max="8" width="48.140625" style="2" customWidth="1"/>
    <col min="9" max="9" width="32.7109375" style="14" customWidth="1"/>
    <col min="10" max="10" width="50.5703125" style="10" customWidth="1"/>
    <col min="11" max="11" width="48.5703125" style="14" customWidth="1"/>
    <col min="12" max="12" width="45.28515625" style="2" customWidth="1"/>
    <col min="13" max="13" width="44.28515625" style="2" customWidth="1"/>
    <col min="14" max="14" width="54.7109375" style="14" customWidth="1"/>
    <col min="15" max="15" width="55.5703125" style="2" customWidth="1"/>
    <col min="16" max="16" width="70.28515625" style="10" customWidth="1"/>
    <col min="17" max="17" width="63" customWidth="1"/>
    <col min="18" max="18" width="40.140625" bestFit="1" customWidth="1"/>
    <col min="20" max="20" width="24.7109375" bestFit="1" customWidth="1"/>
  </cols>
  <sheetData>
    <row r="1" spans="1:17" ht="45.75">
      <c r="D1" s="441"/>
      <c r="E1" s="442"/>
      <c r="F1" s="18"/>
      <c r="G1" s="19"/>
      <c r="H1" s="19"/>
      <c r="I1" s="19"/>
      <c r="J1" s="442"/>
      <c r="K1" s="19"/>
      <c r="L1" s="19"/>
      <c r="M1" s="19"/>
      <c r="N1" s="571"/>
      <c r="O1" s="571"/>
      <c r="P1" s="571"/>
    </row>
    <row r="2" spans="1:17" ht="45.75">
      <c r="A2" s="441"/>
      <c r="B2" s="441"/>
      <c r="C2" s="441"/>
      <c r="D2" s="441"/>
      <c r="E2" s="442"/>
      <c r="F2" s="18"/>
      <c r="G2" s="19"/>
      <c r="H2" s="19"/>
      <c r="I2" s="19"/>
      <c r="J2" s="442"/>
      <c r="K2" s="19"/>
      <c r="L2" s="19"/>
      <c r="M2" s="19"/>
      <c r="N2" s="571"/>
      <c r="O2" s="572"/>
      <c r="P2" s="572"/>
    </row>
    <row r="3" spans="1:17" ht="40.5" customHeight="1">
      <c r="A3" s="441"/>
      <c r="B3" s="441"/>
      <c r="C3" s="441"/>
      <c r="D3" s="441"/>
      <c r="E3" s="442"/>
      <c r="F3" s="18"/>
      <c r="G3" s="19"/>
      <c r="H3" s="19"/>
      <c r="I3" s="19"/>
      <c r="J3" s="442"/>
      <c r="K3" s="19"/>
      <c r="L3" s="19"/>
      <c r="M3" s="19"/>
      <c r="N3" s="571"/>
      <c r="O3" s="572"/>
      <c r="P3" s="572"/>
    </row>
    <row r="4" spans="1:17" ht="45.75" hidden="1">
      <c r="A4" s="441"/>
      <c r="B4" s="441"/>
      <c r="C4" s="441"/>
      <c r="D4" s="441"/>
      <c r="E4" s="442"/>
      <c r="F4" s="18"/>
      <c r="G4" s="19"/>
      <c r="H4" s="19"/>
      <c r="I4" s="19"/>
      <c r="J4" s="442"/>
      <c r="K4" s="19"/>
      <c r="L4" s="19"/>
      <c r="M4" s="19"/>
      <c r="N4" s="345"/>
      <c r="O4" s="441"/>
      <c r="P4" s="440"/>
    </row>
    <row r="5" spans="1:17" ht="45">
      <c r="A5" s="574" t="s">
        <v>821</v>
      </c>
      <c r="B5" s="574"/>
      <c r="C5" s="574"/>
      <c r="D5" s="574"/>
      <c r="E5" s="574"/>
      <c r="F5" s="574"/>
      <c r="G5" s="574"/>
      <c r="H5" s="574"/>
      <c r="I5" s="574"/>
      <c r="J5" s="574"/>
      <c r="K5" s="574"/>
      <c r="L5" s="574"/>
      <c r="M5" s="574"/>
      <c r="N5" s="574"/>
      <c r="O5" s="574"/>
      <c r="P5" s="574"/>
    </row>
    <row r="6" spans="1:17" ht="45">
      <c r="A6" s="574" t="s">
        <v>653</v>
      </c>
      <c r="B6" s="574"/>
      <c r="C6" s="574"/>
      <c r="D6" s="574"/>
      <c r="E6" s="574"/>
      <c r="F6" s="574"/>
      <c r="G6" s="574"/>
      <c r="H6" s="574"/>
      <c r="I6" s="574"/>
      <c r="J6" s="574"/>
      <c r="K6" s="574"/>
      <c r="L6" s="574"/>
      <c r="M6" s="574"/>
      <c r="N6" s="574"/>
      <c r="O6" s="574"/>
      <c r="P6" s="574"/>
    </row>
    <row r="7" spans="1:17" ht="53.25" customHeight="1">
      <c r="A7" s="442"/>
      <c r="B7" s="442"/>
      <c r="C7" s="442"/>
      <c r="D7" s="442"/>
      <c r="E7" s="442"/>
      <c r="F7" s="18"/>
      <c r="G7" s="442"/>
      <c r="H7" s="442"/>
      <c r="I7" s="19"/>
      <c r="J7" s="442"/>
      <c r="K7" s="19"/>
      <c r="L7" s="442"/>
      <c r="M7" s="442"/>
      <c r="N7" s="19"/>
      <c r="O7" s="442"/>
      <c r="P7" s="21" t="s">
        <v>137</v>
      </c>
    </row>
    <row r="8" spans="1:17" ht="62.25" customHeight="1">
      <c r="A8" s="577" t="s">
        <v>41</v>
      </c>
      <c r="B8" s="577" t="s">
        <v>42</v>
      </c>
      <c r="C8" s="444"/>
      <c r="D8" s="577" t="s">
        <v>45</v>
      </c>
      <c r="E8" s="573" t="s">
        <v>36</v>
      </c>
      <c r="F8" s="573"/>
      <c r="G8" s="573"/>
      <c r="H8" s="573"/>
      <c r="I8" s="573"/>
      <c r="J8" s="573" t="s">
        <v>127</v>
      </c>
      <c r="K8" s="573"/>
      <c r="L8" s="573"/>
      <c r="M8" s="573"/>
      <c r="N8" s="573"/>
      <c r="O8" s="22"/>
      <c r="P8" s="573" t="s">
        <v>35</v>
      </c>
    </row>
    <row r="9" spans="1:17" ht="255" customHeight="1">
      <c r="A9" s="578"/>
      <c r="B9" s="580"/>
      <c r="C9" s="445" t="s">
        <v>43</v>
      </c>
      <c r="D9" s="578"/>
      <c r="E9" s="575" t="s">
        <v>7</v>
      </c>
      <c r="F9" s="576" t="s">
        <v>128</v>
      </c>
      <c r="G9" s="575" t="s">
        <v>37</v>
      </c>
      <c r="H9" s="575"/>
      <c r="I9" s="576" t="s">
        <v>130</v>
      </c>
      <c r="J9" s="575" t="s">
        <v>7</v>
      </c>
      <c r="K9" s="576" t="s">
        <v>128</v>
      </c>
      <c r="L9" s="575" t="s">
        <v>37</v>
      </c>
      <c r="M9" s="575"/>
      <c r="N9" s="576" t="s">
        <v>130</v>
      </c>
      <c r="O9" s="443" t="s">
        <v>37</v>
      </c>
      <c r="P9" s="573"/>
    </row>
    <row r="10" spans="1:17" ht="137.25">
      <c r="A10" s="579"/>
      <c r="B10" s="579"/>
      <c r="C10" s="446"/>
      <c r="D10" s="579"/>
      <c r="E10" s="575"/>
      <c r="F10" s="576"/>
      <c r="G10" s="443" t="s">
        <v>129</v>
      </c>
      <c r="H10" s="443" t="s">
        <v>40</v>
      </c>
      <c r="I10" s="576"/>
      <c r="J10" s="575"/>
      <c r="K10" s="576"/>
      <c r="L10" s="443" t="s">
        <v>129</v>
      </c>
      <c r="M10" s="443" t="s">
        <v>40</v>
      </c>
      <c r="N10" s="576"/>
      <c r="O10" s="443" t="s">
        <v>32</v>
      </c>
      <c r="P10" s="573"/>
    </row>
    <row r="11" spans="1:17" s="3" customFormat="1" ht="45.75">
      <c r="A11" s="23" t="s">
        <v>9</v>
      </c>
      <c r="B11" s="23" t="s">
        <v>10</v>
      </c>
      <c r="C11" s="23" t="s">
        <v>39</v>
      </c>
      <c r="D11" s="23" t="s">
        <v>12</v>
      </c>
      <c r="E11" s="24">
        <v>5</v>
      </c>
      <c r="F11" s="466">
        <v>6</v>
      </c>
      <c r="G11" s="24">
        <v>7</v>
      </c>
      <c r="H11" s="24">
        <v>8</v>
      </c>
      <c r="I11" s="342">
        <v>9</v>
      </c>
      <c r="J11" s="24">
        <v>10</v>
      </c>
      <c r="K11" s="342">
        <v>11</v>
      </c>
      <c r="L11" s="24">
        <v>12</v>
      </c>
      <c r="M11" s="24">
        <v>13</v>
      </c>
      <c r="N11" s="342">
        <v>14</v>
      </c>
      <c r="O11" s="24">
        <v>15</v>
      </c>
      <c r="P11" s="24">
        <v>16</v>
      </c>
    </row>
    <row r="12" spans="1:17" s="3" customFormat="1" ht="135">
      <c r="A12" s="433" t="s">
        <v>310</v>
      </c>
      <c r="B12" s="433"/>
      <c r="C12" s="433"/>
      <c r="D12" s="449" t="s">
        <v>312</v>
      </c>
      <c r="E12" s="497">
        <f>E13</f>
        <v>5064748</v>
      </c>
      <c r="F12" s="497">
        <f t="shared" ref="F12:P12" si="0">F13</f>
        <v>5064748</v>
      </c>
      <c r="G12" s="497">
        <f t="shared" si="0"/>
        <v>0</v>
      </c>
      <c r="H12" s="497">
        <f t="shared" si="0"/>
        <v>0</v>
      </c>
      <c r="I12" s="497">
        <f t="shared" si="0"/>
        <v>0</v>
      </c>
      <c r="J12" s="497">
        <f t="shared" si="0"/>
        <v>9345556.620000001</v>
      </c>
      <c r="K12" s="497">
        <f t="shared" si="0"/>
        <v>508620.62000000011</v>
      </c>
      <c r="L12" s="497">
        <f t="shared" si="0"/>
        <v>0</v>
      </c>
      <c r="M12" s="497">
        <f t="shared" si="0"/>
        <v>0</v>
      </c>
      <c r="N12" s="497">
        <f t="shared" si="0"/>
        <v>8836936</v>
      </c>
      <c r="O12" s="498">
        <f t="shared" si="0"/>
        <v>8636936</v>
      </c>
      <c r="P12" s="497">
        <f t="shared" si="0"/>
        <v>14410304.620000001</v>
      </c>
    </row>
    <row r="13" spans="1:17" s="3" customFormat="1" ht="135">
      <c r="A13" s="434" t="s">
        <v>311</v>
      </c>
      <c r="B13" s="434"/>
      <c r="C13" s="434"/>
      <c r="D13" s="452" t="s">
        <v>313</v>
      </c>
      <c r="E13" s="435">
        <f>F13</f>
        <v>5064748</v>
      </c>
      <c r="F13" s="436">
        <f>F14+F15+F23+F17+F24+F16+F19+F18+F25</f>
        <v>5064748</v>
      </c>
      <c r="G13" s="436">
        <f>G14+G15+G23+G17+G24+G16</f>
        <v>0</v>
      </c>
      <c r="H13" s="436">
        <f>H14+H15+H23+H17+H24+H16</f>
        <v>0</v>
      </c>
      <c r="I13" s="436">
        <v>0</v>
      </c>
      <c r="J13" s="450">
        <f t="shared" ref="J13" si="1">K13+N13</f>
        <v>9345556.620000001</v>
      </c>
      <c r="K13" s="436">
        <f>K14+K15+K23+K17+K24+K16+K20+K18+K25</f>
        <v>508620.62000000011</v>
      </c>
      <c r="L13" s="436">
        <f>L14+L15+L23+L17+L24+L16</f>
        <v>0</v>
      </c>
      <c r="M13" s="436">
        <f>M14+M15+M23+M17+M24+M16</f>
        <v>0</v>
      </c>
      <c r="N13" s="436">
        <f>N14+N15+N23+N17+N24+N16+N20+N18+N25</f>
        <v>8836936</v>
      </c>
      <c r="O13" s="436">
        <f>O14+O15+O23+O17+O24+O16+O20+O18+O25</f>
        <v>8636936</v>
      </c>
      <c r="P13" s="435">
        <f>J13+E13</f>
        <v>14410304.620000001</v>
      </c>
      <c r="Q13" s="229"/>
    </row>
    <row r="14" spans="1:17" ht="320.25">
      <c r="A14" s="492" t="s">
        <v>438</v>
      </c>
      <c r="B14" s="492" t="s">
        <v>439</v>
      </c>
      <c r="C14" s="492" t="s">
        <v>440</v>
      </c>
      <c r="D14" s="492" t="s">
        <v>437</v>
      </c>
      <c r="E14" s="298">
        <f>'dod3'!E14-'dod3 базовий'!E14</f>
        <v>313100</v>
      </c>
      <c r="F14" s="298">
        <f>'dod3'!F14-'dod3 базовий'!F14</f>
        <v>313100</v>
      </c>
      <c r="G14" s="298">
        <f>'dod3'!G14-'dod3 базовий'!G14</f>
        <v>0</v>
      </c>
      <c r="H14" s="298">
        <f>'dod3'!H14-'dod3 базовий'!H14</f>
        <v>0</v>
      </c>
      <c r="I14" s="298">
        <f>'dod3'!I14-'dod3 базовий'!I14</f>
        <v>0</v>
      </c>
      <c r="J14" s="298">
        <f>'dod3'!J14-'dod3 базовий'!J14</f>
        <v>1721600</v>
      </c>
      <c r="K14" s="298">
        <f>'dod3'!K14-'dod3 базовий'!K14</f>
        <v>0</v>
      </c>
      <c r="L14" s="298">
        <f>'dod3'!L14-'dod3 базовий'!L14</f>
        <v>0</v>
      </c>
      <c r="M14" s="298">
        <f>'dod3'!M14-'dod3 базовий'!M14</f>
        <v>0</v>
      </c>
      <c r="N14" s="298">
        <f>'dod3'!N14-'dod3 базовий'!N14</f>
        <v>1721600</v>
      </c>
      <c r="O14" s="298">
        <f>'dod3'!O14-'dod3 базовий'!O14</f>
        <v>1721600</v>
      </c>
      <c r="P14" s="298">
        <f>'dod3'!P14-'dod3 базовий'!P14</f>
        <v>2034700</v>
      </c>
    </row>
    <row r="15" spans="1:17" ht="228.75">
      <c r="A15" s="492" t="s">
        <v>442</v>
      </c>
      <c r="B15" s="492" t="s">
        <v>443</v>
      </c>
      <c r="C15" s="492" t="s">
        <v>440</v>
      </c>
      <c r="D15" s="492" t="s">
        <v>441</v>
      </c>
      <c r="E15" s="298">
        <f>'dod3'!E15-'dod3 базовий'!E15</f>
        <v>283184</v>
      </c>
      <c r="F15" s="298">
        <f>'dod3'!F15-'dod3 базовий'!F15</f>
        <v>283184</v>
      </c>
      <c r="G15" s="298">
        <f>'dod3'!G15-'dod3 базовий'!G15</f>
        <v>0</v>
      </c>
      <c r="H15" s="298">
        <f>'dod3'!H15-'dod3 базовий'!H15</f>
        <v>0</v>
      </c>
      <c r="I15" s="298">
        <f>'dod3'!I15-'dod3 базовий'!I15</f>
        <v>0</v>
      </c>
      <c r="J15" s="298">
        <f>'dod3'!J15-'dod3 базовий'!J15</f>
        <v>318000</v>
      </c>
      <c r="K15" s="298">
        <f>'dod3'!K15-'dod3 базовий'!K15</f>
        <v>0</v>
      </c>
      <c r="L15" s="298">
        <f>'dod3'!L15-'dod3 базовий'!L15</f>
        <v>0</v>
      </c>
      <c r="M15" s="298">
        <f>'dod3'!M15-'dod3 базовий'!M15</f>
        <v>0</v>
      </c>
      <c r="N15" s="298">
        <f>'dod3'!N15-'dod3 базовий'!N15</f>
        <v>318000</v>
      </c>
      <c r="O15" s="298">
        <f>'dod3'!O15-'dod3 базовий'!O15</f>
        <v>318000</v>
      </c>
      <c r="P15" s="298">
        <f>'dod3'!P15-'dod3 базовий'!P15</f>
        <v>601184</v>
      </c>
    </row>
    <row r="16" spans="1:17" ht="91.5">
      <c r="A16" s="492" t="s">
        <v>455</v>
      </c>
      <c r="B16" s="492" t="s">
        <v>106</v>
      </c>
      <c r="C16" s="492" t="s">
        <v>105</v>
      </c>
      <c r="D16" s="492" t="s">
        <v>456</v>
      </c>
      <c r="E16" s="298">
        <f>'dod3'!E16-'dod3 базовий'!E16</f>
        <v>0</v>
      </c>
      <c r="F16" s="298">
        <f>'dod3'!F16-'dod3 базовий'!F16</f>
        <v>0</v>
      </c>
      <c r="G16" s="298">
        <f>'dod3'!G16-'dod3 базовий'!G16</f>
        <v>0</v>
      </c>
      <c r="H16" s="298">
        <f>'dod3'!H16-'dod3 базовий'!H16</f>
        <v>0</v>
      </c>
      <c r="I16" s="298">
        <f>'dod3'!I16-'dod3 базовий'!I16</f>
        <v>0</v>
      </c>
      <c r="J16" s="298">
        <f>'dod3'!J16-'dod3 базовий'!J16</f>
        <v>0</v>
      </c>
      <c r="K16" s="298">
        <f>'dod3'!K16-'dod3 базовий'!K16</f>
        <v>0</v>
      </c>
      <c r="L16" s="298">
        <f>'dod3'!L16-'dod3 базовий'!L16</f>
        <v>0</v>
      </c>
      <c r="M16" s="298">
        <f>'dod3'!M16-'dod3 базовий'!M16</f>
        <v>0</v>
      </c>
      <c r="N16" s="298">
        <f>'dod3'!N16-'dod3 базовий'!N16</f>
        <v>0</v>
      </c>
      <c r="O16" s="298">
        <f>'dod3'!O16-'dod3 базовий'!O16</f>
        <v>0</v>
      </c>
      <c r="P16" s="298">
        <f>'dod3'!P16-'dod3 базовий'!P16</f>
        <v>0</v>
      </c>
    </row>
    <row r="17" spans="1:20" ht="91.5">
      <c r="A17" s="492" t="s">
        <v>445</v>
      </c>
      <c r="B17" s="492" t="s">
        <v>446</v>
      </c>
      <c r="C17" s="492" t="s">
        <v>447</v>
      </c>
      <c r="D17" s="492" t="s">
        <v>444</v>
      </c>
      <c r="E17" s="298">
        <f>'dod3'!E17-'dod3 базовий'!E17</f>
        <v>2350000</v>
      </c>
      <c r="F17" s="298">
        <f>'dod3'!F17-'dod3 базовий'!F17</f>
        <v>2350000</v>
      </c>
      <c r="G17" s="298">
        <f>'dod3'!G17-'dod3 базовий'!G17</f>
        <v>0</v>
      </c>
      <c r="H17" s="298">
        <f>'dod3'!H17-'dod3 базовий'!H17</f>
        <v>0</v>
      </c>
      <c r="I17" s="298">
        <f>'dod3'!I17-'dod3 базовий'!I17</f>
        <v>0</v>
      </c>
      <c r="J17" s="298">
        <f>'dod3'!J17-'dod3 базовий'!J17</f>
        <v>0</v>
      </c>
      <c r="K17" s="298">
        <f>'dod3'!K17-'dod3 базовий'!K17</f>
        <v>0</v>
      </c>
      <c r="L17" s="298">
        <f>'dod3'!L17-'dod3 базовий'!L17</f>
        <v>0</v>
      </c>
      <c r="M17" s="298">
        <f>'dod3'!M17-'dod3 базовий'!M17</f>
        <v>0</v>
      </c>
      <c r="N17" s="298">
        <f>'dod3'!N17-'dod3 базовий'!N17</f>
        <v>0</v>
      </c>
      <c r="O17" s="298">
        <f>'dod3'!O17-'dod3 базовий'!O17</f>
        <v>0</v>
      </c>
      <c r="P17" s="298">
        <f>'dod3'!P17-'dod3 базовий'!P17</f>
        <v>2350000</v>
      </c>
    </row>
    <row r="18" spans="1:20" ht="91.5">
      <c r="A18" s="492" t="s">
        <v>658</v>
      </c>
      <c r="B18" s="222" t="s">
        <v>383</v>
      </c>
      <c r="C18" s="222" t="s">
        <v>334</v>
      </c>
      <c r="D18" s="492" t="s">
        <v>91</v>
      </c>
      <c r="E18" s="298">
        <f>'dod3'!E18-'dod3 базовий'!E18</f>
        <v>0</v>
      </c>
      <c r="F18" s="298">
        <f>'dod3'!F18-'dod3 базовий'!F18</f>
        <v>0</v>
      </c>
      <c r="G18" s="298">
        <f>'dod3'!G18-'dod3 базовий'!G18</f>
        <v>0</v>
      </c>
      <c r="H18" s="298">
        <f>'dod3'!H18-'dod3 базовий'!H18</f>
        <v>0</v>
      </c>
      <c r="I18" s="298">
        <f>'dod3'!I18-'dod3 базовий'!I18</f>
        <v>0</v>
      </c>
      <c r="J18" s="298">
        <f>'dod3'!J18-'dod3 базовий'!J18</f>
        <v>0</v>
      </c>
      <c r="K18" s="298">
        <f>'dod3'!K18-'dod3 базовий'!K18</f>
        <v>0</v>
      </c>
      <c r="L18" s="298">
        <f>'dod3'!L18-'dod3 базовий'!L18</f>
        <v>0</v>
      </c>
      <c r="M18" s="298">
        <f>'dod3'!M18-'dod3 базовий'!M18</f>
        <v>0</v>
      </c>
      <c r="N18" s="298">
        <f>'dod3'!N18-'dod3 базовий'!N18</f>
        <v>0</v>
      </c>
      <c r="O18" s="298">
        <f>'dod3'!O18-'dod3 базовий'!O18</f>
        <v>0</v>
      </c>
      <c r="P18" s="298">
        <f>'dod3'!P18-'dod3 базовий'!P18</f>
        <v>0</v>
      </c>
    </row>
    <row r="19" spans="1:20" ht="91.5">
      <c r="A19" s="492" t="s">
        <v>577</v>
      </c>
      <c r="B19" s="492" t="s">
        <v>578</v>
      </c>
      <c r="C19" s="492" t="s">
        <v>334</v>
      </c>
      <c r="D19" s="491" t="s">
        <v>576</v>
      </c>
      <c r="E19" s="298">
        <f>'dod3'!E19-'dod3 базовий'!E19</f>
        <v>0</v>
      </c>
      <c r="F19" s="298">
        <f>'dod3'!F19-'dod3 базовий'!F19</f>
        <v>0</v>
      </c>
      <c r="G19" s="298">
        <f>'dod3'!G19-'dod3 базовий'!G19</f>
        <v>0</v>
      </c>
      <c r="H19" s="298">
        <f>'dod3'!H19-'dod3 базовий'!H19</f>
        <v>0</v>
      </c>
      <c r="I19" s="298">
        <f>'dod3'!I19-'dod3 базовий'!I19</f>
        <v>0</v>
      </c>
      <c r="J19" s="298">
        <f>'dod3'!J19-'dod3 базовий'!J19</f>
        <v>0</v>
      </c>
      <c r="K19" s="298">
        <f>'dod3'!K19-'dod3 базовий'!K19</f>
        <v>0</v>
      </c>
      <c r="L19" s="298">
        <f>'dod3'!L19-'dod3 базовий'!L19</f>
        <v>0</v>
      </c>
      <c r="M19" s="298">
        <f>'dod3'!M19-'dod3 базовий'!M19</f>
        <v>0</v>
      </c>
      <c r="N19" s="298">
        <f>'dod3'!N19-'dod3 базовий'!N19</f>
        <v>0</v>
      </c>
      <c r="O19" s="298">
        <f>'dod3'!O19-'dod3 базовий'!O19</f>
        <v>0</v>
      </c>
      <c r="P19" s="298">
        <f>'dod3'!P19-'dod3 базовий'!P19</f>
        <v>0</v>
      </c>
    </row>
    <row r="20" spans="1:20" ht="46.5">
      <c r="A20" s="492" t="s">
        <v>458</v>
      </c>
      <c r="B20" s="492" t="s">
        <v>459</v>
      </c>
      <c r="C20" s="492"/>
      <c r="D20" s="308" t="s">
        <v>457</v>
      </c>
      <c r="E20" s="298">
        <f>'dod3'!E20-'dod3 базовий'!E20</f>
        <v>0</v>
      </c>
      <c r="F20" s="298">
        <f>'dod3'!F20-'dod3 базовий'!F20</f>
        <v>0</v>
      </c>
      <c r="G20" s="298">
        <f>'dod3'!G20-'dod3 базовий'!G20</f>
        <v>0</v>
      </c>
      <c r="H20" s="298">
        <f>'dod3'!H20-'dod3 базовий'!H20</f>
        <v>0</v>
      </c>
      <c r="I20" s="298">
        <f>'dod3'!I20-'dod3 базовий'!I20</f>
        <v>0</v>
      </c>
      <c r="J20" s="298">
        <f>'dod3'!J20-'dod3 базовий'!J20</f>
        <v>708620.62000000011</v>
      </c>
      <c r="K20" s="298">
        <f>'dod3'!K20-'dod3 базовий'!K20</f>
        <v>508620.62000000011</v>
      </c>
      <c r="L20" s="298">
        <f>'dod3'!L20-'dod3 базовий'!L20</f>
        <v>0</v>
      </c>
      <c r="M20" s="298">
        <f>'dod3'!M20-'dod3 базовий'!M20</f>
        <v>0</v>
      </c>
      <c r="N20" s="298">
        <f>'dod3'!N20-'dod3 базовий'!N20</f>
        <v>200000</v>
      </c>
      <c r="O20" s="298">
        <f>'dod3'!O20-'dod3 базовий'!O20</f>
        <v>0</v>
      </c>
      <c r="P20" s="298">
        <f>'dod3'!P20-'dod3 базовий'!P20</f>
        <v>708620.62000000011</v>
      </c>
    </row>
    <row r="21" spans="1:20" ht="409.5">
      <c r="A21" s="565" t="s">
        <v>714</v>
      </c>
      <c r="B21" s="565" t="s">
        <v>713</v>
      </c>
      <c r="C21" s="565" t="s">
        <v>334</v>
      </c>
      <c r="D21" s="308" t="s">
        <v>743</v>
      </c>
      <c r="E21" s="569">
        <f>'dod3'!E21:E22-'dod3 базовий'!E21:E22</f>
        <v>0</v>
      </c>
      <c r="F21" s="569">
        <f>'dod3'!F21:F22-'dod3 базовий'!F21:F22</f>
        <v>0</v>
      </c>
      <c r="G21" s="569">
        <f>'dod3'!G21:G22-'dod3 базовий'!G21:G22</f>
        <v>0</v>
      </c>
      <c r="H21" s="569">
        <f>'dod3'!H21:H22-'dod3 базовий'!H21:H22</f>
        <v>0</v>
      </c>
      <c r="I21" s="569">
        <f>'dod3'!I21:I22-'dod3 базовий'!I21:I22</f>
        <v>0</v>
      </c>
      <c r="J21" s="569">
        <f>'dod3'!J21:J22-'dod3 базовий'!J21:J22</f>
        <v>708620.62000000011</v>
      </c>
      <c r="K21" s="569">
        <f>'dod3'!K21:K22-'dod3 базовий'!K21:K22</f>
        <v>508620.62000000011</v>
      </c>
      <c r="L21" s="569">
        <f>'dod3'!L21:L22-'dod3 базовий'!L21:L22</f>
        <v>0</v>
      </c>
      <c r="M21" s="569">
        <f>'dod3'!M21:M22-'dod3 базовий'!M21:M22</f>
        <v>0</v>
      </c>
      <c r="N21" s="569">
        <f>'dod3'!N21:N22-'dod3 базовий'!N21:N22</f>
        <v>200000</v>
      </c>
      <c r="O21" s="569">
        <f>'dod3'!O21:O22-'dod3 базовий'!O21:O22</f>
        <v>0</v>
      </c>
      <c r="P21" s="569">
        <f>'dod3'!P21:P22-'dod3 базовий'!P21:P22</f>
        <v>708620.62000000011</v>
      </c>
    </row>
    <row r="22" spans="1:20" ht="137.25">
      <c r="A22" s="562"/>
      <c r="B22" s="562"/>
      <c r="C22" s="562"/>
      <c r="D22" s="411" t="s">
        <v>744</v>
      </c>
      <c r="E22" s="586"/>
      <c r="F22" s="586"/>
      <c r="G22" s="586"/>
      <c r="H22" s="586"/>
      <c r="I22" s="586"/>
      <c r="J22" s="586"/>
      <c r="K22" s="586"/>
      <c r="L22" s="586"/>
      <c r="M22" s="586"/>
      <c r="N22" s="586"/>
      <c r="O22" s="586"/>
      <c r="P22" s="586"/>
    </row>
    <row r="23" spans="1:20" ht="91.5">
      <c r="A23" s="492" t="s">
        <v>448</v>
      </c>
      <c r="B23" s="492" t="s">
        <v>449</v>
      </c>
      <c r="C23" s="492" t="s">
        <v>450</v>
      </c>
      <c r="D23" s="491" t="s">
        <v>451</v>
      </c>
      <c r="E23" s="298">
        <f>'dod3'!E23-'dod3 базовий'!E23</f>
        <v>700800</v>
      </c>
      <c r="F23" s="298">
        <f>'dod3'!F23-'dod3 базовий'!F23</f>
        <v>700800</v>
      </c>
      <c r="G23" s="298">
        <f>'dod3'!G23-'dod3 базовий'!G23</f>
        <v>0</v>
      </c>
      <c r="H23" s="298">
        <f>'dod3'!H23-'dod3 базовий'!H23</f>
        <v>0</v>
      </c>
      <c r="I23" s="298">
        <f>'dod3'!I23-'dod3 базовий'!I23</f>
        <v>0</v>
      </c>
      <c r="J23" s="298">
        <f>'dod3'!J23-'dod3 базовий'!J23</f>
        <v>1200000</v>
      </c>
      <c r="K23" s="298">
        <f>'dod3'!K23-'dod3 базовий'!K23</f>
        <v>0</v>
      </c>
      <c r="L23" s="298">
        <f>'dod3'!L23-'dod3 базовий'!L23</f>
        <v>0</v>
      </c>
      <c r="M23" s="298">
        <f>'dod3'!M23-'dod3 базовий'!M23</f>
        <v>0</v>
      </c>
      <c r="N23" s="298">
        <f>'dod3'!N23-'dod3 базовий'!N23</f>
        <v>1200000</v>
      </c>
      <c r="O23" s="298">
        <f>'dod3'!O23-'dod3 базовий'!O23</f>
        <v>1200000</v>
      </c>
      <c r="P23" s="298">
        <f>'dod3'!P23-'dod3 базовий'!P23</f>
        <v>1900800</v>
      </c>
    </row>
    <row r="24" spans="1:20" ht="228.75">
      <c r="A24" s="492" t="s">
        <v>452</v>
      </c>
      <c r="B24" s="492" t="s">
        <v>453</v>
      </c>
      <c r="C24" s="492" t="s">
        <v>106</v>
      </c>
      <c r="D24" s="492" t="s">
        <v>454</v>
      </c>
      <c r="E24" s="298">
        <f>'dod3'!E24-'dod3 базовий'!E24</f>
        <v>0</v>
      </c>
      <c r="F24" s="298">
        <f>'dod3'!F24-'dod3 базовий'!F24</f>
        <v>0</v>
      </c>
      <c r="G24" s="298">
        <f>'dod3'!G24-'dod3 базовий'!G24</f>
        <v>0</v>
      </c>
      <c r="H24" s="298">
        <f>'dod3'!H24-'dod3 базовий'!H24</f>
        <v>0</v>
      </c>
      <c r="I24" s="298">
        <f>'dod3'!I24-'dod3 базовий'!I24</f>
        <v>0</v>
      </c>
      <c r="J24" s="298">
        <f>'dod3'!J24-'dod3 базовий'!J24</f>
        <v>0</v>
      </c>
      <c r="K24" s="298">
        <f>'dod3'!K24-'dod3 базовий'!K24</f>
        <v>0</v>
      </c>
      <c r="L24" s="298">
        <f>'dod3'!L24-'dod3 базовий'!L24</f>
        <v>0</v>
      </c>
      <c r="M24" s="298">
        <f>'dod3'!M24-'dod3 базовий'!M24</f>
        <v>0</v>
      </c>
      <c r="N24" s="298">
        <f>'dod3'!N24-'dod3 базовий'!N24</f>
        <v>0</v>
      </c>
      <c r="O24" s="298">
        <f>'dod3'!O24-'dod3 базовий'!O24</f>
        <v>0</v>
      </c>
      <c r="P24" s="298">
        <f>'dod3'!P24-'dod3 базовий'!P24</f>
        <v>0</v>
      </c>
    </row>
    <row r="25" spans="1:20" ht="183">
      <c r="A25" s="492" t="s">
        <v>844</v>
      </c>
      <c r="B25" s="492" t="s">
        <v>845</v>
      </c>
      <c r="C25" s="492" t="s">
        <v>106</v>
      </c>
      <c r="D25" s="492" t="s">
        <v>846</v>
      </c>
      <c r="E25" s="298">
        <f>'dod3'!E25-0</f>
        <v>1417664</v>
      </c>
      <c r="F25" s="298">
        <f>'dod3'!F25-0</f>
        <v>1417664</v>
      </c>
      <c r="G25" s="298">
        <f>'dod3'!G25-0</f>
        <v>0</v>
      </c>
      <c r="H25" s="298">
        <f>'dod3'!H25-0</f>
        <v>0</v>
      </c>
      <c r="I25" s="298">
        <f>'dod3'!I25-0</f>
        <v>0</v>
      </c>
      <c r="J25" s="298">
        <f>'dod3'!J25-0</f>
        <v>5397336</v>
      </c>
      <c r="K25" s="298">
        <f>'dod3'!K25-0</f>
        <v>0</v>
      </c>
      <c r="L25" s="298">
        <f>'dod3'!L25-0</f>
        <v>0</v>
      </c>
      <c r="M25" s="298">
        <f>'dod3'!M25-0</f>
        <v>0</v>
      </c>
      <c r="N25" s="298">
        <f>'dod3'!N25-0</f>
        <v>5397336</v>
      </c>
      <c r="O25" s="298">
        <f>'dod3'!O25-0</f>
        <v>5397336</v>
      </c>
      <c r="P25" s="298">
        <f>'dod3'!P25-0</f>
        <v>6815000</v>
      </c>
    </row>
    <row r="26" spans="1:20" ht="135">
      <c r="A26" s="433" t="s">
        <v>314</v>
      </c>
      <c r="B26" s="433"/>
      <c r="C26" s="433"/>
      <c r="D26" s="449" t="s">
        <v>1</v>
      </c>
      <c r="E26" s="436">
        <f>E27</f>
        <v>41014013</v>
      </c>
      <c r="F26" s="436">
        <f t="shared" ref="F26:P26" si="2">F27</f>
        <v>41014013</v>
      </c>
      <c r="G26" s="436">
        <f t="shared" si="2"/>
        <v>25255621</v>
      </c>
      <c r="H26" s="436">
        <f t="shared" si="2"/>
        <v>0</v>
      </c>
      <c r="I26" s="436">
        <f t="shared" si="2"/>
        <v>0</v>
      </c>
      <c r="J26" s="436">
        <f t="shared" si="2"/>
        <v>20175856</v>
      </c>
      <c r="K26" s="436">
        <f t="shared" si="2"/>
        <v>1099529</v>
      </c>
      <c r="L26" s="436">
        <f t="shared" si="2"/>
        <v>-307328</v>
      </c>
      <c r="M26" s="436">
        <f t="shared" si="2"/>
        <v>0</v>
      </c>
      <c r="N26" s="436">
        <f t="shared" si="2"/>
        <v>19076327</v>
      </c>
      <c r="O26" s="435">
        <f t="shared" si="2"/>
        <v>18946567</v>
      </c>
      <c r="P26" s="436">
        <f t="shared" si="2"/>
        <v>61189869</v>
      </c>
    </row>
    <row r="27" spans="1:20" ht="135">
      <c r="A27" s="434" t="s">
        <v>315</v>
      </c>
      <c r="B27" s="434"/>
      <c r="C27" s="434"/>
      <c r="D27" s="452" t="s">
        <v>2</v>
      </c>
      <c r="E27" s="435">
        <f>E28+E29+E30+E31+E32+E34+E35+E33+E39+E38</f>
        <v>41014013</v>
      </c>
      <c r="F27" s="436">
        <f>F28+F29+F30+F31+F32+F34+F35+F33+F39+F390+F38</f>
        <v>41014013</v>
      </c>
      <c r="G27" s="435">
        <f>G28+G29+G30+G31+G32+G34+G35+G33+G39</f>
        <v>25255621</v>
      </c>
      <c r="H27" s="435">
        <f>H28+H29+H30+H31+H32+H34+H35+H33+H39</f>
        <v>0</v>
      </c>
      <c r="I27" s="436">
        <f>I28+I29+I30+I31+I32+I34+I35+I33</f>
        <v>0</v>
      </c>
      <c r="J27" s="435">
        <f t="shared" ref="J27:O27" si="3">J28+J29+J30+J31+J32+J34+J35+J33+J39</f>
        <v>20175856</v>
      </c>
      <c r="K27" s="436">
        <f t="shared" si="3"/>
        <v>1099529</v>
      </c>
      <c r="L27" s="435">
        <f t="shared" si="3"/>
        <v>-307328</v>
      </c>
      <c r="M27" s="435">
        <f t="shared" si="3"/>
        <v>0</v>
      </c>
      <c r="N27" s="436">
        <f t="shared" si="3"/>
        <v>19076327</v>
      </c>
      <c r="O27" s="435">
        <f t="shared" si="3"/>
        <v>18946567</v>
      </c>
      <c r="P27" s="435">
        <f t="shared" ref="P27" si="4">E27+J27</f>
        <v>61189869</v>
      </c>
    </row>
    <row r="28" spans="1:20" ht="67.5" customHeight="1">
      <c r="A28" s="438" t="s">
        <v>386</v>
      </c>
      <c r="B28" s="438" t="s">
        <v>387</v>
      </c>
      <c r="C28" s="438" t="s">
        <v>389</v>
      </c>
      <c r="D28" s="438" t="s">
        <v>390</v>
      </c>
      <c r="E28" s="298">
        <f>'dod3'!E28-'dod3 базовий'!E27</f>
        <v>5185849</v>
      </c>
      <c r="F28" s="298">
        <f>'dod3'!F28-'dod3 базовий'!F27</f>
        <v>5185849</v>
      </c>
      <c r="G28" s="298">
        <f>'dod3'!G28-'dod3 базовий'!G27</f>
        <v>3213800</v>
      </c>
      <c r="H28" s="298">
        <f>'dod3'!H28-'dod3 базовий'!H27</f>
        <v>0</v>
      </c>
      <c r="I28" s="298">
        <f>'dod3'!I28-'dod3 базовий'!I27</f>
        <v>0</v>
      </c>
      <c r="J28" s="298">
        <f>'dod3'!J28-'dod3 базовий'!J27</f>
        <v>2072251</v>
      </c>
      <c r="K28" s="298">
        <f>'dod3'!K28-'dod3 базовий'!K27</f>
        <v>0</v>
      </c>
      <c r="L28" s="298">
        <f>'dod3'!L28-'dod3 базовий'!L27</f>
        <v>0</v>
      </c>
      <c r="M28" s="298">
        <f>'dod3'!M28-'dod3 базовий'!M27</f>
        <v>0</v>
      </c>
      <c r="N28" s="298">
        <f>'dod3'!N28-'dod3 базовий'!N27</f>
        <v>2072251</v>
      </c>
      <c r="O28" s="298">
        <f>'dod3'!O28-'dod3 базовий'!O27</f>
        <v>2072251</v>
      </c>
      <c r="P28" s="298">
        <f>'dod3'!P28-'dod3 базовий'!P27</f>
        <v>7258100</v>
      </c>
      <c r="Q28" s="28"/>
      <c r="R28" s="28"/>
    </row>
    <row r="29" spans="1:20" ht="389.25" customHeight="1">
      <c r="A29" s="438" t="s">
        <v>392</v>
      </c>
      <c r="B29" s="438" t="s">
        <v>388</v>
      </c>
      <c r="C29" s="438" t="s">
        <v>393</v>
      </c>
      <c r="D29" s="438" t="s">
        <v>391</v>
      </c>
      <c r="E29" s="298">
        <f>'dod3'!E29-'dod3 базовий'!E28</f>
        <v>28813164</v>
      </c>
      <c r="F29" s="298">
        <f>'dod3'!F29-'dod3 базовий'!F28</f>
        <v>28813164</v>
      </c>
      <c r="G29" s="298">
        <f>'dod3'!G29-'dod3 базовий'!G28</f>
        <v>16909821</v>
      </c>
      <c r="H29" s="298">
        <f>'dod3'!H29-'dod3 базовий'!H28</f>
        <v>0</v>
      </c>
      <c r="I29" s="298">
        <f>'dod3'!I29-'dod3 базовий'!I28</f>
        <v>0</v>
      </c>
      <c r="J29" s="298">
        <f>'dod3'!J29-'dod3 базовий'!J28</f>
        <v>7064907</v>
      </c>
      <c r="K29" s="298">
        <f>'dod3'!K29-'dod3 базовий'!K28</f>
        <v>-1380110</v>
      </c>
      <c r="L29" s="298">
        <f>'dod3'!L29-'dod3 базовий'!L28</f>
        <v>-1131270</v>
      </c>
      <c r="M29" s="298">
        <f>'dod3'!M29-'dod3 базовий'!M28</f>
        <v>0</v>
      </c>
      <c r="N29" s="298">
        <f>'dod3'!N29-'dod3 базовий'!N28</f>
        <v>8445017</v>
      </c>
      <c r="O29" s="298">
        <f>'dod3'!O29-'dod3 базовий'!O28</f>
        <v>8445017</v>
      </c>
      <c r="P29" s="298">
        <f>'dod3'!P29-'dod3 базовий'!P28</f>
        <v>35878071</v>
      </c>
      <c r="Q29" s="28"/>
      <c r="R29" s="28"/>
      <c r="T29" s="230"/>
    </row>
    <row r="30" spans="1:20" ht="137.25">
      <c r="A30" s="438" t="s">
        <v>394</v>
      </c>
      <c r="B30" s="438" t="s">
        <v>395</v>
      </c>
      <c r="C30" s="438" t="s">
        <v>393</v>
      </c>
      <c r="D30" s="438" t="s">
        <v>46</v>
      </c>
      <c r="E30" s="298">
        <f>'dod3'!E30-'dod3 базовий'!E29</f>
        <v>178700</v>
      </c>
      <c r="F30" s="298">
        <f>'dod3'!F30-'dod3 базовий'!F29</f>
        <v>178700</v>
      </c>
      <c r="G30" s="298">
        <f>'dod3'!G30-'dod3 базовий'!G29</f>
        <v>146500</v>
      </c>
      <c r="H30" s="298">
        <f>'dod3'!H30-'dod3 базовий'!H29</f>
        <v>0</v>
      </c>
      <c r="I30" s="298">
        <f>'dod3'!I30-'dod3 базовий'!I29</f>
        <v>0</v>
      </c>
      <c r="J30" s="298">
        <f>'dod3'!J30-'dod3 базовий'!J29</f>
        <v>0</v>
      </c>
      <c r="K30" s="298">
        <f>'dod3'!K30-'dod3 базовий'!K29</f>
        <v>0</v>
      </c>
      <c r="L30" s="298">
        <f>'dod3'!L30-'dod3 базовий'!L29</f>
        <v>0</v>
      </c>
      <c r="M30" s="298">
        <f>'dod3'!M30-'dod3 базовий'!M29</f>
        <v>0</v>
      </c>
      <c r="N30" s="298">
        <f>'dod3'!N30-'dod3 базовий'!N29</f>
        <v>0</v>
      </c>
      <c r="O30" s="298">
        <f>'dod3'!O30-'dod3 базовий'!O29</f>
        <v>0</v>
      </c>
      <c r="P30" s="298">
        <f>'dod3'!P30-'dod3 базовий'!P29</f>
        <v>178700</v>
      </c>
    </row>
    <row r="31" spans="1:20" ht="409.6" customHeight="1">
      <c r="A31" s="438" t="s">
        <v>397</v>
      </c>
      <c r="B31" s="438" t="s">
        <v>396</v>
      </c>
      <c r="C31" s="438" t="s">
        <v>398</v>
      </c>
      <c r="D31" s="438" t="s">
        <v>47</v>
      </c>
      <c r="E31" s="298">
        <f>'dod3'!E31-'dod3 базовий'!E30</f>
        <v>1233700</v>
      </c>
      <c r="F31" s="298">
        <f>'dod3'!F31-'dod3 базовий'!F30</f>
        <v>1233700</v>
      </c>
      <c r="G31" s="298">
        <f>'dod3'!G31-'dod3 базовий'!G30</f>
        <v>691500</v>
      </c>
      <c r="H31" s="298">
        <f>'dod3'!H31-'dod3 базовий'!H30</f>
        <v>0</v>
      </c>
      <c r="I31" s="298">
        <f>'dod3'!I31-'dod3 базовий'!I30</f>
        <v>0</v>
      </c>
      <c r="J31" s="298">
        <f>'dod3'!J31-'dod3 базовий'!J30</f>
        <v>144849</v>
      </c>
      <c r="K31" s="298">
        <f>'dod3'!K31-'dod3 базовий'!K30</f>
        <v>0</v>
      </c>
      <c r="L31" s="298">
        <f>'dod3'!L31-'dod3 базовий'!L30</f>
        <v>0</v>
      </c>
      <c r="M31" s="298">
        <f>'dod3'!M31-'dod3 базовий'!M30</f>
        <v>0</v>
      </c>
      <c r="N31" s="298">
        <f>'dod3'!N31-'dod3 базовий'!N30</f>
        <v>144849</v>
      </c>
      <c r="O31" s="298">
        <f>'dod3'!O31-'dod3 базовий'!O30</f>
        <v>144849</v>
      </c>
      <c r="P31" s="298">
        <f>'dod3'!P31-'dod3 базовий'!P30</f>
        <v>1378549</v>
      </c>
    </row>
    <row r="32" spans="1:20" ht="183">
      <c r="A32" s="438" t="s">
        <v>399</v>
      </c>
      <c r="B32" s="438" t="s">
        <v>373</v>
      </c>
      <c r="C32" s="438" t="s">
        <v>354</v>
      </c>
      <c r="D32" s="438" t="s">
        <v>48</v>
      </c>
      <c r="E32" s="298">
        <f>'dod3'!E32-'dod3 базовий'!E31</f>
        <v>414500</v>
      </c>
      <c r="F32" s="298">
        <f>'dod3'!F32-'dod3 базовий'!F31</f>
        <v>414500</v>
      </c>
      <c r="G32" s="298">
        <f>'dod3'!G32-'dod3 базовий'!G31</f>
        <v>334800</v>
      </c>
      <c r="H32" s="298">
        <f>'dod3'!H32-'dod3 базовий'!H31</f>
        <v>0</v>
      </c>
      <c r="I32" s="298">
        <f>'dod3'!I32-'dod3 базовий'!I31</f>
        <v>0</v>
      </c>
      <c r="J32" s="298">
        <f>'dod3'!J32-'dod3 базовий'!J31</f>
        <v>1075000</v>
      </c>
      <c r="K32" s="298">
        <f>'dod3'!K32-'dod3 базовий'!K31</f>
        <v>0</v>
      </c>
      <c r="L32" s="298">
        <f>'dod3'!L32-'dod3 базовий'!L31</f>
        <v>0</v>
      </c>
      <c r="M32" s="298">
        <f>'dod3'!M32-'dod3 базовий'!M31</f>
        <v>0</v>
      </c>
      <c r="N32" s="298">
        <f>'dod3'!N32-'dod3 базовий'!N31</f>
        <v>1075000</v>
      </c>
      <c r="O32" s="298">
        <f>'dod3'!O32-'dod3 базовий'!O31</f>
        <v>1075000</v>
      </c>
      <c r="P32" s="298">
        <f>'dod3'!P32-'dod3 базовий'!P31</f>
        <v>1489500</v>
      </c>
    </row>
    <row r="33" spans="1:16" ht="155.25" customHeight="1">
      <c r="A33" s="438" t="s">
        <v>400</v>
      </c>
      <c r="B33" s="438" t="s">
        <v>401</v>
      </c>
      <c r="C33" s="438" t="s">
        <v>402</v>
      </c>
      <c r="D33" s="438" t="s">
        <v>403</v>
      </c>
      <c r="E33" s="298">
        <f>'dod3'!E33-'dod3 базовий'!E32</f>
        <v>4335100</v>
      </c>
      <c r="F33" s="298">
        <f>'dod3'!F33-'dod3 базовий'!F32</f>
        <v>4335100</v>
      </c>
      <c r="G33" s="298">
        <f>'dod3'!G33-'dod3 базовий'!G32</f>
        <v>3553400</v>
      </c>
      <c r="H33" s="298">
        <f>'dod3'!H33-'dod3 базовий'!H32</f>
        <v>0</v>
      </c>
      <c r="I33" s="298">
        <f>'dod3'!I33-'dod3 базовий'!I32</f>
        <v>0</v>
      </c>
      <c r="J33" s="298">
        <f>'dod3'!J33-'dod3 базовий'!J32</f>
        <v>2609399</v>
      </c>
      <c r="K33" s="298">
        <f>'dod3'!K33-'dod3 базовий'!K32</f>
        <v>2479639</v>
      </c>
      <c r="L33" s="298">
        <f>'dod3'!L33-'dod3 базовий'!L32</f>
        <v>823942</v>
      </c>
      <c r="M33" s="298">
        <f>'dod3'!M33-'dod3 базовий'!M32</f>
        <v>0</v>
      </c>
      <c r="N33" s="298">
        <f>'dod3'!N33-'dod3 базовий'!N32</f>
        <v>129760</v>
      </c>
      <c r="O33" s="298">
        <f>'dod3'!O33-'dod3 базовий'!O32</f>
        <v>0</v>
      </c>
      <c r="P33" s="298">
        <f>'dod3'!P33-'dod3 базовий'!P32</f>
        <v>6944499</v>
      </c>
    </row>
    <row r="34" spans="1:16" ht="130.5" customHeight="1">
      <c r="A34" s="438" t="s">
        <v>405</v>
      </c>
      <c r="B34" s="438" t="s">
        <v>406</v>
      </c>
      <c r="C34" s="438" t="s">
        <v>407</v>
      </c>
      <c r="D34" s="438" t="s">
        <v>404</v>
      </c>
      <c r="E34" s="298">
        <f>'dod3'!E34-'dod3 базовий'!E33</f>
        <v>289500</v>
      </c>
      <c r="F34" s="298">
        <f>'dod3'!F34-'dod3 базовий'!F33</f>
        <v>289500</v>
      </c>
      <c r="G34" s="298">
        <f>'dod3'!G34-'dod3 базовий'!G33</f>
        <v>63500</v>
      </c>
      <c r="H34" s="298">
        <f>'dod3'!H34-'dod3 базовий'!H33</f>
        <v>0</v>
      </c>
      <c r="I34" s="298">
        <f>'dod3'!I34-'dod3 базовий'!I33</f>
        <v>0</v>
      </c>
      <c r="J34" s="298">
        <f>'dod3'!J34-'dod3 базовий'!J33</f>
        <v>100450</v>
      </c>
      <c r="K34" s="298">
        <f>'dod3'!K34-'dod3 базовий'!K33</f>
        <v>0</v>
      </c>
      <c r="L34" s="298">
        <f>'dod3'!L34-'dod3 базовий'!L33</f>
        <v>0</v>
      </c>
      <c r="M34" s="298">
        <f>'dod3'!M34-'dod3 базовий'!M33</f>
        <v>0</v>
      </c>
      <c r="N34" s="298">
        <f>'dod3'!N34-'dod3 базовий'!N33</f>
        <v>100450</v>
      </c>
      <c r="O34" s="298">
        <f>'dod3'!O34-'dod3 базовий'!O33</f>
        <v>100450</v>
      </c>
      <c r="P34" s="298">
        <f>'dod3'!P34-'dod3 базовий'!P33</f>
        <v>389950</v>
      </c>
    </row>
    <row r="35" spans="1:16" ht="112.5" customHeight="1">
      <c r="A35" s="438" t="s">
        <v>409</v>
      </c>
      <c r="B35" s="438" t="s">
        <v>410</v>
      </c>
      <c r="C35" s="438"/>
      <c r="D35" s="437" t="s">
        <v>408</v>
      </c>
      <c r="E35" s="298">
        <f>'dod3'!E35-'dod3 базовий'!E34</f>
        <v>563500</v>
      </c>
      <c r="F35" s="298">
        <f>'dod3'!F35-'dod3 базовий'!F34</f>
        <v>563500</v>
      </c>
      <c r="G35" s="298">
        <f>'dod3'!G35-'dod3 базовий'!G34</f>
        <v>342300</v>
      </c>
      <c r="H35" s="298">
        <f>'dod3'!H35-'dod3 базовий'!H34</f>
        <v>0</v>
      </c>
      <c r="I35" s="298">
        <f>'dod3'!I35-'dod3 базовий'!I34</f>
        <v>0</v>
      </c>
      <c r="J35" s="298">
        <f>'dod3'!J35-'dod3 базовий'!J34</f>
        <v>48000</v>
      </c>
      <c r="K35" s="298">
        <f>'dod3'!K35-'dod3 базовий'!K34</f>
        <v>0</v>
      </c>
      <c r="L35" s="298">
        <f>'dod3'!L35-'dod3 базовий'!L34</f>
        <v>0</v>
      </c>
      <c r="M35" s="298">
        <f>'dod3'!M35-'dod3 базовий'!M34</f>
        <v>0</v>
      </c>
      <c r="N35" s="298">
        <f>'dod3'!N35-'dod3 базовий'!N34</f>
        <v>48000</v>
      </c>
      <c r="O35" s="298">
        <f>'dod3'!O35-'dod3 базовий'!O34</f>
        <v>48000</v>
      </c>
      <c r="P35" s="298">
        <f>'dod3'!P35-'dod3 базовий'!P34</f>
        <v>611500</v>
      </c>
    </row>
    <row r="36" spans="1:16" ht="139.5" customHeight="1">
      <c r="A36" s="325" t="s">
        <v>670</v>
      </c>
      <c r="B36" s="325" t="s">
        <v>671</v>
      </c>
      <c r="C36" s="325" t="s">
        <v>407</v>
      </c>
      <c r="D36" s="325" t="s">
        <v>669</v>
      </c>
      <c r="E36" s="298">
        <f>'dod3'!E36-'dod3 базовий'!E35</f>
        <v>563500</v>
      </c>
      <c r="F36" s="298">
        <f>'dod3'!F36-'dod3 базовий'!F35</f>
        <v>563500</v>
      </c>
      <c r="G36" s="298">
        <f>'dod3'!G36-'dod3 базовий'!G35</f>
        <v>342300</v>
      </c>
      <c r="H36" s="298">
        <f>'dod3'!H36-'dod3 базовий'!H35</f>
        <v>0</v>
      </c>
      <c r="I36" s="298">
        <f>'dod3'!I36-'dod3 базовий'!I35</f>
        <v>0</v>
      </c>
      <c r="J36" s="298">
        <f>'dod3'!J36-'dod3 базовий'!J35</f>
        <v>48000</v>
      </c>
      <c r="K36" s="298">
        <f>'dod3'!K36-'dod3 базовий'!K35</f>
        <v>0</v>
      </c>
      <c r="L36" s="298">
        <f>'dod3'!L36-'dod3 базовий'!L35</f>
        <v>0</v>
      </c>
      <c r="M36" s="298">
        <f>'dod3'!M36-'dod3 базовий'!M35</f>
        <v>0</v>
      </c>
      <c r="N36" s="298">
        <f>'dod3'!N36-'dod3 базовий'!N35</f>
        <v>48000</v>
      </c>
      <c r="O36" s="298">
        <f>'dod3'!O36-'dod3 базовий'!O35</f>
        <v>48000</v>
      </c>
      <c r="P36" s="298">
        <f>'dod3'!P36-'dod3 базовий'!P35</f>
        <v>611500</v>
      </c>
    </row>
    <row r="37" spans="1:16" ht="124.5" customHeight="1">
      <c r="A37" s="325" t="s">
        <v>711</v>
      </c>
      <c r="B37" s="325" t="s">
        <v>712</v>
      </c>
      <c r="C37" s="325" t="s">
        <v>407</v>
      </c>
      <c r="D37" s="217" t="s">
        <v>710</v>
      </c>
      <c r="E37" s="298">
        <f>'dod3'!E37-'dod3 базовий'!E36</f>
        <v>0</v>
      </c>
      <c r="F37" s="298">
        <f>'dod3'!F37-'dod3 базовий'!F36</f>
        <v>0</v>
      </c>
      <c r="G37" s="298">
        <f>'dod3'!G37-'dod3 базовий'!G36</f>
        <v>0</v>
      </c>
      <c r="H37" s="298">
        <f>'dod3'!H37-'dod3 базовий'!H36</f>
        <v>0</v>
      </c>
      <c r="I37" s="298">
        <f>'dod3'!I37-'dod3 базовий'!I36</f>
        <v>0</v>
      </c>
      <c r="J37" s="298">
        <f>'dod3'!J37-'dod3 базовий'!J36</f>
        <v>0</v>
      </c>
      <c r="K37" s="298">
        <f>'dod3'!K37-'dod3 базовий'!K36</f>
        <v>0</v>
      </c>
      <c r="L37" s="298">
        <f>'dod3'!L37-'dod3 базовий'!L36</f>
        <v>0</v>
      </c>
      <c r="M37" s="298">
        <f>'dod3'!M37-'dod3 базовий'!M36</f>
        <v>0</v>
      </c>
      <c r="N37" s="298">
        <f>'dod3'!N37-'dod3 базовий'!N36</f>
        <v>0</v>
      </c>
      <c r="O37" s="298">
        <f>'dod3'!O37-'dod3 базовий'!O36</f>
        <v>0</v>
      </c>
      <c r="P37" s="298">
        <f>'dod3'!P37-'dod3 базовий'!P36</f>
        <v>0</v>
      </c>
    </row>
    <row r="38" spans="1:16" ht="183">
      <c r="A38" s="437" t="s">
        <v>745</v>
      </c>
      <c r="B38" s="437" t="s">
        <v>746</v>
      </c>
      <c r="C38" s="437" t="s">
        <v>407</v>
      </c>
      <c r="D38" s="438" t="s">
        <v>747</v>
      </c>
      <c r="E38" s="298">
        <f>'dod3'!E38-'dod3 базовий'!E37</f>
        <v>0</v>
      </c>
      <c r="F38" s="298">
        <f>'dod3'!F38-'dod3 базовий'!F37</f>
        <v>0</v>
      </c>
      <c r="G38" s="298">
        <f>'dod3'!G38-'dod3 базовий'!G37</f>
        <v>0</v>
      </c>
      <c r="H38" s="298">
        <f>'dod3'!H38-'dod3 базовий'!H37</f>
        <v>0</v>
      </c>
      <c r="I38" s="298">
        <f>'dod3'!I38-'dod3 базовий'!I37</f>
        <v>0</v>
      </c>
      <c r="J38" s="298">
        <f>'dod3'!J38-'dod3 базовий'!J37</f>
        <v>0</v>
      </c>
      <c r="K38" s="298">
        <f>'dod3'!K38-'dod3 базовий'!K37</f>
        <v>0</v>
      </c>
      <c r="L38" s="298">
        <f>'dod3'!L38-'dod3 базовий'!L37</f>
        <v>0</v>
      </c>
      <c r="M38" s="298">
        <f>'dod3'!M38-'dod3 базовий'!M37</f>
        <v>0</v>
      </c>
      <c r="N38" s="298">
        <f>'dod3'!N38-'dod3 базовий'!N37</f>
        <v>0</v>
      </c>
      <c r="O38" s="298">
        <f>'dod3'!O38-'dod3 базовий'!O37</f>
        <v>0</v>
      </c>
      <c r="P38" s="298">
        <f>'dod3'!P38-'dod3 базовий'!P37</f>
        <v>0</v>
      </c>
    </row>
    <row r="39" spans="1:16" ht="46.5">
      <c r="A39" s="438" t="s">
        <v>412</v>
      </c>
      <c r="B39" s="438" t="s">
        <v>413</v>
      </c>
      <c r="C39" s="438" t="s">
        <v>414</v>
      </c>
      <c r="D39" s="438" t="s">
        <v>102</v>
      </c>
      <c r="E39" s="298">
        <f>'dod3'!E39-'dod3 базовий'!E38</f>
        <v>0</v>
      </c>
      <c r="F39" s="298">
        <f>'dod3'!F39-'dod3 базовий'!F38</f>
        <v>0</v>
      </c>
      <c r="G39" s="298">
        <f>'dod3'!G39-'dod3 базовий'!G38</f>
        <v>0</v>
      </c>
      <c r="H39" s="298">
        <f>'dod3'!H39-'dod3 базовий'!H38</f>
        <v>0</v>
      </c>
      <c r="I39" s="298">
        <f>'dod3'!I39-'dod3 базовий'!I38</f>
        <v>0</v>
      </c>
      <c r="J39" s="298">
        <f>'dod3'!J39-'dod3 базовий'!J38</f>
        <v>7061000</v>
      </c>
      <c r="K39" s="298">
        <f>'dod3'!K39-'dod3 базовий'!K38</f>
        <v>0</v>
      </c>
      <c r="L39" s="298">
        <f>'dod3'!L39-'dod3 базовий'!L38</f>
        <v>0</v>
      </c>
      <c r="M39" s="298">
        <f>'dod3'!M39-'dod3 базовий'!M38</f>
        <v>0</v>
      </c>
      <c r="N39" s="298">
        <f>'dod3'!N39-'dod3 базовий'!N38</f>
        <v>7061000</v>
      </c>
      <c r="O39" s="298">
        <f>'dod3'!O39-'dod3 базовий'!O38</f>
        <v>7061000</v>
      </c>
      <c r="P39" s="298">
        <f>'dod3'!P39-'dod3 базовий'!P38</f>
        <v>7061000</v>
      </c>
    </row>
    <row r="40" spans="1:16" ht="135">
      <c r="A40" s="447" t="s">
        <v>316</v>
      </c>
      <c r="B40" s="448"/>
      <c r="C40" s="448"/>
      <c r="D40" s="449" t="s">
        <v>53</v>
      </c>
      <c r="E40" s="450">
        <f>E41</f>
        <v>6192800</v>
      </c>
      <c r="F40" s="451">
        <f t="shared" ref="F40:P40" si="5">F41</f>
        <v>6192800</v>
      </c>
      <c r="G40" s="450">
        <f t="shared" si="5"/>
        <v>0</v>
      </c>
      <c r="H40" s="450">
        <f t="shared" si="5"/>
        <v>0</v>
      </c>
      <c r="I40" s="451">
        <f t="shared" si="5"/>
        <v>0</v>
      </c>
      <c r="J40" s="450">
        <f t="shared" si="5"/>
        <v>15225653</v>
      </c>
      <c r="K40" s="451">
        <f t="shared" si="5"/>
        <v>-349000</v>
      </c>
      <c r="L40" s="450">
        <f t="shared" si="5"/>
        <v>0</v>
      </c>
      <c r="M40" s="450">
        <f t="shared" si="5"/>
        <v>0</v>
      </c>
      <c r="N40" s="451">
        <f t="shared" si="5"/>
        <v>15574653</v>
      </c>
      <c r="O40" s="450">
        <f t="shared" si="5"/>
        <v>15225653</v>
      </c>
      <c r="P40" s="450">
        <f t="shared" si="5"/>
        <v>21418453</v>
      </c>
    </row>
    <row r="41" spans="1:16" ht="135">
      <c r="A41" s="433" t="s">
        <v>317</v>
      </c>
      <c r="B41" s="433"/>
      <c r="C41" s="433"/>
      <c r="D41" s="452" t="s">
        <v>93</v>
      </c>
      <c r="E41" s="435">
        <f>E42+E43+E44+E45+E51+E46+E48+E54</f>
        <v>6192800</v>
      </c>
      <c r="F41" s="436">
        <f>F42+F43+F44+F45+F51+F46+F48</f>
        <v>6192800</v>
      </c>
      <c r="G41" s="435">
        <f>G42+G43+G44+G45+G51+G46+G48</f>
        <v>0</v>
      </c>
      <c r="H41" s="435">
        <f>H42+H43+H44+H45+H51+H46+H48</f>
        <v>0</v>
      </c>
      <c r="I41" s="436">
        <v>0</v>
      </c>
      <c r="J41" s="435">
        <f t="shared" ref="J41" si="6">K41+N41</f>
        <v>15225653</v>
      </c>
      <c r="K41" s="436">
        <f>K42+K43+K44+K45+K51+K46+K48+K54</f>
        <v>-349000</v>
      </c>
      <c r="L41" s="435">
        <f>L42+L43+L44+L45+L51+L46+L48</f>
        <v>0</v>
      </c>
      <c r="M41" s="435">
        <f>M42+M43+M44+M45+M51+M46+M48</f>
        <v>0</v>
      </c>
      <c r="N41" s="436">
        <f>N42+N43+N44+N45+N51+N46+N48+N54</f>
        <v>15574653</v>
      </c>
      <c r="O41" s="435">
        <f>O42+O43+O44+O45+O51+O46+O54</f>
        <v>15225653</v>
      </c>
      <c r="P41" s="435">
        <f t="shared" ref="P41" si="7">E41+J41</f>
        <v>21418453</v>
      </c>
    </row>
    <row r="42" spans="1:16" ht="91.5">
      <c r="A42" s="438" t="s">
        <v>415</v>
      </c>
      <c r="B42" s="438" t="s">
        <v>411</v>
      </c>
      <c r="C42" s="438" t="s">
        <v>416</v>
      </c>
      <c r="D42" s="438" t="s">
        <v>55</v>
      </c>
      <c r="E42" s="298">
        <f>'dod3'!E42-'dod3 базовий'!E41</f>
        <v>4920600</v>
      </c>
      <c r="F42" s="303">
        <f>'dod3'!F42-'dod3 базовий'!F41</f>
        <v>4920600</v>
      </c>
      <c r="G42" s="298">
        <f>'dod3'!G42-'dod3 базовий'!G41</f>
        <v>0</v>
      </c>
      <c r="H42" s="298">
        <f>'dod3'!H42-'dod3 базовий'!H41</f>
        <v>0</v>
      </c>
      <c r="I42" s="303">
        <f>'dod3'!I42-'dod3 базовий'!I41</f>
        <v>0</v>
      </c>
      <c r="J42" s="298">
        <f>'dod3'!J42-'dod3 базовий'!J41</f>
        <v>11700095</v>
      </c>
      <c r="K42" s="303">
        <f>'dod3'!K42-'dod3 базовий'!K41</f>
        <v>0</v>
      </c>
      <c r="L42" s="298">
        <f>'dod3'!L42-'dod3 базовий'!L41</f>
        <v>0</v>
      </c>
      <c r="M42" s="298">
        <f>'dod3'!M42-'dod3 базовий'!M41</f>
        <v>0</v>
      </c>
      <c r="N42" s="303">
        <f>'dod3'!N42-'dod3 базовий'!N41</f>
        <v>11700095</v>
      </c>
      <c r="O42" s="298">
        <f>'dod3'!O42-'dod3 базовий'!O41</f>
        <v>11700095</v>
      </c>
      <c r="P42" s="298">
        <f>'dod3'!P42-'dod3 базовий'!P41</f>
        <v>16620695</v>
      </c>
    </row>
    <row r="43" spans="1:16" ht="137.25">
      <c r="A43" s="438" t="s">
        <v>417</v>
      </c>
      <c r="B43" s="438" t="s">
        <v>418</v>
      </c>
      <c r="C43" s="438" t="s">
        <v>419</v>
      </c>
      <c r="D43" s="438" t="s">
        <v>420</v>
      </c>
      <c r="E43" s="298">
        <f>'dod3'!E43-'dod3 базовий'!E42</f>
        <v>115000</v>
      </c>
      <c r="F43" s="303">
        <f>'dod3'!F43-'dod3 базовий'!F42</f>
        <v>115000</v>
      </c>
      <c r="G43" s="298">
        <f>'dod3'!G43-'dod3 базовий'!G42</f>
        <v>0</v>
      </c>
      <c r="H43" s="298">
        <f>'dod3'!H43-'dod3 базовий'!H42</f>
        <v>0</v>
      </c>
      <c r="I43" s="303">
        <f>'dod3'!I43-'dod3 базовий'!I42</f>
        <v>0</v>
      </c>
      <c r="J43" s="298">
        <f>'dod3'!J43-'dod3 базовий'!J42</f>
        <v>597150</v>
      </c>
      <c r="K43" s="303">
        <f>'dod3'!K43-'dod3 базовий'!K42</f>
        <v>-30000</v>
      </c>
      <c r="L43" s="298">
        <f>'dod3'!L43-'dod3 базовий'!L42</f>
        <v>0</v>
      </c>
      <c r="M43" s="298">
        <f>'dod3'!M43-'dod3 базовий'!M42</f>
        <v>0</v>
      </c>
      <c r="N43" s="303">
        <f>'dod3'!N43-'dod3 базовий'!N42</f>
        <v>627150</v>
      </c>
      <c r="O43" s="298">
        <f>'dod3'!O43-'dod3 базовий'!O42</f>
        <v>597150</v>
      </c>
      <c r="P43" s="298">
        <f>'dod3'!P43-'dod3 базовий'!P42</f>
        <v>712150</v>
      </c>
    </row>
    <row r="44" spans="1:16" ht="137.25">
      <c r="A44" s="438" t="s">
        <v>421</v>
      </c>
      <c r="B44" s="438" t="s">
        <v>422</v>
      </c>
      <c r="C44" s="438" t="s">
        <v>423</v>
      </c>
      <c r="D44" s="438" t="s">
        <v>748</v>
      </c>
      <c r="E44" s="298">
        <f>'dod3'!E44-'dod3 базовий'!E43</f>
        <v>-5391200</v>
      </c>
      <c r="F44" s="303">
        <f>'dod3'!F44-'dod3 базовий'!F43</f>
        <v>-5391200</v>
      </c>
      <c r="G44" s="298">
        <f>'dod3'!G44-'dod3 базовий'!G43</f>
        <v>0</v>
      </c>
      <c r="H44" s="298">
        <f>'dod3'!H44-'dod3 базовий'!H43</f>
        <v>0</v>
      </c>
      <c r="I44" s="303">
        <f>'dod3'!I44-'dod3 базовий'!I43</f>
        <v>0</v>
      </c>
      <c r="J44" s="298">
        <f>'dod3'!J44-'dod3 базовий'!J43</f>
        <v>1651608</v>
      </c>
      <c r="K44" s="303">
        <f>'dod3'!K44-'dod3 базовий'!K43</f>
        <v>-249000</v>
      </c>
      <c r="L44" s="298">
        <f>'dod3'!L44-'dod3 базовий'!L43</f>
        <v>0</v>
      </c>
      <c r="M44" s="298">
        <f>'dod3'!M44-'dod3 базовий'!M43</f>
        <v>0</v>
      </c>
      <c r="N44" s="303">
        <f>'dod3'!N44-'dod3 базовий'!N43</f>
        <v>1900608</v>
      </c>
      <c r="O44" s="298">
        <f>'dod3'!O44-'dod3 базовий'!O43</f>
        <v>1651608</v>
      </c>
      <c r="P44" s="298">
        <f>'dod3'!P44-'dod3 базовий'!P43</f>
        <v>-3739592</v>
      </c>
    </row>
    <row r="45" spans="1:16" ht="91.5">
      <c r="A45" s="438" t="s">
        <v>424</v>
      </c>
      <c r="B45" s="438" t="s">
        <v>425</v>
      </c>
      <c r="C45" s="438" t="s">
        <v>426</v>
      </c>
      <c r="D45" s="438" t="s">
        <v>427</v>
      </c>
      <c r="E45" s="298">
        <f>'dod3'!E45-'dod3 базовий'!E44</f>
        <v>-138000</v>
      </c>
      <c r="F45" s="303">
        <f>'dod3'!F45-'dod3 базовий'!F44</f>
        <v>-138000</v>
      </c>
      <c r="G45" s="298">
        <f>'dod3'!G45-'dod3 базовий'!G44</f>
        <v>0</v>
      </c>
      <c r="H45" s="298">
        <f>'dod3'!H45-'dod3 базовий'!H44</f>
        <v>0</v>
      </c>
      <c r="I45" s="303">
        <f>'dod3'!I45-'dod3 базовий'!I44</f>
        <v>0</v>
      </c>
      <c r="J45" s="298">
        <f>'dod3'!J45-'dod3 базовий'!J44</f>
        <v>89000</v>
      </c>
      <c r="K45" s="303">
        <f>'dod3'!K45-'dod3 базовий'!K44</f>
        <v>-70000</v>
      </c>
      <c r="L45" s="298">
        <f>'dod3'!L45-'dod3 базовий'!L44</f>
        <v>0</v>
      </c>
      <c r="M45" s="298">
        <f>'dod3'!M45-'dod3 базовий'!M44</f>
        <v>0</v>
      </c>
      <c r="N45" s="303">
        <f>'dod3'!N45-'dod3 базовий'!N44</f>
        <v>159000</v>
      </c>
      <c r="O45" s="298">
        <f>'dod3'!O45-'dod3 базовий'!O44</f>
        <v>89000</v>
      </c>
      <c r="P45" s="298">
        <f>'dod3'!P45-'dod3 базовий'!P44</f>
        <v>-49000</v>
      </c>
    </row>
    <row r="46" spans="1:16" ht="91.5">
      <c r="A46" s="438" t="s">
        <v>428</v>
      </c>
      <c r="B46" s="438" t="s">
        <v>429</v>
      </c>
      <c r="C46" s="438"/>
      <c r="D46" s="438" t="s">
        <v>749</v>
      </c>
      <c r="E46" s="298">
        <f>'dod3'!E46-'dod3 базовий'!E45</f>
        <v>-2765300</v>
      </c>
      <c r="F46" s="303">
        <f>'dod3'!F46-'dod3 базовий'!F45</f>
        <v>-2765300</v>
      </c>
      <c r="G46" s="298">
        <f>'dod3'!G46-'dod3 базовий'!G45</f>
        <v>0</v>
      </c>
      <c r="H46" s="298">
        <f>'dod3'!H46-'dod3 базовий'!H45</f>
        <v>0</v>
      </c>
      <c r="I46" s="303">
        <f>'dod3'!I46-'dod3 базовий'!I45</f>
        <v>0</v>
      </c>
      <c r="J46" s="298">
        <f>'dod3'!J46-'dod3 базовий'!J45</f>
        <v>715000</v>
      </c>
      <c r="K46" s="303">
        <f>'dod3'!K46-'dod3 базовий'!K45</f>
        <v>0</v>
      </c>
      <c r="L46" s="298">
        <f>'dod3'!L46-'dod3 базовий'!L45</f>
        <v>0</v>
      </c>
      <c r="M46" s="298">
        <f>'dod3'!M46-'dod3 базовий'!M45</f>
        <v>0</v>
      </c>
      <c r="N46" s="303">
        <f>'dod3'!N46-'dod3 базовий'!N45</f>
        <v>715000</v>
      </c>
      <c r="O46" s="298">
        <f>'dod3'!O46-'dod3 базовий'!O45</f>
        <v>715000</v>
      </c>
      <c r="P46" s="298">
        <f>'dod3'!P46-'dod3 базовий'!P45</f>
        <v>-2050300</v>
      </c>
    </row>
    <row r="47" spans="1:16" ht="183">
      <c r="A47" s="217" t="s">
        <v>430</v>
      </c>
      <c r="B47" s="325" t="s">
        <v>431</v>
      </c>
      <c r="C47" s="325" t="s">
        <v>750</v>
      </c>
      <c r="D47" s="217" t="s">
        <v>432</v>
      </c>
      <c r="E47" s="298">
        <f>'dod3'!E47-'dod3 базовий'!E46</f>
        <v>-2765300</v>
      </c>
      <c r="F47" s="303">
        <f>'dod3'!F47-'dod3 базовий'!F46</f>
        <v>-2765300</v>
      </c>
      <c r="G47" s="298">
        <f>'dod3'!G47-'dod3 базовий'!G46</f>
        <v>0</v>
      </c>
      <c r="H47" s="298">
        <f>'dod3'!H47-'dod3 базовий'!H46</f>
        <v>0</v>
      </c>
      <c r="I47" s="303">
        <f>'dod3'!I47-'dod3 базовий'!I46</f>
        <v>0</v>
      </c>
      <c r="J47" s="298">
        <f>'dod3'!J47-'dod3 базовий'!J46</f>
        <v>715000</v>
      </c>
      <c r="K47" s="303">
        <f>'dod3'!K47-'dod3 базовий'!K46</f>
        <v>0</v>
      </c>
      <c r="L47" s="298">
        <f>'dod3'!L47-'dod3 базовий'!L46</f>
        <v>0</v>
      </c>
      <c r="M47" s="298">
        <f>'dod3'!M47-'dod3 базовий'!M46</f>
        <v>0</v>
      </c>
      <c r="N47" s="303">
        <f>'dod3'!N47-'dod3 базовий'!N46</f>
        <v>715000</v>
      </c>
      <c r="O47" s="298">
        <f>'dod3'!O47-'dod3 базовий'!O46</f>
        <v>715000</v>
      </c>
      <c r="P47" s="298">
        <f>'dod3'!P47-'dod3 базовий'!P46</f>
        <v>-2050300</v>
      </c>
    </row>
    <row r="48" spans="1:16" ht="91.5">
      <c r="A48" s="438" t="s">
        <v>802</v>
      </c>
      <c r="B48" s="437" t="s">
        <v>803</v>
      </c>
      <c r="C48" s="437"/>
      <c r="D48" s="437" t="s">
        <v>804</v>
      </c>
      <c r="E48" s="298">
        <f>'dod3'!E48-0</f>
        <v>9430700</v>
      </c>
      <c r="F48" s="303">
        <f>'dod3'!F48-0</f>
        <v>9430700</v>
      </c>
      <c r="G48" s="298">
        <f>'dod3'!G48-0</f>
        <v>0</v>
      </c>
      <c r="H48" s="298">
        <f>'dod3'!H48-0</f>
        <v>0</v>
      </c>
      <c r="I48" s="303">
        <f>'dod3'!I48-0</f>
        <v>0</v>
      </c>
      <c r="J48" s="298">
        <f>'dod3'!J48-0</f>
        <v>0</v>
      </c>
      <c r="K48" s="303">
        <f>'dod3'!K48-0</f>
        <v>0</v>
      </c>
      <c r="L48" s="298">
        <f>'dod3'!L48-0</f>
        <v>0</v>
      </c>
      <c r="M48" s="298">
        <f>'dod3'!M48-0</f>
        <v>0</v>
      </c>
      <c r="N48" s="303">
        <f>'dod3'!N48-0</f>
        <v>0</v>
      </c>
      <c r="O48" s="298">
        <f>'dod3'!O48-0</f>
        <v>0</v>
      </c>
      <c r="P48" s="298">
        <f>'dod3'!P48-0</f>
        <v>9430700</v>
      </c>
    </row>
    <row r="49" spans="1:16" ht="137.25">
      <c r="A49" s="217" t="s">
        <v>805</v>
      </c>
      <c r="B49" s="217" t="s">
        <v>806</v>
      </c>
      <c r="C49" s="437" t="s">
        <v>435</v>
      </c>
      <c r="D49" s="401" t="s">
        <v>807</v>
      </c>
      <c r="E49" s="298">
        <f>'dod3'!E49-0</f>
        <v>6595200</v>
      </c>
      <c r="F49" s="303">
        <f>'dod3'!F49-0</f>
        <v>6595200</v>
      </c>
      <c r="G49" s="298">
        <f>'dod3'!G49-0</f>
        <v>0</v>
      </c>
      <c r="H49" s="298">
        <f>'dod3'!H49-0</f>
        <v>0</v>
      </c>
      <c r="I49" s="303">
        <f>'dod3'!I49-0</f>
        <v>0</v>
      </c>
      <c r="J49" s="298">
        <f>'dod3'!J49-0</f>
        <v>0</v>
      </c>
      <c r="K49" s="303">
        <f>'dod3'!K49-0</f>
        <v>0</v>
      </c>
      <c r="L49" s="298">
        <f>'dod3'!L49-0</f>
        <v>0</v>
      </c>
      <c r="M49" s="298">
        <f>'dod3'!M49-0</f>
        <v>0</v>
      </c>
      <c r="N49" s="303">
        <f>'dod3'!N49-0</f>
        <v>0</v>
      </c>
      <c r="O49" s="298">
        <f>'dod3'!O49-0</f>
        <v>0</v>
      </c>
      <c r="P49" s="298">
        <f>'dod3'!P49-0</f>
        <v>6595200</v>
      </c>
    </row>
    <row r="50" spans="1:16" ht="137.25">
      <c r="A50" s="217" t="s">
        <v>810</v>
      </c>
      <c r="B50" s="217" t="s">
        <v>809</v>
      </c>
      <c r="C50" s="437" t="s">
        <v>435</v>
      </c>
      <c r="D50" s="401" t="s">
        <v>808</v>
      </c>
      <c r="E50" s="298">
        <f>'dod3'!E50-0</f>
        <v>2835500</v>
      </c>
      <c r="F50" s="303">
        <f>'dod3'!F50-0</f>
        <v>2835500</v>
      </c>
      <c r="G50" s="298">
        <f>'dod3'!G50-0</f>
        <v>0</v>
      </c>
      <c r="H50" s="298">
        <f>'dod3'!H50-0</f>
        <v>0</v>
      </c>
      <c r="I50" s="303">
        <f>'dod3'!I50-0</f>
        <v>0</v>
      </c>
      <c r="J50" s="298">
        <f>'dod3'!J50-0</f>
        <v>0</v>
      </c>
      <c r="K50" s="303">
        <f>'dod3'!K50-0</f>
        <v>0</v>
      </c>
      <c r="L50" s="298">
        <f>'dod3'!L50-0</f>
        <v>0</v>
      </c>
      <c r="M50" s="298">
        <f>'dod3'!M50-0</f>
        <v>0</v>
      </c>
      <c r="N50" s="303">
        <f>'dod3'!N50-0</f>
        <v>0</v>
      </c>
      <c r="O50" s="298">
        <f>'dod3'!O50-0</f>
        <v>0</v>
      </c>
      <c r="P50" s="298">
        <f>'dod3'!P50-0</f>
        <v>2835500</v>
      </c>
    </row>
    <row r="51" spans="1:16" ht="91.5" customHeight="1">
      <c r="A51" s="438" t="s">
        <v>433</v>
      </c>
      <c r="B51" s="437" t="s">
        <v>434</v>
      </c>
      <c r="C51" s="437"/>
      <c r="D51" s="437" t="s">
        <v>436</v>
      </c>
      <c r="E51" s="298">
        <f>'dod3'!E51-'dod3 базовий'!E47</f>
        <v>21000</v>
      </c>
      <c r="F51" s="303">
        <f>'dod3'!F51-'dod3 базовий'!F47</f>
        <v>21000</v>
      </c>
      <c r="G51" s="298">
        <f>'dod3'!G51-'dod3 базовий'!G47</f>
        <v>0</v>
      </c>
      <c r="H51" s="298">
        <f>'dod3'!H51-'dod3 базовий'!H47</f>
        <v>0</v>
      </c>
      <c r="I51" s="303">
        <f>'dod3'!I51-'dod3 базовий'!I47</f>
        <v>0</v>
      </c>
      <c r="J51" s="298">
        <f>'dod3'!J51-'dod3 базовий'!J47</f>
        <v>20000</v>
      </c>
      <c r="K51" s="303">
        <f>'dod3'!K51-'dod3 базовий'!K47</f>
        <v>0</v>
      </c>
      <c r="L51" s="298">
        <f>'dod3'!L51-'dod3 базовий'!L47</f>
        <v>0</v>
      </c>
      <c r="M51" s="298">
        <f>'dod3'!M51-'dod3 базовий'!M47</f>
        <v>0</v>
      </c>
      <c r="N51" s="303">
        <f>'dod3'!N51-'dod3 базовий'!N47</f>
        <v>20000</v>
      </c>
      <c r="O51" s="298">
        <f>'dod3'!O51-'dod3 базовий'!O47</f>
        <v>20000</v>
      </c>
      <c r="P51" s="298">
        <f>'dod3'!P51-'dod3 базовий'!P47</f>
        <v>41000</v>
      </c>
    </row>
    <row r="52" spans="1:16" ht="91.5">
      <c r="A52" s="217" t="s">
        <v>674</v>
      </c>
      <c r="B52" s="217" t="s">
        <v>676</v>
      </c>
      <c r="C52" s="437" t="s">
        <v>435</v>
      </c>
      <c r="D52" s="401" t="s">
        <v>672</v>
      </c>
      <c r="E52" s="298">
        <f>'dod3'!E52-'dod3 базовий'!E48</f>
        <v>21000</v>
      </c>
      <c r="F52" s="303">
        <f>'dod3'!F52-'dod3 базовий'!F48</f>
        <v>21000</v>
      </c>
      <c r="G52" s="298">
        <f>'dod3'!G52-'dod3 базовий'!G48</f>
        <v>0</v>
      </c>
      <c r="H52" s="298">
        <f>'dod3'!H52-'dod3 базовий'!H48</f>
        <v>0</v>
      </c>
      <c r="I52" s="303">
        <f>'dod3'!I52-'dod3 базовий'!I48</f>
        <v>0</v>
      </c>
      <c r="J52" s="298">
        <f>'dod3'!J52-'dod3 базовий'!J48</f>
        <v>20000</v>
      </c>
      <c r="K52" s="303">
        <f>'dod3'!K52-'dod3 базовий'!K48</f>
        <v>0</v>
      </c>
      <c r="L52" s="298">
        <f>'dod3'!L52-'dod3 базовий'!L48</f>
        <v>0</v>
      </c>
      <c r="M52" s="298">
        <f>'dod3'!M52-'dod3 базовий'!M48</f>
        <v>0</v>
      </c>
      <c r="N52" s="303">
        <f>'dod3'!N52-'dod3 базовий'!N48</f>
        <v>20000</v>
      </c>
      <c r="O52" s="298">
        <f>'dod3'!O52-'dod3 базовий'!O48</f>
        <v>20000</v>
      </c>
      <c r="P52" s="298">
        <f>'dod3'!P52-'dod3 базовий'!P48</f>
        <v>41000</v>
      </c>
    </row>
    <row r="53" spans="1:16" ht="91.5">
      <c r="A53" s="217" t="s">
        <v>675</v>
      </c>
      <c r="B53" s="217" t="s">
        <v>677</v>
      </c>
      <c r="C53" s="437" t="s">
        <v>435</v>
      </c>
      <c r="D53" s="401" t="s">
        <v>673</v>
      </c>
      <c r="E53" s="298">
        <f>'dod3'!E53-'dod3 базовий'!E49</f>
        <v>0</v>
      </c>
      <c r="F53" s="303">
        <f>'dod3'!F53-'dod3 базовий'!F49</f>
        <v>0</v>
      </c>
      <c r="G53" s="298">
        <f>'dod3'!G53-'dod3 базовий'!G49</f>
        <v>0</v>
      </c>
      <c r="H53" s="298">
        <f>'dod3'!H53-'dod3 базовий'!H49</f>
        <v>0</v>
      </c>
      <c r="I53" s="303">
        <f>'dod3'!I53-'dod3 базовий'!I49</f>
        <v>0</v>
      </c>
      <c r="J53" s="298">
        <f>'dod3'!J53-'dod3 базовий'!J49</f>
        <v>0</v>
      </c>
      <c r="K53" s="303">
        <f>'dod3'!K53-'dod3 базовий'!K49</f>
        <v>0</v>
      </c>
      <c r="L53" s="298">
        <f>'dod3'!L53-'dod3 базовий'!L49</f>
        <v>0</v>
      </c>
      <c r="M53" s="298">
        <f>'dod3'!M53-'dod3 базовий'!M49</f>
        <v>0</v>
      </c>
      <c r="N53" s="303">
        <f>'dod3'!N53-'dod3 базовий'!N49</f>
        <v>0</v>
      </c>
      <c r="O53" s="298">
        <f>'dod3'!O53-'dod3 базовий'!O49</f>
        <v>0</v>
      </c>
      <c r="P53" s="298">
        <f>'dod3'!P53-'dod3 базовий'!P49</f>
        <v>0</v>
      </c>
    </row>
    <row r="54" spans="1:16" ht="91.5">
      <c r="A54" s="438" t="s">
        <v>818</v>
      </c>
      <c r="B54" s="437" t="s">
        <v>819</v>
      </c>
      <c r="C54" s="437" t="s">
        <v>106</v>
      </c>
      <c r="D54" s="437" t="s">
        <v>820</v>
      </c>
      <c r="E54" s="298">
        <f>'dod3'!E54-0</f>
        <v>0</v>
      </c>
      <c r="F54" s="303">
        <f>'dod3'!F54-0</f>
        <v>0</v>
      </c>
      <c r="G54" s="298">
        <f>'dod3'!G54-0</f>
        <v>0</v>
      </c>
      <c r="H54" s="298">
        <f>'dod3'!H54-0</f>
        <v>0</v>
      </c>
      <c r="I54" s="303">
        <f>'dod3'!I54-0</f>
        <v>0</v>
      </c>
      <c r="J54" s="298">
        <f>'dod3'!J54-0</f>
        <v>452800</v>
      </c>
      <c r="K54" s="303">
        <f>'dod3'!K54-0</f>
        <v>0</v>
      </c>
      <c r="L54" s="298">
        <f>'dod3'!L54-0</f>
        <v>0</v>
      </c>
      <c r="M54" s="298">
        <f>'dod3'!M54-0</f>
        <v>0</v>
      </c>
      <c r="N54" s="303">
        <f>'dod3'!N54-0</f>
        <v>452800</v>
      </c>
      <c r="O54" s="298">
        <f>'dod3'!O54-0</f>
        <v>452800</v>
      </c>
      <c r="P54" s="298">
        <f>'dod3'!P54-0</f>
        <v>452800</v>
      </c>
    </row>
    <row r="55" spans="1:16" ht="180">
      <c r="A55" s="433" t="s">
        <v>318</v>
      </c>
      <c r="B55" s="433"/>
      <c r="C55" s="433"/>
      <c r="D55" s="449" t="s">
        <v>94</v>
      </c>
      <c r="E55" s="436">
        <f>E56</f>
        <v>3493943</v>
      </c>
      <c r="F55" s="436">
        <f>F56</f>
        <v>3493943</v>
      </c>
      <c r="G55" s="436">
        <f>G56</f>
        <v>75100</v>
      </c>
      <c r="H55" s="436">
        <f t="shared" ref="H55:O55" si="8">H56</f>
        <v>500</v>
      </c>
      <c r="I55" s="436">
        <f t="shared" si="8"/>
        <v>0</v>
      </c>
      <c r="J55" s="436">
        <f t="shared" si="8"/>
        <v>2898000</v>
      </c>
      <c r="K55" s="436">
        <f t="shared" si="8"/>
        <v>0</v>
      </c>
      <c r="L55" s="436">
        <f t="shared" si="8"/>
        <v>0</v>
      </c>
      <c r="M55" s="436">
        <f t="shared" si="8"/>
        <v>0</v>
      </c>
      <c r="N55" s="436">
        <f t="shared" si="8"/>
        <v>2898000</v>
      </c>
      <c r="O55" s="435">
        <f t="shared" si="8"/>
        <v>2898000</v>
      </c>
      <c r="P55" s="435">
        <f>P56</f>
        <v>6391943</v>
      </c>
    </row>
    <row r="56" spans="1:16" ht="180">
      <c r="A56" s="434" t="s">
        <v>319</v>
      </c>
      <c r="B56" s="434"/>
      <c r="C56" s="434"/>
      <c r="D56" s="452" t="s">
        <v>95</v>
      </c>
      <c r="E56" s="435">
        <f>E94+E86+E98+E89+E69+E78+E63+E57+E60+E96+E77+E85+E90+E93</f>
        <v>3493943</v>
      </c>
      <c r="F56" s="436">
        <f>F94+F86+F98+F89+F69+F78+F63+F57+F60+F96+F77+F85+F90+F93</f>
        <v>3493943</v>
      </c>
      <c r="G56" s="435">
        <f>G94+G86+G98+G89+G69+G78+G63+G57+G60+G96+G77+G85</f>
        <v>75100</v>
      </c>
      <c r="H56" s="435">
        <f>H94+H86+H98+H89+H69+H78+H63+H57+H60+H96+H77+H85</f>
        <v>500</v>
      </c>
      <c r="I56" s="436">
        <v>0</v>
      </c>
      <c r="J56" s="435">
        <f t="shared" ref="J56" si="9">K56+N56</f>
        <v>2898000</v>
      </c>
      <c r="K56" s="436">
        <f>K94+K86+K98+K89+K69+K78+K63+K57+K60+K96+K77+K85+K101</f>
        <v>0</v>
      </c>
      <c r="L56" s="435">
        <f>L94+L86+L98+L89+L69+L78+L63+L57+L60+L96+L77+L85</f>
        <v>0</v>
      </c>
      <c r="M56" s="435">
        <f>M94+M86+M98+M89+M69+M78+M63+M57+M60+M96+M77+M85</f>
        <v>0</v>
      </c>
      <c r="N56" s="436">
        <f>N94+N86+N98+N89+N69+N78+N63+N57+N60+N96+N77+N85+N101</f>
        <v>2898000</v>
      </c>
      <c r="O56" s="435">
        <f>O94+O86+O98+O89+O69+O78+O63+O57+O60+O96+O77+O85+O101</f>
        <v>2898000</v>
      </c>
      <c r="P56" s="435">
        <f t="shared" ref="P56" si="10">E56+J56</f>
        <v>6391943</v>
      </c>
    </row>
    <row r="57" spans="1:16" ht="320.25">
      <c r="A57" s="437" t="s">
        <v>461</v>
      </c>
      <c r="B57" s="437" t="s">
        <v>462</v>
      </c>
      <c r="C57" s="437"/>
      <c r="D57" s="437" t="s">
        <v>14</v>
      </c>
      <c r="E57" s="298">
        <f>'dod3'!E57-'dod3 базовий'!E52</f>
        <v>0</v>
      </c>
      <c r="F57" s="298">
        <f>'dod3'!F57-'dod3 базовий'!F52</f>
        <v>0</v>
      </c>
      <c r="G57" s="298">
        <f>'dod3'!G57-'dod3 базовий'!G52</f>
        <v>0</v>
      </c>
      <c r="H57" s="298">
        <f>'dod3'!H57-'dod3 базовий'!H52</f>
        <v>0</v>
      </c>
      <c r="I57" s="298">
        <f>'dod3'!I57-'dod3 базовий'!I52</f>
        <v>0</v>
      </c>
      <c r="J57" s="298">
        <f>'dod3'!J57-'dod3 базовий'!J52</f>
        <v>0</v>
      </c>
      <c r="K57" s="298">
        <f>'dod3'!K57-'dod3 базовий'!K52</f>
        <v>0</v>
      </c>
      <c r="L57" s="298">
        <f>'dod3'!L57-'dod3 базовий'!L52</f>
        <v>0</v>
      </c>
      <c r="M57" s="298">
        <f>'dod3'!M57-'dod3 базовий'!M52</f>
        <v>0</v>
      </c>
      <c r="N57" s="298">
        <f>'dod3'!N57-'dod3 базовий'!N52</f>
        <v>0</v>
      </c>
      <c r="O57" s="298">
        <f>'dod3'!O57-'dod3 базовий'!O52</f>
        <v>0</v>
      </c>
      <c r="P57" s="298">
        <f>'dod3'!P57-'dod3 базовий'!P52</f>
        <v>0</v>
      </c>
    </row>
    <row r="58" spans="1:16" ht="183">
      <c r="A58" s="325" t="s">
        <v>463</v>
      </c>
      <c r="B58" s="325" t="s">
        <v>464</v>
      </c>
      <c r="C58" s="325" t="s">
        <v>395</v>
      </c>
      <c r="D58" s="223" t="s">
        <v>460</v>
      </c>
      <c r="E58" s="298">
        <f>'dod3'!E58-'dod3 базовий'!E53</f>
        <v>0</v>
      </c>
      <c r="F58" s="298">
        <f>'dod3'!F58-'dod3 базовий'!F53</f>
        <v>0</v>
      </c>
      <c r="G58" s="298">
        <f>'dod3'!G58-'dod3 базовий'!G53</f>
        <v>0</v>
      </c>
      <c r="H58" s="298">
        <f>'dod3'!H58-'dod3 базовий'!H53</f>
        <v>0</v>
      </c>
      <c r="I58" s="298">
        <f>'dod3'!I58-'dod3 базовий'!I53</f>
        <v>0</v>
      </c>
      <c r="J58" s="298">
        <f>'dod3'!J58-'dod3 базовий'!J53</f>
        <v>0</v>
      </c>
      <c r="K58" s="298">
        <f>'dod3'!K58-'dod3 базовий'!K53</f>
        <v>0</v>
      </c>
      <c r="L58" s="298">
        <f>'dod3'!L58-'dod3 базовий'!L53</f>
        <v>0</v>
      </c>
      <c r="M58" s="298">
        <f>'dod3'!M58-'dod3 базовий'!M53</f>
        <v>0</v>
      </c>
      <c r="N58" s="298">
        <f>'dod3'!N58-'dod3 базовий'!N53</f>
        <v>0</v>
      </c>
      <c r="O58" s="298">
        <f>'dod3'!O58-'dod3 базовий'!O53</f>
        <v>0</v>
      </c>
      <c r="P58" s="298">
        <f>'dod3'!P58-'dod3 базовий'!P53</f>
        <v>0</v>
      </c>
    </row>
    <row r="59" spans="1:16" ht="183">
      <c r="A59" s="318" t="s">
        <v>486</v>
      </c>
      <c r="B59" s="325" t="s">
        <v>487</v>
      </c>
      <c r="C59" s="325" t="s">
        <v>120</v>
      </c>
      <c r="D59" s="217" t="s">
        <v>15</v>
      </c>
      <c r="E59" s="298">
        <f>'dod3'!E59-'dod3 базовий'!E54</f>
        <v>0</v>
      </c>
      <c r="F59" s="298">
        <f>'dod3'!F59-'dod3 базовий'!F54</f>
        <v>0</v>
      </c>
      <c r="G59" s="298">
        <f>'dod3'!G59-'dod3 базовий'!G54</f>
        <v>0</v>
      </c>
      <c r="H59" s="298">
        <f>'dod3'!H59-'dod3 базовий'!H54</f>
        <v>0</v>
      </c>
      <c r="I59" s="298">
        <f>'dod3'!I59-'dod3 базовий'!I54</f>
        <v>0</v>
      </c>
      <c r="J59" s="298">
        <f>'dod3'!J59-'dod3 базовий'!J54</f>
        <v>0</v>
      </c>
      <c r="K59" s="298">
        <f>'dod3'!K59-'dod3 базовий'!K54</f>
        <v>0</v>
      </c>
      <c r="L59" s="298">
        <f>'dod3'!L59-'dod3 базовий'!L54</f>
        <v>0</v>
      </c>
      <c r="M59" s="298">
        <f>'dod3'!M59-'dod3 базовий'!M54</f>
        <v>0</v>
      </c>
      <c r="N59" s="298">
        <f>'dod3'!N59-'dod3 базовий'!N54</f>
        <v>0</v>
      </c>
      <c r="O59" s="298">
        <f>'dod3'!O59-'dod3 базовий'!O54</f>
        <v>0</v>
      </c>
      <c r="P59" s="298">
        <f>'dod3'!P59-'dod3 базовий'!P54</f>
        <v>0</v>
      </c>
    </row>
    <row r="60" spans="1:16" ht="228.75">
      <c r="A60" s="438" t="s">
        <v>488</v>
      </c>
      <c r="B60" s="438" t="s">
        <v>489</v>
      </c>
      <c r="C60" s="217"/>
      <c r="D60" s="438" t="s">
        <v>16</v>
      </c>
      <c r="E60" s="298">
        <f>'dod3'!E60-'dod3 базовий'!E55</f>
        <v>0</v>
      </c>
      <c r="F60" s="298">
        <f>'dod3'!F60-'dod3 базовий'!F55</f>
        <v>0</v>
      </c>
      <c r="G60" s="298">
        <f>'dod3'!G60-'dod3 базовий'!G55</f>
        <v>0</v>
      </c>
      <c r="H60" s="298">
        <f>'dod3'!H60-'dod3 базовий'!H55</f>
        <v>0</v>
      </c>
      <c r="I60" s="298">
        <f>'dod3'!I60-'dod3 базовий'!I55</f>
        <v>0</v>
      </c>
      <c r="J60" s="298">
        <f>'dod3'!J60-'dod3 базовий'!J55</f>
        <v>0</v>
      </c>
      <c r="K60" s="298">
        <f>'dod3'!K60-'dod3 базовий'!K55</f>
        <v>0</v>
      </c>
      <c r="L60" s="298">
        <f>'dod3'!L60-'dod3 базовий'!L55</f>
        <v>0</v>
      </c>
      <c r="M60" s="298">
        <f>'dod3'!M60-'dod3 базовий'!M55</f>
        <v>0</v>
      </c>
      <c r="N60" s="298">
        <f>'dod3'!N60-'dod3 базовий'!N55</f>
        <v>0</v>
      </c>
      <c r="O60" s="298">
        <f>'dod3'!O60-'dod3 базовий'!O55</f>
        <v>0</v>
      </c>
      <c r="P60" s="298">
        <f>'dod3'!P60-'dod3 базовий'!P55</f>
        <v>0</v>
      </c>
    </row>
    <row r="61" spans="1:16" ht="274.5">
      <c r="A61" s="217" t="s">
        <v>491</v>
      </c>
      <c r="B61" s="217" t="s">
        <v>492</v>
      </c>
      <c r="C61" s="217" t="s">
        <v>395</v>
      </c>
      <c r="D61" s="224" t="s">
        <v>490</v>
      </c>
      <c r="E61" s="298">
        <f>'dod3'!E61-'dod3 базовий'!E56</f>
        <v>0</v>
      </c>
      <c r="F61" s="298">
        <f>'dod3'!F61-'dod3 базовий'!F56</f>
        <v>0</v>
      </c>
      <c r="G61" s="298">
        <f>'dod3'!G61-'dod3 базовий'!G56</f>
        <v>0</v>
      </c>
      <c r="H61" s="298">
        <f>'dod3'!H61-'dod3 базовий'!H56</f>
        <v>0</v>
      </c>
      <c r="I61" s="298">
        <f>'dod3'!I61-'dod3 базовий'!I56</f>
        <v>0</v>
      </c>
      <c r="J61" s="298">
        <f>'dod3'!J61-'dod3 базовий'!J56</f>
        <v>0</v>
      </c>
      <c r="K61" s="298">
        <f>'dod3'!K61-'dod3 базовий'!K56</f>
        <v>0</v>
      </c>
      <c r="L61" s="298">
        <f>'dod3'!L61-'dod3 базовий'!L56</f>
        <v>0</v>
      </c>
      <c r="M61" s="298">
        <f>'dod3'!M61-'dod3 базовий'!M56</f>
        <v>0</v>
      </c>
      <c r="N61" s="298">
        <f>'dod3'!N61-'dod3 базовий'!N56</f>
        <v>0</v>
      </c>
      <c r="O61" s="298">
        <f>'dod3'!O61-'dod3 базовий'!O56</f>
        <v>0</v>
      </c>
      <c r="P61" s="298">
        <f>'dod3'!P61-'dod3 базовий'!P56</f>
        <v>0</v>
      </c>
    </row>
    <row r="62" spans="1:16" ht="228.75">
      <c r="A62" s="217" t="s">
        <v>493</v>
      </c>
      <c r="B62" s="217" t="s">
        <v>494</v>
      </c>
      <c r="C62" s="224">
        <v>1060</v>
      </c>
      <c r="D62" s="319" t="s">
        <v>27</v>
      </c>
      <c r="E62" s="298">
        <f>'dod3'!E62-'dod3 базовий'!E57</f>
        <v>0</v>
      </c>
      <c r="F62" s="298">
        <f>'dod3'!F62-'dod3 базовий'!F57</f>
        <v>0</v>
      </c>
      <c r="G62" s="298">
        <f>'dod3'!G62-'dod3 базовий'!G57</f>
        <v>0</v>
      </c>
      <c r="H62" s="298">
        <f>'dod3'!H62-'dod3 базовий'!H57</f>
        <v>0</v>
      </c>
      <c r="I62" s="298">
        <f>'dod3'!I62-'dod3 базовий'!I57</f>
        <v>0</v>
      </c>
      <c r="J62" s="298">
        <f>'dod3'!J62-'dod3 базовий'!J57</f>
        <v>0</v>
      </c>
      <c r="K62" s="298">
        <f>'dod3'!K62-'dod3 базовий'!K57</f>
        <v>0</v>
      </c>
      <c r="L62" s="298">
        <f>'dod3'!L62-'dod3 базовий'!L57</f>
        <v>0</v>
      </c>
      <c r="M62" s="298">
        <f>'dod3'!M62-'dod3 базовий'!M57</f>
        <v>0</v>
      </c>
      <c r="N62" s="298">
        <f>'dod3'!N62-'dod3 базовий'!N57</f>
        <v>0</v>
      </c>
      <c r="O62" s="298">
        <f>'dod3'!O62-'dod3 базовий'!O57</f>
        <v>0</v>
      </c>
      <c r="P62" s="298">
        <f>'dod3'!P62-'dod3 базовий'!P57</f>
        <v>0</v>
      </c>
    </row>
    <row r="63" spans="1:16" ht="274.5">
      <c r="A63" s="437" t="s">
        <v>524</v>
      </c>
      <c r="B63" s="437" t="s">
        <v>525</v>
      </c>
      <c r="C63" s="437"/>
      <c r="D63" s="226" t="s">
        <v>523</v>
      </c>
      <c r="E63" s="298">
        <f>'dod3'!E63-'dod3 базовий'!E58</f>
        <v>0</v>
      </c>
      <c r="F63" s="298">
        <f>'dod3'!F63-'dod3 базовий'!F58</f>
        <v>0</v>
      </c>
      <c r="G63" s="298">
        <f>'dod3'!G63-'dod3 базовий'!G58</f>
        <v>0</v>
      </c>
      <c r="H63" s="298">
        <f>'dod3'!H63-'dod3 базовий'!H58</f>
        <v>0</v>
      </c>
      <c r="I63" s="298">
        <f>'dod3'!I63-'dod3 базовий'!I58</f>
        <v>0</v>
      </c>
      <c r="J63" s="298">
        <f>'dod3'!J63-'dod3 базовий'!J58</f>
        <v>0</v>
      </c>
      <c r="K63" s="298">
        <f>'dod3'!K63-'dod3 базовий'!K58</f>
        <v>0</v>
      </c>
      <c r="L63" s="298">
        <f>'dod3'!L63-'dod3 базовий'!L58</f>
        <v>0</v>
      </c>
      <c r="M63" s="298">
        <f>'dod3'!M63-'dod3 базовий'!M58</f>
        <v>0</v>
      </c>
      <c r="N63" s="298">
        <f>'dod3'!N63-'dod3 базовий'!N58</f>
        <v>0</v>
      </c>
      <c r="O63" s="298">
        <f>'dod3'!O63-'dod3 базовий'!O58</f>
        <v>0</v>
      </c>
      <c r="P63" s="298">
        <f>'dod3'!P63-'dod3 базовий'!P58</f>
        <v>0</v>
      </c>
    </row>
    <row r="64" spans="1:16" ht="137.25">
      <c r="A64" s="325" t="s">
        <v>526</v>
      </c>
      <c r="B64" s="325" t="s">
        <v>527</v>
      </c>
      <c r="C64" s="325" t="s">
        <v>395</v>
      </c>
      <c r="D64" s="225" t="s">
        <v>528</v>
      </c>
      <c r="E64" s="298">
        <f>'dod3'!E64-'dod3 базовий'!E59</f>
        <v>0</v>
      </c>
      <c r="F64" s="298">
        <f>'dod3'!F64-'dod3 базовий'!F59</f>
        <v>0</v>
      </c>
      <c r="G64" s="298">
        <f>'dod3'!G64-'dod3 базовий'!G59</f>
        <v>0</v>
      </c>
      <c r="H64" s="298">
        <f>'dod3'!H64-'dod3 базовий'!H59</f>
        <v>0</v>
      </c>
      <c r="I64" s="298">
        <f>'dod3'!I64-'dod3 базовий'!I59</f>
        <v>0</v>
      </c>
      <c r="J64" s="298">
        <f>'dod3'!J64-'dod3 базовий'!J59</f>
        <v>0</v>
      </c>
      <c r="K64" s="298">
        <f>'dod3'!K64-'dod3 базовий'!K59</f>
        <v>0</v>
      </c>
      <c r="L64" s="298">
        <f>'dod3'!L64-'dod3 базовий'!L59</f>
        <v>0</v>
      </c>
      <c r="M64" s="298">
        <f>'dod3'!M64-'dod3 базовий'!M59</f>
        <v>0</v>
      </c>
      <c r="N64" s="298">
        <f>'dod3'!N64-'dod3 базовий'!N59</f>
        <v>0</v>
      </c>
      <c r="O64" s="298">
        <f>'dod3'!O64-'dod3 базовий'!O59</f>
        <v>0</v>
      </c>
      <c r="P64" s="298">
        <f>'dod3'!P64-'dod3 базовий'!P59</f>
        <v>0</v>
      </c>
    </row>
    <row r="65" spans="1:16" ht="137.25">
      <c r="A65" s="217" t="s">
        <v>529</v>
      </c>
      <c r="B65" s="217" t="s">
        <v>530</v>
      </c>
      <c r="C65" s="217" t="s">
        <v>396</v>
      </c>
      <c r="D65" s="217" t="s">
        <v>24</v>
      </c>
      <c r="E65" s="298">
        <f>'dod3'!E65-'dod3 базовий'!E60</f>
        <v>0</v>
      </c>
      <c r="F65" s="298">
        <f>'dod3'!F65-'dod3 базовий'!F60</f>
        <v>0</v>
      </c>
      <c r="G65" s="298">
        <f>'dod3'!G65-'dod3 базовий'!G60</f>
        <v>0</v>
      </c>
      <c r="H65" s="298">
        <f>'dod3'!H65-'dod3 базовий'!H60</f>
        <v>0</v>
      </c>
      <c r="I65" s="298">
        <f>'dod3'!I65-'dod3 базовий'!I60</f>
        <v>0</v>
      </c>
      <c r="J65" s="298">
        <f>'dod3'!J65-'dod3 базовий'!J60</f>
        <v>0</v>
      </c>
      <c r="K65" s="298">
        <f>'dod3'!K65-'dod3 базовий'!K60</f>
        <v>0</v>
      </c>
      <c r="L65" s="298">
        <f>'dod3'!L65-'dod3 базовий'!L60</f>
        <v>0</v>
      </c>
      <c r="M65" s="298">
        <f>'dod3'!M65-'dod3 базовий'!M60</f>
        <v>0</v>
      </c>
      <c r="N65" s="298">
        <f>'dod3'!N65-'dod3 базовий'!N60</f>
        <v>0</v>
      </c>
      <c r="O65" s="298">
        <f>'dod3'!O65-'dod3 базовий'!O60</f>
        <v>0</v>
      </c>
      <c r="P65" s="298">
        <f>'dod3'!P65-'dod3 базовий'!P60</f>
        <v>0</v>
      </c>
    </row>
    <row r="66" spans="1:16" ht="183">
      <c r="A66" s="217" t="s">
        <v>532</v>
      </c>
      <c r="B66" s="217" t="s">
        <v>533</v>
      </c>
      <c r="C66" s="217" t="s">
        <v>396</v>
      </c>
      <c r="D66" s="325" t="s">
        <v>25</v>
      </c>
      <c r="E66" s="298">
        <f>'dod3'!E66-'dod3 базовий'!E61</f>
        <v>0</v>
      </c>
      <c r="F66" s="298">
        <f>'dod3'!F66-'dod3 базовий'!F61</f>
        <v>0</v>
      </c>
      <c r="G66" s="298">
        <f>'dod3'!G66-'dod3 базовий'!G61</f>
        <v>0</v>
      </c>
      <c r="H66" s="298">
        <f>'dod3'!H66-'dod3 базовий'!H61</f>
        <v>0</v>
      </c>
      <c r="I66" s="298">
        <f>'dod3'!I66-'dod3 базовий'!I61</f>
        <v>0</v>
      </c>
      <c r="J66" s="298">
        <f>'dod3'!J66-'dod3 базовий'!J61</f>
        <v>0</v>
      </c>
      <c r="K66" s="298">
        <f>'dod3'!K66-'dod3 базовий'!K61</f>
        <v>0</v>
      </c>
      <c r="L66" s="298">
        <f>'dod3'!L66-'dod3 базовий'!L61</f>
        <v>0</v>
      </c>
      <c r="M66" s="298">
        <f>'dod3'!M66-'dod3 базовий'!M61</f>
        <v>0</v>
      </c>
      <c r="N66" s="298">
        <f>'dod3'!N66-'dod3 базовий'!N61</f>
        <v>0</v>
      </c>
      <c r="O66" s="298">
        <f>'dod3'!O66-'dod3 базовий'!O61</f>
        <v>0</v>
      </c>
      <c r="P66" s="298">
        <f>'dod3'!P66-'dod3 базовий'!P61</f>
        <v>0</v>
      </c>
    </row>
    <row r="67" spans="1:16" ht="183">
      <c r="A67" s="325" t="s">
        <v>534</v>
      </c>
      <c r="B67" s="325" t="s">
        <v>531</v>
      </c>
      <c r="C67" s="325" t="s">
        <v>396</v>
      </c>
      <c r="D67" s="325" t="s">
        <v>26</v>
      </c>
      <c r="E67" s="298">
        <f>'dod3'!E67-'dod3 базовий'!E62</f>
        <v>0</v>
      </c>
      <c r="F67" s="298">
        <f>'dod3'!F67-'dod3 базовий'!F62</f>
        <v>0</v>
      </c>
      <c r="G67" s="298">
        <f>'dod3'!G67-'dod3 базовий'!G62</f>
        <v>0</v>
      </c>
      <c r="H67" s="298">
        <f>'dod3'!H67-'dod3 базовий'!H62</f>
        <v>0</v>
      </c>
      <c r="I67" s="298">
        <f>'dod3'!I67-'dod3 базовий'!I62</f>
        <v>0</v>
      </c>
      <c r="J67" s="298">
        <f>'dod3'!J67-'dod3 базовий'!J62</f>
        <v>0</v>
      </c>
      <c r="K67" s="298">
        <f>'dod3'!K67-'dod3 базовий'!K62</f>
        <v>0</v>
      </c>
      <c r="L67" s="298">
        <f>'dod3'!L67-'dod3 базовий'!L62</f>
        <v>0</v>
      </c>
      <c r="M67" s="298">
        <f>'dod3'!M67-'dod3 базовий'!M62</f>
        <v>0</v>
      </c>
      <c r="N67" s="298">
        <f>'dod3'!N67-'dod3 базовий'!N62</f>
        <v>0</v>
      </c>
      <c r="O67" s="298">
        <f>'dod3'!O67-'dod3 базовий'!O62</f>
        <v>0</v>
      </c>
      <c r="P67" s="298">
        <f>'dod3'!P67-'dod3 базовий'!P62</f>
        <v>0</v>
      </c>
    </row>
    <row r="68" spans="1:16" ht="183">
      <c r="A68" s="325" t="s">
        <v>535</v>
      </c>
      <c r="B68" s="325" t="s">
        <v>536</v>
      </c>
      <c r="C68" s="325" t="s">
        <v>396</v>
      </c>
      <c r="D68" s="325" t="s">
        <v>31</v>
      </c>
      <c r="E68" s="298">
        <f>'dod3'!E68-'dod3 базовий'!E63</f>
        <v>0</v>
      </c>
      <c r="F68" s="298">
        <f>'dod3'!F68-'dod3 базовий'!F63</f>
        <v>0</v>
      </c>
      <c r="G68" s="298">
        <f>'dod3'!G68-'dod3 базовий'!G63</f>
        <v>0</v>
      </c>
      <c r="H68" s="298">
        <f>'dod3'!H68-'dod3 базовий'!H63</f>
        <v>0</v>
      </c>
      <c r="I68" s="298">
        <f>'dod3'!I68-'dod3 базовий'!I63</f>
        <v>0</v>
      </c>
      <c r="J68" s="298">
        <f>'dod3'!J68-'dod3 базовий'!J63</f>
        <v>0</v>
      </c>
      <c r="K68" s="298">
        <f>'dod3'!K68-'dod3 базовий'!K63</f>
        <v>0</v>
      </c>
      <c r="L68" s="298">
        <f>'dod3'!L68-'dod3 базовий'!L63</f>
        <v>0</v>
      </c>
      <c r="M68" s="298">
        <f>'dod3'!M68-'dod3 базовий'!M63</f>
        <v>0</v>
      </c>
      <c r="N68" s="298">
        <f>'dod3'!N68-'dod3 базовий'!N63</f>
        <v>0</v>
      </c>
      <c r="O68" s="298">
        <f>'dod3'!O68-'dod3 базовий'!O63</f>
        <v>0</v>
      </c>
      <c r="P68" s="298">
        <f>'dod3'!P68-'dod3 базовий'!P63</f>
        <v>0</v>
      </c>
    </row>
    <row r="69" spans="1:16" ht="137.25">
      <c r="A69" s="438" t="s">
        <v>465</v>
      </c>
      <c r="B69" s="438" t="s">
        <v>466</v>
      </c>
      <c r="C69" s="438"/>
      <c r="D69" s="438" t="s">
        <v>751</v>
      </c>
      <c r="E69" s="298">
        <f>'dod3'!E69-'dod3 базовий'!E64</f>
        <v>0</v>
      </c>
      <c r="F69" s="298">
        <f>'dod3'!F69-'dod3 базовий'!F64</f>
        <v>0</v>
      </c>
      <c r="G69" s="298">
        <f>'dod3'!G69-'dod3 базовий'!G64</f>
        <v>0</v>
      </c>
      <c r="H69" s="298">
        <f>'dod3'!H69-'dod3 базовий'!H64</f>
        <v>0</v>
      </c>
      <c r="I69" s="298">
        <f>'dod3'!I69-'dod3 базовий'!I64</f>
        <v>0</v>
      </c>
      <c r="J69" s="298">
        <f>'dod3'!J69-'dod3 базовий'!J64</f>
        <v>0</v>
      </c>
      <c r="K69" s="298">
        <f>'dod3'!K69-'dod3 базовий'!K64</f>
        <v>0</v>
      </c>
      <c r="L69" s="298">
        <f>'dod3'!L69-'dod3 базовий'!L64</f>
        <v>0</v>
      </c>
      <c r="M69" s="298">
        <f>'dod3'!M69-'dod3 базовий'!M64</f>
        <v>0</v>
      </c>
      <c r="N69" s="298">
        <f>'dod3'!N69-'dod3 базовий'!N64</f>
        <v>0</v>
      </c>
      <c r="O69" s="298">
        <f>'dod3'!O69-'dod3 базовий'!O64</f>
        <v>0</v>
      </c>
      <c r="P69" s="298">
        <f>'dod3'!P69-'dod3 базовий'!P64</f>
        <v>0</v>
      </c>
    </row>
    <row r="70" spans="1:16" ht="91.5">
      <c r="A70" s="217" t="s">
        <v>475</v>
      </c>
      <c r="B70" s="217" t="s">
        <v>467</v>
      </c>
      <c r="C70" s="217" t="s">
        <v>363</v>
      </c>
      <c r="D70" s="217" t="s">
        <v>18</v>
      </c>
      <c r="E70" s="298">
        <f>'dod3'!E70-'dod3 базовий'!E65</f>
        <v>0</v>
      </c>
      <c r="F70" s="298">
        <f>'dod3'!F70-'dod3 базовий'!F65</f>
        <v>0</v>
      </c>
      <c r="G70" s="298">
        <f>'dod3'!G70-'dod3 базовий'!G65</f>
        <v>0</v>
      </c>
      <c r="H70" s="298">
        <f>'dod3'!H70-'dod3 базовий'!H65</f>
        <v>0</v>
      </c>
      <c r="I70" s="298">
        <f>'dod3'!I70-'dod3 базовий'!I65</f>
        <v>0</v>
      </c>
      <c r="J70" s="298">
        <f>'dod3'!J70-'dod3 базовий'!J65</f>
        <v>0</v>
      </c>
      <c r="K70" s="298">
        <f>'dod3'!K70-'dod3 базовий'!K65</f>
        <v>0</v>
      </c>
      <c r="L70" s="298">
        <f>'dod3'!L70-'dod3 базовий'!L65</f>
        <v>0</v>
      </c>
      <c r="M70" s="298">
        <f>'dod3'!M70-'dod3 базовий'!M65</f>
        <v>0</v>
      </c>
      <c r="N70" s="298">
        <f>'dod3'!N70-'dod3 базовий'!N65</f>
        <v>0</v>
      </c>
      <c r="O70" s="298">
        <f>'dod3'!O70-'dod3 базовий'!O65</f>
        <v>0</v>
      </c>
      <c r="P70" s="298">
        <f>'dod3'!P70-'dod3 базовий'!P65</f>
        <v>0</v>
      </c>
    </row>
    <row r="71" spans="1:16" ht="91.5">
      <c r="A71" s="217" t="s">
        <v>476</v>
      </c>
      <c r="B71" s="217" t="s">
        <v>468</v>
      </c>
      <c r="C71" s="217" t="s">
        <v>363</v>
      </c>
      <c r="D71" s="217" t="s">
        <v>474</v>
      </c>
      <c r="E71" s="298">
        <f>'dod3'!E71-'dod3 базовий'!E66</f>
        <v>0</v>
      </c>
      <c r="F71" s="298">
        <f>'dod3'!F71-'dod3 базовий'!F66</f>
        <v>0</v>
      </c>
      <c r="G71" s="298">
        <f>'dod3'!G71-'dod3 базовий'!G66</f>
        <v>0</v>
      </c>
      <c r="H71" s="298">
        <f>'dod3'!H71-'dod3 базовий'!H66</f>
        <v>0</v>
      </c>
      <c r="I71" s="298">
        <f>'dod3'!I71-'dod3 базовий'!I66</f>
        <v>0</v>
      </c>
      <c r="J71" s="298">
        <f>'dod3'!J71-'dod3 базовий'!J66</f>
        <v>0</v>
      </c>
      <c r="K71" s="298">
        <f>'dod3'!K71-'dod3 базовий'!K66</f>
        <v>0</v>
      </c>
      <c r="L71" s="298">
        <f>'dod3'!L71-'dod3 базовий'!L66</f>
        <v>0</v>
      </c>
      <c r="M71" s="298">
        <f>'dod3'!M71-'dod3 базовий'!M66</f>
        <v>0</v>
      </c>
      <c r="N71" s="298">
        <f>'dod3'!N71-'dod3 базовий'!N66</f>
        <v>0</v>
      </c>
      <c r="O71" s="298">
        <f>'dod3'!O71-'dod3 базовий'!O66</f>
        <v>0</v>
      </c>
      <c r="P71" s="298">
        <f>'dod3'!P71-'dod3 базовий'!P66</f>
        <v>0</v>
      </c>
    </row>
    <row r="72" spans="1:16" ht="91.5">
      <c r="A72" s="217" t="s">
        <v>477</v>
      </c>
      <c r="B72" s="217" t="s">
        <v>469</v>
      </c>
      <c r="C72" s="217" t="s">
        <v>363</v>
      </c>
      <c r="D72" s="217" t="s">
        <v>19</v>
      </c>
      <c r="E72" s="298">
        <f>'dod3'!E72-'dod3 базовий'!E67</f>
        <v>0</v>
      </c>
      <c r="F72" s="298">
        <f>'dod3'!F72-'dod3 базовий'!F67</f>
        <v>0</v>
      </c>
      <c r="G72" s="298">
        <f>'dod3'!G72-'dod3 базовий'!G67</f>
        <v>0</v>
      </c>
      <c r="H72" s="298">
        <f>'dod3'!H72-'dod3 базовий'!H67</f>
        <v>0</v>
      </c>
      <c r="I72" s="298">
        <f>'dod3'!I72-'dod3 базовий'!I67</f>
        <v>0</v>
      </c>
      <c r="J72" s="298">
        <f>'dod3'!J72-'dod3 базовий'!J67</f>
        <v>0</v>
      </c>
      <c r="K72" s="298">
        <f>'dod3'!K72-'dod3 базовий'!K67</f>
        <v>0</v>
      </c>
      <c r="L72" s="298">
        <f>'dod3'!L72-'dod3 базовий'!L67</f>
        <v>0</v>
      </c>
      <c r="M72" s="298">
        <f>'dod3'!M72-'dod3 базовий'!M67</f>
        <v>0</v>
      </c>
      <c r="N72" s="298">
        <f>'dod3'!N72-'dod3 базовий'!N67</f>
        <v>0</v>
      </c>
      <c r="O72" s="298">
        <f>'dod3'!O72-'dod3 базовий'!O67</f>
        <v>0</v>
      </c>
      <c r="P72" s="298">
        <f>'dod3'!P72-'dod3 базовий'!P67</f>
        <v>0</v>
      </c>
    </row>
    <row r="73" spans="1:16" ht="137.25">
      <c r="A73" s="217" t="s">
        <v>478</v>
      </c>
      <c r="B73" s="217" t="s">
        <v>470</v>
      </c>
      <c r="C73" s="217" t="s">
        <v>363</v>
      </c>
      <c r="D73" s="217" t="s">
        <v>20</v>
      </c>
      <c r="E73" s="298">
        <f>'dod3'!E73-'dod3 базовий'!E68</f>
        <v>0</v>
      </c>
      <c r="F73" s="298">
        <f>'dod3'!F73-'dod3 базовий'!F68</f>
        <v>0</v>
      </c>
      <c r="G73" s="298">
        <f>'dod3'!G73-'dod3 базовий'!G68</f>
        <v>0</v>
      </c>
      <c r="H73" s="298">
        <f>'dod3'!H73-'dod3 базовий'!H68</f>
        <v>0</v>
      </c>
      <c r="I73" s="298">
        <f>'dod3'!I73-'dod3 базовий'!I68</f>
        <v>0</v>
      </c>
      <c r="J73" s="298">
        <f>'dod3'!J73-'dod3 базовий'!J68</f>
        <v>0</v>
      </c>
      <c r="K73" s="298">
        <f>'dod3'!K73-'dod3 базовий'!K68</f>
        <v>0</v>
      </c>
      <c r="L73" s="298">
        <f>'dod3'!L73-'dod3 базовий'!L68</f>
        <v>0</v>
      </c>
      <c r="M73" s="298">
        <f>'dod3'!M73-'dod3 базовий'!M68</f>
        <v>0</v>
      </c>
      <c r="N73" s="298">
        <f>'dod3'!N73-'dod3 базовий'!N68</f>
        <v>0</v>
      </c>
      <c r="O73" s="298">
        <f>'dod3'!O73-'dod3 базовий'!O68</f>
        <v>0</v>
      </c>
      <c r="P73" s="298">
        <f>'dod3'!P73-'dod3 базовий'!P68</f>
        <v>0</v>
      </c>
    </row>
    <row r="74" spans="1:16" ht="91.5">
      <c r="A74" s="217" t="s">
        <v>479</v>
      </c>
      <c r="B74" s="217" t="s">
        <v>471</v>
      </c>
      <c r="C74" s="217" t="s">
        <v>363</v>
      </c>
      <c r="D74" s="217" t="s">
        <v>21</v>
      </c>
      <c r="E74" s="298">
        <f>'dod3'!E74-'dod3 базовий'!E69</f>
        <v>0</v>
      </c>
      <c r="F74" s="298">
        <f>'dod3'!F74-'dod3 базовий'!F69</f>
        <v>0</v>
      </c>
      <c r="G74" s="298">
        <f>'dod3'!G74-'dod3 базовий'!G69</f>
        <v>0</v>
      </c>
      <c r="H74" s="298">
        <f>'dod3'!H74-'dod3 базовий'!H69</f>
        <v>0</v>
      </c>
      <c r="I74" s="298">
        <f>'dod3'!I74-'dod3 базовий'!I69</f>
        <v>0</v>
      </c>
      <c r="J74" s="298">
        <f>'dod3'!J74-'dod3 базовий'!J69</f>
        <v>0</v>
      </c>
      <c r="K74" s="298">
        <f>'dod3'!K74-'dod3 базовий'!K69</f>
        <v>0</v>
      </c>
      <c r="L74" s="298">
        <f>'dod3'!L74-'dod3 базовий'!L69</f>
        <v>0</v>
      </c>
      <c r="M74" s="298">
        <f>'dod3'!M74-'dod3 базовий'!M69</f>
        <v>0</v>
      </c>
      <c r="N74" s="298">
        <f>'dod3'!N74-'dod3 базовий'!N69</f>
        <v>0</v>
      </c>
      <c r="O74" s="298">
        <f>'dod3'!O74-'dod3 базовий'!O69</f>
        <v>0</v>
      </c>
      <c r="P74" s="298">
        <f>'dod3'!P74-'dod3 базовий'!P69</f>
        <v>0</v>
      </c>
    </row>
    <row r="75" spans="1:16" ht="91.5">
      <c r="A75" s="217" t="s">
        <v>480</v>
      </c>
      <c r="B75" s="217" t="s">
        <v>472</v>
      </c>
      <c r="C75" s="217" t="s">
        <v>363</v>
      </c>
      <c r="D75" s="217" t="s">
        <v>22</v>
      </c>
      <c r="E75" s="298">
        <f>'dod3'!E75-'dod3 базовий'!E70</f>
        <v>0</v>
      </c>
      <c r="F75" s="298">
        <f>'dod3'!F75-'dod3 базовий'!F70</f>
        <v>0</v>
      </c>
      <c r="G75" s="298">
        <f>'dod3'!G75-'dod3 базовий'!G70</f>
        <v>0</v>
      </c>
      <c r="H75" s="298">
        <f>'dod3'!H75-'dod3 базовий'!H70</f>
        <v>0</v>
      </c>
      <c r="I75" s="298">
        <f>'dod3'!I75-'dod3 базовий'!I70</f>
        <v>0</v>
      </c>
      <c r="J75" s="298">
        <f>'dod3'!J75-'dod3 базовий'!J70</f>
        <v>0</v>
      </c>
      <c r="K75" s="298">
        <f>'dod3'!K75-'dod3 базовий'!K70</f>
        <v>0</v>
      </c>
      <c r="L75" s="298">
        <f>'dod3'!L75-'dod3 базовий'!L70</f>
        <v>0</v>
      </c>
      <c r="M75" s="298">
        <f>'dod3'!M75-'dod3 базовий'!M70</f>
        <v>0</v>
      </c>
      <c r="N75" s="298">
        <f>'dod3'!N75-'dod3 базовий'!N70</f>
        <v>0</v>
      </c>
      <c r="O75" s="298">
        <f>'dod3'!O75-'dod3 базовий'!O70</f>
        <v>0</v>
      </c>
      <c r="P75" s="298">
        <f>'dod3'!P75-'dod3 базовий'!P70</f>
        <v>0</v>
      </c>
    </row>
    <row r="76" spans="1:16" ht="137.25">
      <c r="A76" s="217" t="s">
        <v>481</v>
      </c>
      <c r="B76" s="217" t="s">
        <v>473</v>
      </c>
      <c r="C76" s="217" t="s">
        <v>363</v>
      </c>
      <c r="D76" s="217" t="s">
        <v>23</v>
      </c>
      <c r="E76" s="298">
        <f>'dod3'!E76-'dod3 базовий'!E71</f>
        <v>0</v>
      </c>
      <c r="F76" s="298">
        <f>'dod3'!F76-'dod3 базовий'!F71</f>
        <v>0</v>
      </c>
      <c r="G76" s="298">
        <f>'dod3'!G76-'dod3 базовий'!G71</f>
        <v>0</v>
      </c>
      <c r="H76" s="298">
        <f>'dod3'!H76-'dod3 базовий'!H71</f>
        <v>0</v>
      </c>
      <c r="I76" s="298">
        <f>'dod3'!I76-'dod3 базовий'!I71</f>
        <v>0</v>
      </c>
      <c r="J76" s="298">
        <f>'dod3'!J76-'dod3 базовий'!J71</f>
        <v>0</v>
      </c>
      <c r="K76" s="298">
        <f>'dod3'!K76-'dod3 базовий'!K71</f>
        <v>0</v>
      </c>
      <c r="L76" s="298">
        <f>'dod3'!L76-'dod3 базовий'!L71</f>
        <v>0</v>
      </c>
      <c r="M76" s="298">
        <f>'dod3'!M76-'dod3 базовий'!M71</f>
        <v>0</v>
      </c>
      <c r="N76" s="298">
        <f>'dod3'!N76-'dod3 базовий'!N71</f>
        <v>0</v>
      </c>
      <c r="O76" s="298">
        <f>'dod3'!O76-'dod3 базовий'!O71</f>
        <v>0</v>
      </c>
      <c r="P76" s="298">
        <f>'dod3'!P76-'dod3 базовий'!P71</f>
        <v>0</v>
      </c>
    </row>
    <row r="77" spans="1:16" ht="183">
      <c r="A77" s="438" t="s">
        <v>495</v>
      </c>
      <c r="B77" s="438" t="s">
        <v>482</v>
      </c>
      <c r="C77" s="438" t="s">
        <v>396</v>
      </c>
      <c r="D77" s="438" t="s">
        <v>17</v>
      </c>
      <c r="E77" s="298">
        <f>'dod3'!E77-'dod3 базовий'!E72</f>
        <v>0</v>
      </c>
      <c r="F77" s="298">
        <f>'dod3'!F77-'dod3 базовий'!F72</f>
        <v>0</v>
      </c>
      <c r="G77" s="298">
        <f>'dod3'!G77-'dod3 базовий'!G72</f>
        <v>0</v>
      </c>
      <c r="H77" s="298">
        <f>'dod3'!H77-'dod3 базовий'!H72</f>
        <v>0</v>
      </c>
      <c r="I77" s="298">
        <f>'dod3'!I77-'dod3 базовий'!I72</f>
        <v>0</v>
      </c>
      <c r="J77" s="298">
        <f>'dod3'!J77-'dod3 базовий'!J72</f>
        <v>0</v>
      </c>
      <c r="K77" s="298">
        <f>'dod3'!K77-'dod3 базовий'!K72</f>
        <v>0</v>
      </c>
      <c r="L77" s="298">
        <f>'dod3'!L77-'dod3 базовий'!L72</f>
        <v>0</v>
      </c>
      <c r="M77" s="298">
        <f>'dod3'!M77-'dod3 базовий'!M72</f>
        <v>0</v>
      </c>
      <c r="N77" s="298">
        <f>'dod3'!N77-'dod3 базовий'!N72</f>
        <v>0</v>
      </c>
      <c r="O77" s="298">
        <f>'dod3'!O77-'dod3 базовий'!O72</f>
        <v>0</v>
      </c>
      <c r="P77" s="298">
        <f>'dod3'!P77-'dod3 базовий'!P72</f>
        <v>0</v>
      </c>
    </row>
    <row r="78" spans="1:16" ht="361.5" customHeight="1">
      <c r="A78" s="565" t="s">
        <v>485</v>
      </c>
      <c r="B78" s="566" t="s">
        <v>483</v>
      </c>
      <c r="C78" s="566"/>
      <c r="D78" s="412" t="s">
        <v>755</v>
      </c>
      <c r="E78" s="634">
        <f t="shared" ref="E78" si="11">F78</f>
        <v>0</v>
      </c>
      <c r="F78" s="563">
        <f>SUM(F80:F84)</f>
        <v>0</v>
      </c>
      <c r="G78" s="563"/>
      <c r="H78" s="563"/>
      <c r="I78" s="563"/>
      <c r="J78" s="632">
        <f t="shared" ref="J78" si="12">K78+N78</f>
        <v>0</v>
      </c>
      <c r="K78" s="563"/>
      <c r="L78" s="563"/>
      <c r="M78" s="563"/>
      <c r="N78" s="563">
        <f t="shared" ref="N78" si="13">O78</f>
        <v>0</v>
      </c>
      <c r="O78" s="563"/>
      <c r="P78" s="632">
        <f t="shared" ref="P78" si="14">E78+J78</f>
        <v>0</v>
      </c>
    </row>
    <row r="79" spans="1:16" ht="336" customHeight="1">
      <c r="A79" s="562"/>
      <c r="B79" s="567"/>
      <c r="C79" s="567"/>
      <c r="D79" s="398" t="s">
        <v>756</v>
      </c>
      <c r="E79" s="635"/>
      <c r="F79" s="564"/>
      <c r="G79" s="633"/>
      <c r="H79" s="633"/>
      <c r="I79" s="564"/>
      <c r="J79" s="633"/>
      <c r="K79" s="564"/>
      <c r="L79" s="633"/>
      <c r="M79" s="633"/>
      <c r="N79" s="564"/>
      <c r="O79" s="633"/>
      <c r="P79" s="633"/>
    </row>
    <row r="80" spans="1:16" ht="183">
      <c r="A80" s="217" t="s">
        <v>757</v>
      </c>
      <c r="B80" s="217" t="s">
        <v>758</v>
      </c>
      <c r="C80" s="217" t="s">
        <v>387</v>
      </c>
      <c r="D80" s="217" t="s">
        <v>754</v>
      </c>
      <c r="E80" s="303">
        <f>'dod3'!E80-'dod3 базовий'!E75</f>
        <v>0</v>
      </c>
      <c r="F80" s="303">
        <f>'dod3'!F80-'dod3 базовий'!F75</f>
        <v>0</v>
      </c>
      <c r="G80" s="303">
        <f>'dod3'!G80-'dod3 базовий'!G75</f>
        <v>0</v>
      </c>
      <c r="H80" s="303">
        <f>'dod3'!H80-'dod3 базовий'!H75</f>
        <v>0</v>
      </c>
      <c r="I80" s="303">
        <f>'dod3'!I80-'dod3 базовий'!I75</f>
        <v>0</v>
      </c>
      <c r="J80" s="303">
        <f>'dod3'!J80-'dod3 базовий'!J75</f>
        <v>0</v>
      </c>
      <c r="K80" s="303">
        <f>'dod3'!K80-'dod3 базовий'!K75</f>
        <v>0</v>
      </c>
      <c r="L80" s="303">
        <f>'dod3'!L80-'dod3 базовий'!L75</f>
        <v>0</v>
      </c>
      <c r="M80" s="303">
        <f>'dod3'!M80-'dod3 базовий'!M75</f>
        <v>0</v>
      </c>
      <c r="N80" s="303">
        <f>'dod3'!N80-'dod3 базовий'!N75</f>
        <v>0</v>
      </c>
      <c r="O80" s="303">
        <f>'dod3'!O80-'dod3 базовий'!O75</f>
        <v>0</v>
      </c>
      <c r="P80" s="303">
        <f>'dod3'!P80-'dod3 базовий'!P75</f>
        <v>0</v>
      </c>
    </row>
    <row r="81" spans="1:16" ht="228.75">
      <c r="A81" s="217" t="s">
        <v>872</v>
      </c>
      <c r="B81" s="217" t="s">
        <v>873</v>
      </c>
      <c r="C81" s="217" t="s">
        <v>387</v>
      </c>
      <c r="D81" s="217" t="s">
        <v>874</v>
      </c>
      <c r="E81" s="303">
        <f>'dod3'!E81-0</f>
        <v>10763396.4</v>
      </c>
      <c r="F81" s="303">
        <f>'dod3'!F81-0</f>
        <v>10763396.4</v>
      </c>
      <c r="G81" s="303">
        <f>'dod3'!G81-0</f>
        <v>0</v>
      </c>
      <c r="H81" s="303">
        <f>'dod3'!H81-0</f>
        <v>0</v>
      </c>
      <c r="I81" s="303">
        <f>'dod3'!I81-0</f>
        <v>0</v>
      </c>
      <c r="J81" s="303">
        <f>'dod3'!J81-0</f>
        <v>0</v>
      </c>
      <c r="K81" s="303">
        <f>'dod3'!K81-0</f>
        <v>0</v>
      </c>
      <c r="L81" s="303">
        <f>'dod3'!L81-0</f>
        <v>0</v>
      </c>
      <c r="M81" s="303">
        <f>'dod3'!M81-0</f>
        <v>0</v>
      </c>
      <c r="N81" s="303">
        <f>'dod3'!N81-0</f>
        <v>0</v>
      </c>
      <c r="O81" s="303">
        <f>'dod3'!O81-0</f>
        <v>0</v>
      </c>
      <c r="P81" s="303">
        <f>'dod3'!P81-0</f>
        <v>10763396.4</v>
      </c>
    </row>
    <row r="82" spans="1:16" ht="183">
      <c r="A82" s="217" t="s">
        <v>752</v>
      </c>
      <c r="B82" s="217" t="s">
        <v>753</v>
      </c>
      <c r="C82" s="217" t="s">
        <v>387</v>
      </c>
      <c r="D82" s="217" t="s">
        <v>678</v>
      </c>
      <c r="E82" s="303">
        <f>'dod3'!E82-'dod3 базовий'!E76</f>
        <v>0</v>
      </c>
      <c r="F82" s="303">
        <f>'dod3'!F82-'dod3 базовий'!F76</f>
        <v>0</v>
      </c>
      <c r="G82" s="303">
        <f>'dod3'!G82-'dod3 базовий'!G76</f>
        <v>0</v>
      </c>
      <c r="H82" s="303">
        <f>'dod3'!H82-'dod3 базовий'!H76</f>
        <v>0</v>
      </c>
      <c r="I82" s="303">
        <f>'dod3'!I82-'dod3 базовий'!I76</f>
        <v>0</v>
      </c>
      <c r="J82" s="303">
        <f>'dod3'!J82-'dod3 базовий'!J76</f>
        <v>0</v>
      </c>
      <c r="K82" s="303">
        <f>'dod3'!K82-'dod3 базовий'!K76</f>
        <v>0</v>
      </c>
      <c r="L82" s="303">
        <f>'dod3'!L82-'dod3 базовий'!L76</f>
        <v>0</v>
      </c>
      <c r="M82" s="303">
        <f>'dod3'!M82-'dod3 базовий'!M76</f>
        <v>0</v>
      </c>
      <c r="N82" s="303">
        <f>'dod3'!N82-'dod3 базовий'!N76</f>
        <v>0</v>
      </c>
      <c r="O82" s="303">
        <f>'dod3'!O82-'dod3 базовий'!O76</f>
        <v>0</v>
      </c>
      <c r="P82" s="303">
        <f>'dod3'!P82-'dod3 базовий'!P76</f>
        <v>0</v>
      </c>
    </row>
    <row r="83" spans="1:16" ht="228.75">
      <c r="A83" s="217" t="s">
        <v>761</v>
      </c>
      <c r="B83" s="217" t="s">
        <v>762</v>
      </c>
      <c r="C83" s="217" t="s">
        <v>387</v>
      </c>
      <c r="D83" s="217" t="s">
        <v>763</v>
      </c>
      <c r="E83" s="303">
        <f>'dod3'!E83-'dod3 базовий'!E77</f>
        <v>-10763396.4</v>
      </c>
      <c r="F83" s="303">
        <f>'dod3'!F83-'dod3 базовий'!F77</f>
        <v>-10763396.4</v>
      </c>
      <c r="G83" s="303">
        <f>'dod3'!G83-'dod3 базовий'!G77</f>
        <v>0</v>
      </c>
      <c r="H83" s="303">
        <f>'dod3'!H83-'dod3 базовий'!H77</f>
        <v>0</v>
      </c>
      <c r="I83" s="303">
        <f>'dod3'!I83-'dod3 базовий'!I77</f>
        <v>0</v>
      </c>
      <c r="J83" s="303">
        <f>'dod3'!J83-'dod3 базовий'!J77</f>
        <v>0</v>
      </c>
      <c r="K83" s="303">
        <f>'dod3'!K83-'dod3 базовий'!K77</f>
        <v>0</v>
      </c>
      <c r="L83" s="303">
        <f>'dod3'!L83-'dod3 базовий'!L77</f>
        <v>0</v>
      </c>
      <c r="M83" s="303">
        <f>'dod3'!M83-'dod3 базовий'!M77</f>
        <v>0</v>
      </c>
      <c r="N83" s="303">
        <f>'dod3'!N83-'dod3 базовий'!N77</f>
        <v>0</v>
      </c>
      <c r="O83" s="303">
        <f>'dod3'!O83-'dod3 базовий'!O77</f>
        <v>0</v>
      </c>
      <c r="P83" s="303">
        <f>'dod3'!P83-'dod3 базовий'!P77</f>
        <v>-10763396.4</v>
      </c>
    </row>
    <row r="84" spans="1:16" ht="320.25">
      <c r="A84" s="217" t="s">
        <v>759</v>
      </c>
      <c r="B84" s="217" t="s">
        <v>760</v>
      </c>
      <c r="C84" s="217" t="s">
        <v>387</v>
      </c>
      <c r="D84" s="217" t="s">
        <v>764</v>
      </c>
      <c r="E84" s="303">
        <f>'dod3'!E84-'dod3 базовий'!E78</f>
        <v>0</v>
      </c>
      <c r="F84" s="303">
        <f>'dod3'!F84-'dod3 базовий'!F78</f>
        <v>0</v>
      </c>
      <c r="G84" s="303">
        <f>'dod3'!G84-'dod3 базовий'!G78</f>
        <v>0</v>
      </c>
      <c r="H84" s="303">
        <f>'dod3'!H84-'dod3 базовий'!H78</f>
        <v>0</v>
      </c>
      <c r="I84" s="303">
        <f>'dod3'!I84-'dod3 базовий'!I78</f>
        <v>0</v>
      </c>
      <c r="J84" s="303">
        <f>'dod3'!J84-'dod3 базовий'!J78</f>
        <v>0</v>
      </c>
      <c r="K84" s="303">
        <f>'dod3'!K84-'dod3 базовий'!K78</f>
        <v>0</v>
      </c>
      <c r="L84" s="303">
        <f>'dod3'!L84-'dod3 базовий'!L78</f>
        <v>0</v>
      </c>
      <c r="M84" s="303">
        <f>'dod3'!M84-'dod3 базовий'!M78</f>
        <v>0</v>
      </c>
      <c r="N84" s="303">
        <f>'dod3'!N84-'dod3 базовий'!N78</f>
        <v>0</v>
      </c>
      <c r="O84" s="303">
        <f>'dod3'!O84-'dod3 базовий'!O78</f>
        <v>0</v>
      </c>
      <c r="P84" s="303">
        <f>'dod3'!P84-'dod3 базовий'!P78</f>
        <v>0</v>
      </c>
    </row>
    <row r="85" spans="1:16" ht="163.5" customHeight="1">
      <c r="A85" s="438" t="s">
        <v>496</v>
      </c>
      <c r="B85" s="438" t="s">
        <v>484</v>
      </c>
      <c r="C85" s="438" t="s">
        <v>395</v>
      </c>
      <c r="D85" s="438" t="s">
        <v>679</v>
      </c>
      <c r="E85" s="303">
        <f>'dod3'!E85-'dod3 базовий'!E79</f>
        <v>0</v>
      </c>
      <c r="F85" s="303">
        <f>'dod3'!F85-'dod3 базовий'!F79</f>
        <v>0</v>
      </c>
      <c r="G85" s="303">
        <f>'dod3'!G85-'dod3 базовий'!G79</f>
        <v>0</v>
      </c>
      <c r="H85" s="303">
        <f>'dod3'!H85-'dod3 базовий'!H79</f>
        <v>0</v>
      </c>
      <c r="I85" s="303">
        <f>'dod3'!I85-'dod3 базовий'!I79</f>
        <v>0</v>
      </c>
      <c r="J85" s="303">
        <f>'dod3'!J85-'dod3 базовий'!J79</f>
        <v>0</v>
      </c>
      <c r="K85" s="303">
        <f>'dod3'!K85-'dod3 базовий'!K79</f>
        <v>0</v>
      </c>
      <c r="L85" s="303">
        <f>'dod3'!L85-'dod3 базовий'!L79</f>
        <v>0</v>
      </c>
      <c r="M85" s="303">
        <f>'dod3'!M85-'dod3 базовий'!M79</f>
        <v>0</v>
      </c>
      <c r="N85" s="303">
        <f>'dod3'!N85-'dod3 базовий'!N79</f>
        <v>0</v>
      </c>
      <c r="O85" s="303">
        <f>'dod3'!O85-'dod3 базовий'!O79</f>
        <v>0</v>
      </c>
      <c r="P85" s="303">
        <f>'dod3'!P85-'dod3 базовий'!P79</f>
        <v>0</v>
      </c>
    </row>
    <row r="86" spans="1:16" ht="274.5">
      <c r="A86" s="438" t="s">
        <v>517</v>
      </c>
      <c r="B86" s="438" t="s">
        <v>518</v>
      </c>
      <c r="C86" s="438"/>
      <c r="D86" s="438" t="s">
        <v>680</v>
      </c>
      <c r="E86" s="303">
        <f>'dod3'!E86-'dod3 базовий'!E80</f>
        <v>310643</v>
      </c>
      <c r="F86" s="303">
        <f>'dod3'!F86-'dod3 базовий'!F80</f>
        <v>310643</v>
      </c>
      <c r="G86" s="303">
        <f>'dod3'!G86-'dod3 базовий'!G80</f>
        <v>75100</v>
      </c>
      <c r="H86" s="303">
        <f>'dod3'!H86-'dod3 базовий'!H80</f>
        <v>500</v>
      </c>
      <c r="I86" s="303">
        <f>'dod3'!I86-'dod3 базовий'!I80</f>
        <v>0</v>
      </c>
      <c r="J86" s="303">
        <f>'dod3'!J86-'dod3 базовий'!J80</f>
        <v>292200</v>
      </c>
      <c r="K86" s="303">
        <f>'dod3'!K86-'dod3 базовий'!K80</f>
        <v>0</v>
      </c>
      <c r="L86" s="303">
        <f>'dod3'!L86-'dod3 базовий'!L80</f>
        <v>0</v>
      </c>
      <c r="M86" s="303">
        <f>'dod3'!M86-'dod3 базовий'!M80</f>
        <v>0</v>
      </c>
      <c r="N86" s="303">
        <f>'dod3'!N86-'dod3 базовий'!N80</f>
        <v>292200</v>
      </c>
      <c r="O86" s="303">
        <f>'dod3'!O86-'dod3 базовий'!O80</f>
        <v>292200</v>
      </c>
      <c r="P86" s="303">
        <f>'dod3'!P86-'dod3 базовий'!P80</f>
        <v>602843</v>
      </c>
    </row>
    <row r="87" spans="1:16" ht="301.5" customHeight="1">
      <c r="A87" s="217" t="s">
        <v>521</v>
      </c>
      <c r="B87" s="217" t="s">
        <v>519</v>
      </c>
      <c r="C87" s="217" t="s">
        <v>388</v>
      </c>
      <c r="D87" s="217" t="s">
        <v>52</v>
      </c>
      <c r="E87" s="303">
        <f>'dod3'!E87-'dod3 базовий'!E81</f>
        <v>180500</v>
      </c>
      <c r="F87" s="303">
        <f>'dod3'!F87-'dod3 базовий'!F81</f>
        <v>180500</v>
      </c>
      <c r="G87" s="303">
        <f>'dod3'!G87-'dod3 базовий'!G81</f>
        <v>0</v>
      </c>
      <c r="H87" s="303">
        <f>'dod3'!H87-'dod3 базовий'!H81</f>
        <v>0</v>
      </c>
      <c r="I87" s="303">
        <f>'dod3'!I87-'dod3 базовий'!I81</f>
        <v>0</v>
      </c>
      <c r="J87" s="303">
        <f>'dod3'!J87-'dod3 базовий'!J81</f>
        <v>43500</v>
      </c>
      <c r="K87" s="303">
        <f>'dod3'!K87-'dod3 базовий'!K81</f>
        <v>0</v>
      </c>
      <c r="L87" s="303">
        <f>'dod3'!L87-'dod3 базовий'!L81</f>
        <v>0</v>
      </c>
      <c r="M87" s="303">
        <f>'dod3'!M87-'dod3 базовий'!M81</f>
        <v>0</v>
      </c>
      <c r="N87" s="303">
        <f>'dod3'!N87-'dod3 базовий'!N81</f>
        <v>43500</v>
      </c>
      <c r="O87" s="303">
        <f>'dod3'!O87-'dod3 базовий'!O81</f>
        <v>43500</v>
      </c>
      <c r="P87" s="303">
        <f>'dod3'!P87-'dod3 базовий'!P81</f>
        <v>224000</v>
      </c>
    </row>
    <row r="88" spans="1:16" ht="137.25">
      <c r="A88" s="217" t="s">
        <v>522</v>
      </c>
      <c r="B88" s="217" t="s">
        <v>520</v>
      </c>
      <c r="C88" s="217" t="s">
        <v>388</v>
      </c>
      <c r="D88" s="217" t="s">
        <v>681</v>
      </c>
      <c r="E88" s="303">
        <f>'dod3'!E88-'dod3 базовий'!E82</f>
        <v>130143</v>
      </c>
      <c r="F88" s="303">
        <f>'dod3'!F88-'dod3 базовий'!F82</f>
        <v>130143</v>
      </c>
      <c r="G88" s="303">
        <f>'dod3'!G88-'dod3 базовий'!G82</f>
        <v>75100</v>
      </c>
      <c r="H88" s="303">
        <f>'dod3'!H88-'dod3 базовий'!H82</f>
        <v>500</v>
      </c>
      <c r="I88" s="303">
        <f>'dod3'!I88-'dod3 базовий'!I82</f>
        <v>0</v>
      </c>
      <c r="J88" s="303">
        <f>'dod3'!J88-'dod3 базовий'!J82</f>
        <v>248700</v>
      </c>
      <c r="K88" s="303">
        <f>'dod3'!K88-'dod3 базовий'!K82</f>
        <v>0</v>
      </c>
      <c r="L88" s="303">
        <f>'dod3'!L88-'dod3 базовий'!L82</f>
        <v>0</v>
      </c>
      <c r="M88" s="303">
        <f>'dod3'!M88-'dod3 базовий'!M82</f>
        <v>0</v>
      </c>
      <c r="N88" s="303">
        <f>'dod3'!N88-'dod3 базовий'!N82</f>
        <v>248700</v>
      </c>
      <c r="O88" s="303">
        <f>'dod3'!O88-'dod3 базовий'!O82</f>
        <v>248700</v>
      </c>
      <c r="P88" s="303">
        <f>'dod3'!P88-'dod3 базовий'!P82</f>
        <v>378843</v>
      </c>
    </row>
    <row r="89" spans="1:16" ht="366">
      <c r="A89" s="438" t="s">
        <v>514</v>
      </c>
      <c r="B89" s="438" t="s">
        <v>515</v>
      </c>
      <c r="C89" s="438" t="s">
        <v>387</v>
      </c>
      <c r="D89" s="438" t="s">
        <v>682</v>
      </c>
      <c r="E89" s="303">
        <f>'dod3'!E89-'dod3 базовий'!E83</f>
        <v>0</v>
      </c>
      <c r="F89" s="303">
        <f>'dod3'!F89-'dod3 базовий'!F83</f>
        <v>0</v>
      </c>
      <c r="G89" s="303">
        <f>'dod3'!G89-'dod3 базовий'!G83</f>
        <v>0</v>
      </c>
      <c r="H89" s="303">
        <f>'dod3'!H89-'dod3 базовий'!H83</f>
        <v>0</v>
      </c>
      <c r="I89" s="303">
        <f>'dod3'!I89-'dod3 базовий'!I83</f>
        <v>0</v>
      </c>
      <c r="J89" s="303">
        <f>'dod3'!J89-'dod3 базовий'!J83</f>
        <v>0</v>
      </c>
      <c r="K89" s="303">
        <f>'dod3'!K89-'dod3 базовий'!K83</f>
        <v>0</v>
      </c>
      <c r="L89" s="303">
        <f>'dod3'!L89-'dod3 базовий'!L83</f>
        <v>0</v>
      </c>
      <c r="M89" s="303">
        <f>'dod3'!M89-'dod3 базовий'!M83</f>
        <v>0</v>
      </c>
      <c r="N89" s="303">
        <f>'dod3'!N89-'dod3 базовий'!N83</f>
        <v>0</v>
      </c>
      <c r="O89" s="303">
        <f>'dod3'!O89-'dod3 базовий'!O83</f>
        <v>0</v>
      </c>
      <c r="P89" s="303">
        <f>'dod3'!P89-'dod3 базовий'!P83</f>
        <v>0</v>
      </c>
    </row>
    <row r="90" spans="1:16" ht="91.5">
      <c r="A90" s="438" t="s">
        <v>683</v>
      </c>
      <c r="B90" s="438" t="s">
        <v>684</v>
      </c>
      <c r="C90" s="438"/>
      <c r="D90" s="438" t="s">
        <v>685</v>
      </c>
      <c r="E90" s="303">
        <f>'dod3'!E90-'dod3 базовий'!E84</f>
        <v>0</v>
      </c>
      <c r="F90" s="303">
        <f>'dod3'!F90-'dod3 базовий'!F84</f>
        <v>0</v>
      </c>
      <c r="G90" s="303">
        <f>'dod3'!G90-'dod3 базовий'!G84</f>
        <v>0</v>
      </c>
      <c r="H90" s="303">
        <f>'dod3'!H90-'dod3 базовий'!H84</f>
        <v>0</v>
      </c>
      <c r="I90" s="303">
        <f>'dod3'!I90-'dod3 базовий'!I84</f>
        <v>0</v>
      </c>
      <c r="J90" s="303">
        <f>'dod3'!J90-'dod3 базовий'!J84</f>
        <v>0</v>
      </c>
      <c r="K90" s="303">
        <f>'dod3'!K90-'dod3 базовий'!K84</f>
        <v>0</v>
      </c>
      <c r="L90" s="303">
        <f>'dod3'!L90-'dod3 базовий'!L84</f>
        <v>0</v>
      </c>
      <c r="M90" s="303">
        <f>'dod3'!M90-'dod3 базовий'!M84</f>
        <v>0</v>
      </c>
      <c r="N90" s="303">
        <f>'dod3'!N90-'dod3 базовий'!N84</f>
        <v>0</v>
      </c>
      <c r="O90" s="303">
        <f>'dod3'!O90-'dod3 базовий'!O84</f>
        <v>0</v>
      </c>
      <c r="P90" s="303">
        <f>'dod3'!P90-'dod3 базовий'!P84</f>
        <v>0</v>
      </c>
    </row>
    <row r="91" spans="1:16" ht="228.75">
      <c r="A91" s="217" t="s">
        <v>686</v>
      </c>
      <c r="B91" s="217" t="s">
        <v>687</v>
      </c>
      <c r="C91" s="217" t="s">
        <v>387</v>
      </c>
      <c r="D91" s="217" t="s">
        <v>765</v>
      </c>
      <c r="E91" s="303">
        <f>'dod3'!E91-'dod3 базовий'!E85</f>
        <v>0</v>
      </c>
      <c r="F91" s="303">
        <f>'dod3'!F91-'dod3 базовий'!F85</f>
        <v>0</v>
      </c>
      <c r="G91" s="303">
        <f>'dod3'!G91-'dod3 базовий'!G85</f>
        <v>0</v>
      </c>
      <c r="H91" s="303">
        <f>'dod3'!H91-'dod3 базовий'!H85</f>
        <v>0</v>
      </c>
      <c r="I91" s="303">
        <f>'dod3'!I91-'dod3 базовий'!I85</f>
        <v>0</v>
      </c>
      <c r="J91" s="303">
        <f>'dod3'!J91-'dod3 базовий'!J85</f>
        <v>0</v>
      </c>
      <c r="K91" s="303">
        <f>'dod3'!K91-'dod3 базовий'!K85</f>
        <v>0</v>
      </c>
      <c r="L91" s="303">
        <f>'dod3'!L91-'dod3 базовий'!L85</f>
        <v>0</v>
      </c>
      <c r="M91" s="303">
        <f>'dod3'!M91-'dod3 базовий'!M85</f>
        <v>0</v>
      </c>
      <c r="N91" s="303">
        <f>'dod3'!N91-'dod3 базовий'!N85</f>
        <v>0</v>
      </c>
      <c r="O91" s="303">
        <f>'dod3'!O91-'dod3 базовий'!O85</f>
        <v>0</v>
      </c>
      <c r="P91" s="303">
        <f>'dod3'!P91-'dod3 базовий'!P85</f>
        <v>0</v>
      </c>
    </row>
    <row r="92" spans="1:16" ht="112.5" customHeight="1">
      <c r="A92" s="217" t="s">
        <v>688</v>
      </c>
      <c r="B92" s="217" t="s">
        <v>689</v>
      </c>
      <c r="C92" s="217" t="s">
        <v>387</v>
      </c>
      <c r="D92" s="217" t="s">
        <v>766</v>
      </c>
      <c r="E92" s="303">
        <f>'dod3'!E92-'dod3 базовий'!E86</f>
        <v>0</v>
      </c>
      <c r="F92" s="303">
        <f>'dod3'!F92-'dod3 базовий'!F86</f>
        <v>0</v>
      </c>
      <c r="G92" s="303">
        <f>'dod3'!G92-'dod3 базовий'!G86</f>
        <v>0</v>
      </c>
      <c r="H92" s="303">
        <f>'dod3'!H92-'dod3 базовий'!H86</f>
        <v>0</v>
      </c>
      <c r="I92" s="303">
        <f>'dod3'!I92-'dod3 базовий'!I86</f>
        <v>0</v>
      </c>
      <c r="J92" s="303">
        <f>'dod3'!J92-'dod3 базовий'!J86</f>
        <v>0</v>
      </c>
      <c r="K92" s="303">
        <f>'dod3'!K92-'dod3 базовий'!K86</f>
        <v>0</v>
      </c>
      <c r="L92" s="303">
        <f>'dod3'!L92-'dod3 базовий'!L86</f>
        <v>0</v>
      </c>
      <c r="M92" s="303">
        <f>'dod3'!M92-'dod3 базовий'!M86</f>
        <v>0</v>
      </c>
      <c r="N92" s="303">
        <f>'dod3'!N92-'dod3 базовий'!N86</f>
        <v>0</v>
      </c>
      <c r="O92" s="303">
        <f>'dod3'!O92-'dod3 базовий'!O86</f>
        <v>0</v>
      </c>
      <c r="P92" s="303">
        <f>'dod3'!P92-'dod3 базовий'!P86</f>
        <v>0</v>
      </c>
    </row>
    <row r="93" spans="1:16" ht="320.25">
      <c r="A93" s="438" t="s">
        <v>769</v>
      </c>
      <c r="B93" s="438" t="s">
        <v>768</v>
      </c>
      <c r="C93" s="438" t="s">
        <v>120</v>
      </c>
      <c r="D93" s="438" t="s">
        <v>767</v>
      </c>
      <c r="E93" s="303">
        <f>'dod3'!E93-'dod3 базовий'!E87</f>
        <v>0</v>
      </c>
      <c r="F93" s="303">
        <f>'dod3'!F93-'dod3 базовий'!F87</f>
        <v>0</v>
      </c>
      <c r="G93" s="303">
        <f>'dod3'!G93-'dod3 базовий'!G87</f>
        <v>0</v>
      </c>
      <c r="H93" s="303">
        <f>'dod3'!H93-'dod3 базовий'!H87</f>
        <v>0</v>
      </c>
      <c r="I93" s="303">
        <f>'dod3'!I93-'dod3 базовий'!I87</f>
        <v>0</v>
      </c>
      <c r="J93" s="303">
        <f>'dod3'!J93-'dod3 базовий'!J87</f>
        <v>0</v>
      </c>
      <c r="K93" s="303">
        <f>'dod3'!K93-'dod3 базовий'!K87</f>
        <v>0</v>
      </c>
      <c r="L93" s="303">
        <f>'dod3'!L93-'dod3 базовий'!L87</f>
        <v>0</v>
      </c>
      <c r="M93" s="303">
        <f>'dod3'!M93-'dod3 базовий'!M87</f>
        <v>0</v>
      </c>
      <c r="N93" s="303">
        <f>'dod3'!N93-'dod3 базовий'!N87</f>
        <v>0</v>
      </c>
      <c r="O93" s="303">
        <f>'dod3'!O93-'dod3 базовий'!O87</f>
        <v>0</v>
      </c>
      <c r="P93" s="303">
        <f>'dod3'!P93-'dod3 базовий'!P87</f>
        <v>0</v>
      </c>
    </row>
    <row r="94" spans="1:16" ht="91.5">
      <c r="A94" s="438" t="s">
        <v>690</v>
      </c>
      <c r="B94" s="438" t="s">
        <v>691</v>
      </c>
      <c r="C94" s="438"/>
      <c r="D94" s="218" t="s">
        <v>50</v>
      </c>
      <c r="E94" s="303">
        <f>'dod3'!E94-'dod3 базовий'!E88</f>
        <v>0</v>
      </c>
      <c r="F94" s="303">
        <f>'dod3'!F94-'dod3 базовий'!F88</f>
        <v>0</v>
      </c>
      <c r="G94" s="303">
        <f>'dod3'!G94-'dod3 базовий'!G88</f>
        <v>0</v>
      </c>
      <c r="H94" s="303">
        <f>'dod3'!H94-'dod3 базовий'!H88</f>
        <v>0</v>
      </c>
      <c r="I94" s="303">
        <f>'dod3'!I94-'dod3 базовий'!I88</f>
        <v>0</v>
      </c>
      <c r="J94" s="303">
        <f>'dod3'!J94-'dod3 базовий'!J88</f>
        <v>0</v>
      </c>
      <c r="K94" s="303">
        <f>'dod3'!K94-'dod3 базовий'!K88</f>
        <v>0</v>
      </c>
      <c r="L94" s="303">
        <f>'dod3'!L94-'dod3 базовий'!L88</f>
        <v>0</v>
      </c>
      <c r="M94" s="303">
        <f>'dod3'!M94-'dod3 базовий'!M88</f>
        <v>0</v>
      </c>
      <c r="N94" s="303">
        <f>'dod3'!N94-'dod3 базовий'!N88</f>
        <v>0</v>
      </c>
      <c r="O94" s="303">
        <f>'dod3'!O94-'dod3 базовий'!O88</f>
        <v>0</v>
      </c>
      <c r="P94" s="303">
        <f>'dod3'!P94-'dod3 базовий'!P88</f>
        <v>0</v>
      </c>
    </row>
    <row r="95" spans="1:16" ht="228.75">
      <c r="A95" s="217" t="s">
        <v>692</v>
      </c>
      <c r="B95" s="217" t="s">
        <v>693</v>
      </c>
      <c r="C95" s="217" t="s">
        <v>395</v>
      </c>
      <c r="D95" s="217" t="s">
        <v>770</v>
      </c>
      <c r="E95" s="303">
        <f>'dod3'!E95-'dod3 базовий'!E89</f>
        <v>0</v>
      </c>
      <c r="F95" s="303">
        <f>'dod3'!F95-'dod3 базовий'!F89</f>
        <v>0</v>
      </c>
      <c r="G95" s="303">
        <f>'dod3'!G95-'dod3 базовий'!G89</f>
        <v>0</v>
      </c>
      <c r="H95" s="303">
        <f>'dod3'!H95-'dod3 базовий'!H89</f>
        <v>0</v>
      </c>
      <c r="I95" s="303">
        <f>'dod3'!I95-'dod3 базовий'!I89</f>
        <v>0</v>
      </c>
      <c r="J95" s="303">
        <f>'dod3'!J95-'dod3 базовий'!J89</f>
        <v>0</v>
      </c>
      <c r="K95" s="303">
        <f>'dod3'!K95-'dod3 базовий'!K89</f>
        <v>0</v>
      </c>
      <c r="L95" s="303">
        <f>'dod3'!L95-'dod3 базовий'!L89</f>
        <v>0</v>
      </c>
      <c r="M95" s="303">
        <f>'dod3'!M95-'dod3 базовий'!M89</f>
        <v>0</v>
      </c>
      <c r="N95" s="303">
        <f>'dod3'!N95-'dod3 базовий'!N89</f>
        <v>0</v>
      </c>
      <c r="O95" s="303">
        <f>'dod3'!O95-'dod3 базовий'!O89</f>
        <v>0</v>
      </c>
      <c r="P95" s="303">
        <f>'dod3'!P95-'dod3 базовий'!P89</f>
        <v>0</v>
      </c>
    </row>
    <row r="96" spans="1:16">
      <c r="A96" s="565" t="s">
        <v>513</v>
      </c>
      <c r="B96" s="565" t="s">
        <v>372</v>
      </c>
      <c r="C96" s="565" t="s">
        <v>363</v>
      </c>
      <c r="D96" s="398" t="s">
        <v>694</v>
      </c>
      <c r="E96" s="632">
        <v>0</v>
      </c>
      <c r="F96" s="563">
        <v>0</v>
      </c>
      <c r="G96" s="563"/>
      <c r="H96" s="563"/>
      <c r="I96" s="563"/>
      <c r="J96" s="632">
        <f>K96+N96</f>
        <v>0</v>
      </c>
      <c r="K96" s="563"/>
      <c r="L96" s="563"/>
      <c r="M96" s="563"/>
      <c r="N96" s="563">
        <f>O96</f>
        <v>0</v>
      </c>
      <c r="O96" s="563"/>
      <c r="P96" s="632">
        <f>E96+J96</f>
        <v>0</v>
      </c>
    </row>
    <row r="97" spans="1:16" ht="327.75" customHeight="1">
      <c r="A97" s="562"/>
      <c r="B97" s="562"/>
      <c r="C97" s="562"/>
      <c r="D97" s="399" t="s">
        <v>695</v>
      </c>
      <c r="E97" s="633"/>
      <c r="F97" s="564"/>
      <c r="G97" s="633"/>
      <c r="H97" s="633"/>
      <c r="I97" s="564"/>
      <c r="J97" s="633"/>
      <c r="K97" s="564"/>
      <c r="L97" s="633"/>
      <c r="M97" s="633"/>
      <c r="N97" s="564"/>
      <c r="O97" s="633"/>
      <c r="P97" s="633"/>
    </row>
    <row r="98" spans="1:16" ht="46.5">
      <c r="A98" s="438" t="s">
        <v>698</v>
      </c>
      <c r="B98" s="438" t="s">
        <v>699</v>
      </c>
      <c r="C98" s="438"/>
      <c r="D98" s="438" t="s">
        <v>374</v>
      </c>
      <c r="E98" s="303">
        <f>'dod3'!E98-'dod3 базовий'!E92</f>
        <v>3183300</v>
      </c>
      <c r="F98" s="303">
        <f>'dod3'!F98-'dod3 базовий'!F92</f>
        <v>3183300</v>
      </c>
      <c r="G98" s="303">
        <f>'dod3'!G98-'dod3 базовий'!G92</f>
        <v>0</v>
      </c>
      <c r="H98" s="303">
        <f>'dod3'!H98-'dod3 базовий'!H92</f>
        <v>0</v>
      </c>
      <c r="I98" s="303">
        <f>'dod3'!I98-'dod3 базовий'!I92</f>
        <v>0</v>
      </c>
      <c r="J98" s="303">
        <f>'dod3'!J98-'dod3 базовий'!J92</f>
        <v>105800</v>
      </c>
      <c r="K98" s="303">
        <f>'dod3'!K98-'dod3 базовий'!K92</f>
        <v>0</v>
      </c>
      <c r="L98" s="303">
        <f>'dod3'!L98-'dod3 базовий'!L92</f>
        <v>0</v>
      </c>
      <c r="M98" s="303">
        <f>'dod3'!M98-'dod3 базовий'!M92</f>
        <v>0</v>
      </c>
      <c r="N98" s="303">
        <f>'dod3'!N98-'dod3 базовий'!N92</f>
        <v>105800</v>
      </c>
      <c r="O98" s="303">
        <f>'dod3'!O98-'dod3 базовий'!O92</f>
        <v>105800</v>
      </c>
      <c r="P98" s="303">
        <f>'dod3'!P98-'dod3 базовий'!P92</f>
        <v>3289100</v>
      </c>
    </row>
    <row r="99" spans="1:16" ht="183">
      <c r="A99" s="217" t="s">
        <v>696</v>
      </c>
      <c r="B99" s="217" t="s">
        <v>700</v>
      </c>
      <c r="C99" s="217" t="s">
        <v>373</v>
      </c>
      <c r="D99" s="401" t="s">
        <v>702</v>
      </c>
      <c r="E99" s="303">
        <f>'dod3'!E99-'dod3 базовий'!E93</f>
        <v>23600</v>
      </c>
      <c r="F99" s="303">
        <f>'dod3'!F99-'dod3 базовий'!F93</f>
        <v>23600</v>
      </c>
      <c r="G99" s="303">
        <f>'dod3'!G99-'dod3 базовий'!G93</f>
        <v>0</v>
      </c>
      <c r="H99" s="303">
        <f>'dod3'!H99-'dod3 базовий'!H93</f>
        <v>0</v>
      </c>
      <c r="I99" s="303">
        <f>'dod3'!I99-'dod3 базовий'!I93</f>
        <v>0</v>
      </c>
      <c r="J99" s="303">
        <f>'dod3'!J99-'dod3 базовий'!J93</f>
        <v>105800</v>
      </c>
      <c r="K99" s="303">
        <f>'dod3'!K99-'dod3 базовий'!K93</f>
        <v>0</v>
      </c>
      <c r="L99" s="303">
        <f>'dod3'!L99-'dod3 базовий'!L93</f>
        <v>0</v>
      </c>
      <c r="M99" s="303">
        <f>'dod3'!M99-'dod3 базовий'!M93</f>
        <v>0</v>
      </c>
      <c r="N99" s="303">
        <f>'dod3'!N99-'dod3 базовий'!N93</f>
        <v>105800</v>
      </c>
      <c r="O99" s="303">
        <f>'dod3'!O99-'dod3 базовий'!O93</f>
        <v>105800</v>
      </c>
      <c r="P99" s="303">
        <f>'dod3'!P99-'dod3 базовий'!P93</f>
        <v>129400</v>
      </c>
    </row>
    <row r="100" spans="1:16" ht="137.25">
      <c r="A100" s="217" t="s">
        <v>697</v>
      </c>
      <c r="B100" s="217" t="s">
        <v>701</v>
      </c>
      <c r="C100" s="217" t="s">
        <v>373</v>
      </c>
      <c r="D100" s="401" t="s">
        <v>703</v>
      </c>
      <c r="E100" s="303">
        <f>'dod3'!E100-'dod3 базовий'!E94</f>
        <v>3159700</v>
      </c>
      <c r="F100" s="303">
        <f>'dod3'!F100-'dod3 базовий'!F94</f>
        <v>3159700</v>
      </c>
      <c r="G100" s="303">
        <f>'dod3'!G100-'dod3 базовий'!G94</f>
        <v>0</v>
      </c>
      <c r="H100" s="303">
        <f>'dod3'!H100-'dod3 базовий'!H94</f>
        <v>0</v>
      </c>
      <c r="I100" s="303">
        <f>'dod3'!I100-'dod3 базовий'!I94</f>
        <v>0</v>
      </c>
      <c r="J100" s="303">
        <f>'dod3'!J100-'dod3 базовий'!J94</f>
        <v>0</v>
      </c>
      <c r="K100" s="303">
        <f>'dod3'!K100-'dod3 базовий'!K94</f>
        <v>0</v>
      </c>
      <c r="L100" s="303">
        <f>'dod3'!L100-'dod3 базовий'!L94</f>
        <v>0</v>
      </c>
      <c r="M100" s="303">
        <f>'dod3'!M100-'dod3 базовий'!M94</f>
        <v>0</v>
      </c>
      <c r="N100" s="303">
        <f>'dod3'!N100-'dod3 базовий'!N94</f>
        <v>0</v>
      </c>
      <c r="O100" s="303">
        <f>'dod3'!O100-'dod3 базовий'!O94</f>
        <v>0</v>
      </c>
      <c r="P100" s="303">
        <f>'dod3'!P100-'dod3 базовий'!P94</f>
        <v>3159700</v>
      </c>
    </row>
    <row r="101" spans="1:16" ht="91.5">
      <c r="A101" s="501" t="s">
        <v>855</v>
      </c>
      <c r="B101" s="501" t="s">
        <v>720</v>
      </c>
      <c r="C101" s="501"/>
      <c r="D101" s="501" t="s">
        <v>856</v>
      </c>
      <c r="E101" s="303">
        <f>'dod3'!E101-0</f>
        <v>0</v>
      </c>
      <c r="F101" s="303">
        <f>'dod3'!F101-0</f>
        <v>0</v>
      </c>
      <c r="G101" s="303">
        <f>'dod3'!G101-0</f>
        <v>0</v>
      </c>
      <c r="H101" s="303">
        <f>'dod3'!H101-0</f>
        <v>0</v>
      </c>
      <c r="I101" s="303">
        <f>'dod3'!I101-0</f>
        <v>0</v>
      </c>
      <c r="J101" s="303">
        <f>'dod3'!J101-0</f>
        <v>2500000</v>
      </c>
      <c r="K101" s="303">
        <f>'dod3'!K101-0</f>
        <v>0</v>
      </c>
      <c r="L101" s="303">
        <f>'dod3'!L101-0</f>
        <v>0</v>
      </c>
      <c r="M101" s="303">
        <f>'dod3'!M101-0</f>
        <v>0</v>
      </c>
      <c r="N101" s="303">
        <f>'dod3'!N101-0</f>
        <v>2500000</v>
      </c>
      <c r="O101" s="303">
        <f>'dod3'!O101-0</f>
        <v>2500000</v>
      </c>
      <c r="P101" s="303">
        <f>'dod3'!P101-0</f>
        <v>2500000</v>
      </c>
    </row>
    <row r="102" spans="1:16" ht="137.25">
      <c r="A102" s="217" t="s">
        <v>859</v>
      </c>
      <c r="B102" s="217" t="s">
        <v>857</v>
      </c>
      <c r="C102" s="217" t="s">
        <v>722</v>
      </c>
      <c r="D102" s="401" t="s">
        <v>858</v>
      </c>
      <c r="E102" s="303">
        <f>'dod3'!E102-0</f>
        <v>0</v>
      </c>
      <c r="F102" s="303">
        <f>'dod3'!F102-0</f>
        <v>0</v>
      </c>
      <c r="G102" s="303">
        <f>'dod3'!G102-0</f>
        <v>0</v>
      </c>
      <c r="H102" s="303">
        <f>'dod3'!H102-0</f>
        <v>0</v>
      </c>
      <c r="I102" s="303">
        <f>'dod3'!I102-0</f>
        <v>0</v>
      </c>
      <c r="J102" s="303">
        <f>'dod3'!J102-0</f>
        <v>2500000</v>
      </c>
      <c r="K102" s="303">
        <f>'dod3'!K102-0</f>
        <v>0</v>
      </c>
      <c r="L102" s="303">
        <f>'dod3'!L102-0</f>
        <v>0</v>
      </c>
      <c r="M102" s="303">
        <f>'dod3'!M102-0</f>
        <v>0</v>
      </c>
      <c r="N102" s="303">
        <f>'dod3'!N102-0</f>
        <v>2500000</v>
      </c>
      <c r="O102" s="303">
        <f>'dod3'!O102-0</f>
        <v>2500000</v>
      </c>
      <c r="P102" s="303">
        <f>'dod3'!P102-0</f>
        <v>2500000</v>
      </c>
    </row>
    <row r="103" spans="1:16" ht="135">
      <c r="A103" s="479">
        <v>1000000</v>
      </c>
      <c r="B103" s="479"/>
      <c r="C103" s="479"/>
      <c r="D103" s="433" t="s">
        <v>68</v>
      </c>
      <c r="E103" s="436">
        <f>E104</f>
        <v>2237800</v>
      </c>
      <c r="F103" s="436">
        <f t="shared" ref="F103:P103" si="15">F104</f>
        <v>2237800</v>
      </c>
      <c r="G103" s="436">
        <f t="shared" si="15"/>
        <v>821000</v>
      </c>
      <c r="H103" s="436">
        <f t="shared" si="15"/>
        <v>0</v>
      </c>
      <c r="I103" s="436">
        <f t="shared" si="15"/>
        <v>0</v>
      </c>
      <c r="J103" s="436">
        <f t="shared" si="15"/>
        <v>4629720</v>
      </c>
      <c r="K103" s="436">
        <f t="shared" si="15"/>
        <v>0</v>
      </c>
      <c r="L103" s="436">
        <f t="shared" si="15"/>
        <v>0</v>
      </c>
      <c r="M103" s="436">
        <f t="shared" si="15"/>
        <v>0</v>
      </c>
      <c r="N103" s="436">
        <f t="shared" si="15"/>
        <v>4629720</v>
      </c>
      <c r="O103" s="435">
        <f t="shared" si="15"/>
        <v>4629720</v>
      </c>
      <c r="P103" s="436">
        <f t="shared" si="15"/>
        <v>6867520</v>
      </c>
    </row>
    <row r="104" spans="1:16" ht="180">
      <c r="A104" s="480">
        <v>1010000</v>
      </c>
      <c r="B104" s="480"/>
      <c r="C104" s="480"/>
      <c r="D104" s="434" t="s">
        <v>96</v>
      </c>
      <c r="E104" s="435">
        <f>E106+E107+E108+E109+E105+E111+E110+E114</f>
        <v>2237800</v>
      </c>
      <c r="F104" s="436">
        <f>F106+F107+F108+F109+F105+F111+F110+F114</f>
        <v>2237800</v>
      </c>
      <c r="G104" s="435">
        <f>G106+G107+G108+G109+G105+G111+G110+G114</f>
        <v>821000</v>
      </c>
      <c r="H104" s="435">
        <f>H106+H107+H108+H109+H105+H111+H110+H114</f>
        <v>0</v>
      </c>
      <c r="I104" s="436">
        <v>0</v>
      </c>
      <c r="J104" s="435">
        <f t="shared" ref="J104" si="16">K104+N104</f>
        <v>4629720</v>
      </c>
      <c r="K104" s="436">
        <f>K106+K107+K108+K109+K105+K111+K110+K114</f>
        <v>0</v>
      </c>
      <c r="L104" s="435">
        <f>L106+L107+L108+L109+L105+L111+L110+L114</f>
        <v>0</v>
      </c>
      <c r="M104" s="435">
        <f>M106+M107+M108+M109+M105+M111+M110+M114</f>
        <v>0</v>
      </c>
      <c r="N104" s="436">
        <f>N106+N107+N108+N109+N105+N111+N110+N114</f>
        <v>4629720</v>
      </c>
      <c r="O104" s="435">
        <f>O106+O107+O108+O109+O105+O111+O110+O114</f>
        <v>4629720</v>
      </c>
      <c r="P104" s="435">
        <f t="shared" ref="P104" si="17">E104+J104</f>
        <v>6867520</v>
      </c>
    </row>
    <row r="105" spans="1:16" ht="228.75">
      <c r="A105" s="463" t="s">
        <v>49</v>
      </c>
      <c r="B105" s="463" t="s">
        <v>353</v>
      </c>
      <c r="C105" s="463" t="s">
        <v>354</v>
      </c>
      <c r="D105" s="463" t="s">
        <v>352</v>
      </c>
      <c r="E105" s="298">
        <f>'dod3'!E105-'dod3 базовий'!E97</f>
        <v>40800</v>
      </c>
      <c r="F105" s="303">
        <f>'dod3'!F105-'dod3 базовий'!F97</f>
        <v>40800</v>
      </c>
      <c r="G105" s="298">
        <f>'dod3'!G105-'dod3 базовий'!G97</f>
        <v>0</v>
      </c>
      <c r="H105" s="298">
        <f>'dod3'!H105-'dod3 базовий'!H97</f>
        <v>0</v>
      </c>
      <c r="I105" s="303">
        <f>'dod3'!I105-'dod3 базовий'!I97</f>
        <v>0</v>
      </c>
      <c r="J105" s="298">
        <f>'dod3'!J105-'dod3 базовий'!J97</f>
        <v>1607000</v>
      </c>
      <c r="K105" s="303">
        <f>'dod3'!K105-'dod3 базовий'!K97</f>
        <v>0</v>
      </c>
      <c r="L105" s="298">
        <f>'dod3'!L105-'dod3 базовий'!L97</f>
        <v>0</v>
      </c>
      <c r="M105" s="298">
        <f>'dod3'!M105-'dod3 базовий'!M97</f>
        <v>0</v>
      </c>
      <c r="N105" s="303">
        <f>'dod3'!N105-'dod3 базовий'!N97</f>
        <v>1607000</v>
      </c>
      <c r="O105" s="298">
        <f>'dod3'!O105-'dod3 базовий'!O97</f>
        <v>1607000</v>
      </c>
      <c r="P105" s="298">
        <f>'dod3'!P105-'dod3 базовий'!P97</f>
        <v>1647800</v>
      </c>
    </row>
    <row r="106" spans="1:16" ht="46.5">
      <c r="A106" s="463" t="s">
        <v>335</v>
      </c>
      <c r="B106" s="463" t="s">
        <v>336</v>
      </c>
      <c r="C106" s="463" t="s">
        <v>340</v>
      </c>
      <c r="D106" s="463" t="s">
        <v>341</v>
      </c>
      <c r="E106" s="298">
        <f>'dod3'!E106-'dod3 базовий'!E98</f>
        <v>0</v>
      </c>
      <c r="F106" s="303">
        <f>'dod3'!F106-'dod3 базовий'!F98</f>
        <v>0</v>
      </c>
      <c r="G106" s="298">
        <f>'dod3'!G106-'dod3 базовий'!G98</f>
        <v>0</v>
      </c>
      <c r="H106" s="298">
        <f>'dod3'!H106-'dod3 базовий'!H98</f>
        <v>0</v>
      </c>
      <c r="I106" s="303">
        <f>'dod3'!I106-'dod3 базовий'!I98</f>
        <v>0</v>
      </c>
      <c r="J106" s="298">
        <f>'dod3'!J106-'dod3 базовий'!J98</f>
        <v>0</v>
      </c>
      <c r="K106" s="303">
        <f>'dod3'!K106-'dod3 базовий'!K98</f>
        <v>0</v>
      </c>
      <c r="L106" s="298">
        <f>'dod3'!L106-'dod3 базовий'!L98</f>
        <v>0</v>
      </c>
      <c r="M106" s="298">
        <f>'dod3'!M106-'dod3 базовий'!M98</f>
        <v>0</v>
      </c>
      <c r="N106" s="303">
        <f>'dod3'!N106-'dod3 базовий'!N98</f>
        <v>0</v>
      </c>
      <c r="O106" s="298">
        <f>'dod3'!O106-'dod3 базовий'!O98</f>
        <v>0</v>
      </c>
      <c r="P106" s="298">
        <f>'dod3'!P106-'dod3 базовий'!P98</f>
        <v>0</v>
      </c>
    </row>
    <row r="107" spans="1:16" ht="46.5">
      <c r="A107" s="463" t="s">
        <v>342</v>
      </c>
      <c r="B107" s="463" t="s">
        <v>343</v>
      </c>
      <c r="C107" s="463" t="s">
        <v>344</v>
      </c>
      <c r="D107" s="463" t="s">
        <v>345</v>
      </c>
      <c r="E107" s="298">
        <f>'dod3'!E107-'dod3 базовий'!E99</f>
        <v>0</v>
      </c>
      <c r="F107" s="303">
        <f>'dod3'!F107-'dod3 базовий'!F99</f>
        <v>0</v>
      </c>
      <c r="G107" s="298">
        <f>'dod3'!G107-'dod3 базовий'!G99</f>
        <v>0</v>
      </c>
      <c r="H107" s="298">
        <f>'dod3'!H107-'dod3 базовий'!H99</f>
        <v>0</v>
      </c>
      <c r="I107" s="303">
        <f>'dod3'!I107-'dod3 базовий'!I99</f>
        <v>0</v>
      </c>
      <c r="J107" s="298">
        <f>'dod3'!J107-'dod3 базовий'!J99</f>
        <v>530000</v>
      </c>
      <c r="K107" s="303">
        <f>'dod3'!K107-'dod3 базовий'!K99</f>
        <v>0</v>
      </c>
      <c r="L107" s="298">
        <f>'dod3'!L107-'dod3 базовий'!L99</f>
        <v>0</v>
      </c>
      <c r="M107" s="298">
        <f>'dod3'!M107-'dod3 базовий'!M99</f>
        <v>0</v>
      </c>
      <c r="N107" s="303">
        <f>'dod3'!N107-'dod3 базовий'!N99</f>
        <v>530000</v>
      </c>
      <c r="O107" s="298">
        <f>'dod3'!O107-'dod3 базовий'!O99</f>
        <v>530000</v>
      </c>
      <c r="P107" s="298">
        <f>'dod3'!P107-'dod3 базовий'!P99</f>
        <v>530000</v>
      </c>
    </row>
    <row r="108" spans="1:16" ht="91.5">
      <c r="A108" s="463" t="s">
        <v>346</v>
      </c>
      <c r="B108" s="463" t="s">
        <v>347</v>
      </c>
      <c r="C108" s="463" t="s">
        <v>344</v>
      </c>
      <c r="D108" s="463" t="s">
        <v>348</v>
      </c>
      <c r="E108" s="298">
        <f>'dod3'!E108-'dod3 базовий'!E100</f>
        <v>0</v>
      </c>
      <c r="F108" s="303">
        <f>'dod3'!F108-'dod3 базовий'!F100</f>
        <v>0</v>
      </c>
      <c r="G108" s="298">
        <f>'dod3'!G108-'dod3 базовий'!G100</f>
        <v>0</v>
      </c>
      <c r="H108" s="298">
        <f>'dod3'!H108-'dod3 базовий'!H100</f>
        <v>0</v>
      </c>
      <c r="I108" s="303">
        <f>'dod3'!I108-'dod3 базовий'!I100</f>
        <v>0</v>
      </c>
      <c r="J108" s="298">
        <f>'dod3'!J108-'dod3 базовий'!J100</f>
        <v>422720</v>
      </c>
      <c r="K108" s="303">
        <f>'dod3'!K108-'dod3 базовий'!K100</f>
        <v>0</v>
      </c>
      <c r="L108" s="298">
        <f>'dod3'!L108-'dod3 базовий'!L100</f>
        <v>0</v>
      </c>
      <c r="M108" s="298">
        <f>'dod3'!M108-'dod3 базовий'!M100</f>
        <v>0</v>
      </c>
      <c r="N108" s="303">
        <f>'dod3'!N108-'dod3 базовий'!N100</f>
        <v>422720</v>
      </c>
      <c r="O108" s="298">
        <f>'dod3'!O108-'dod3 базовий'!O100</f>
        <v>422720</v>
      </c>
      <c r="P108" s="298">
        <f>'dod3'!P108-'dod3 базовий'!P100</f>
        <v>422720</v>
      </c>
    </row>
    <row r="109" spans="1:16" ht="183">
      <c r="A109" s="463" t="s">
        <v>349</v>
      </c>
      <c r="B109" s="463" t="s">
        <v>337</v>
      </c>
      <c r="C109" s="463" t="s">
        <v>350</v>
      </c>
      <c r="D109" s="463" t="s">
        <v>351</v>
      </c>
      <c r="E109" s="298">
        <f>'dod3'!E109-'dod3 базовий'!E101</f>
        <v>0</v>
      </c>
      <c r="F109" s="303">
        <f>'dod3'!F109-'dod3 базовий'!F101</f>
        <v>0</v>
      </c>
      <c r="G109" s="298">
        <f>'dod3'!G109-'dod3 базовий'!G101</f>
        <v>0</v>
      </c>
      <c r="H109" s="298">
        <f>'dod3'!H109-'dod3 базовий'!H101</f>
        <v>0</v>
      </c>
      <c r="I109" s="303">
        <f>'dod3'!I109-'dod3 базовий'!I101</f>
        <v>0</v>
      </c>
      <c r="J109" s="298">
        <f>'dod3'!J109-'dod3 базовий'!J101</f>
        <v>1955500</v>
      </c>
      <c r="K109" s="303">
        <f>'dod3'!K109-'dod3 базовий'!K101</f>
        <v>0</v>
      </c>
      <c r="L109" s="298">
        <f>'dod3'!L109-'dod3 базовий'!L101</f>
        <v>0</v>
      </c>
      <c r="M109" s="298">
        <f>'dod3'!M109-'dod3 базовий'!M101</f>
        <v>0</v>
      </c>
      <c r="N109" s="303">
        <f>'dod3'!N109-'dod3 базовий'!N101</f>
        <v>1955500</v>
      </c>
      <c r="O109" s="298">
        <f>'dod3'!O109-'dod3 базовий'!O101</f>
        <v>1955500</v>
      </c>
      <c r="P109" s="298">
        <f>'dod3'!P109-'dod3 базовий'!P101</f>
        <v>1955500</v>
      </c>
    </row>
    <row r="110" spans="1:16" ht="91.5">
      <c r="A110" s="463" t="s">
        <v>835</v>
      </c>
      <c r="B110" s="463" t="s">
        <v>836</v>
      </c>
      <c r="C110" s="463" t="s">
        <v>837</v>
      </c>
      <c r="D110" s="463" t="s">
        <v>834</v>
      </c>
      <c r="E110" s="298">
        <f>'dod3'!E110-0</f>
        <v>60000</v>
      </c>
      <c r="F110" s="303">
        <f>'dod3'!F110-0</f>
        <v>60000</v>
      </c>
      <c r="G110" s="298">
        <f>'dod3'!G110-0</f>
        <v>0</v>
      </c>
      <c r="H110" s="298">
        <f>'dod3'!H110-0</f>
        <v>0</v>
      </c>
      <c r="I110" s="303">
        <f>'dod3'!I110-0</f>
        <v>0</v>
      </c>
      <c r="J110" s="298">
        <f>'dod3'!J110-0</f>
        <v>0</v>
      </c>
      <c r="K110" s="303">
        <f>'dod3'!K110-0</f>
        <v>0</v>
      </c>
      <c r="L110" s="298">
        <f>'dod3'!L110-0</f>
        <v>0</v>
      </c>
      <c r="M110" s="298">
        <f>'dod3'!M110-0</f>
        <v>0</v>
      </c>
      <c r="N110" s="303">
        <f>'dod3'!N110-0</f>
        <v>0</v>
      </c>
      <c r="O110" s="298">
        <f>'dod3'!O110-0</f>
        <v>0</v>
      </c>
      <c r="P110" s="298">
        <f>'dod3'!P110-0</f>
        <v>60000</v>
      </c>
    </row>
    <row r="111" spans="1:16" ht="91.5">
      <c r="A111" s="463" t="s">
        <v>356</v>
      </c>
      <c r="B111" s="463" t="s">
        <v>357</v>
      </c>
      <c r="C111" s="463"/>
      <c r="D111" s="463" t="s">
        <v>355</v>
      </c>
      <c r="E111" s="298">
        <f>'dod3'!E111-'dod3 базовий'!E102</f>
        <v>2137000</v>
      </c>
      <c r="F111" s="303">
        <f>'dod3'!F111-'dod3 базовий'!F102</f>
        <v>2137000</v>
      </c>
      <c r="G111" s="298">
        <f>'dod3'!G111-'dod3 базовий'!G102</f>
        <v>821000</v>
      </c>
      <c r="H111" s="298">
        <f>'dod3'!H111-'dod3 базовий'!H102</f>
        <v>0</v>
      </c>
      <c r="I111" s="303">
        <f>'dod3'!I111-'dod3 базовий'!I102</f>
        <v>0</v>
      </c>
      <c r="J111" s="298">
        <f>'dod3'!J111-'dod3 базовий'!J102</f>
        <v>87500</v>
      </c>
      <c r="K111" s="303">
        <f>'dod3'!K111-'dod3 базовий'!K102</f>
        <v>0</v>
      </c>
      <c r="L111" s="298">
        <f>'dod3'!L111-'dod3 базовий'!L102</f>
        <v>0</v>
      </c>
      <c r="M111" s="298">
        <f>'dod3'!M111-'dod3 базовий'!M102</f>
        <v>0</v>
      </c>
      <c r="N111" s="303">
        <f>'dod3'!N111-'dod3 базовий'!N102</f>
        <v>87500</v>
      </c>
      <c r="O111" s="298">
        <f>'dod3'!O111-'dod3 базовий'!O102</f>
        <v>87500</v>
      </c>
      <c r="P111" s="298">
        <f>'dod3'!P111-'dod3 базовий'!P102</f>
        <v>2224500</v>
      </c>
    </row>
    <row r="112" spans="1:16" ht="137.25">
      <c r="A112" s="217" t="s">
        <v>705</v>
      </c>
      <c r="B112" s="217" t="s">
        <v>706</v>
      </c>
      <c r="C112" s="217" t="s">
        <v>358</v>
      </c>
      <c r="D112" s="217" t="s">
        <v>704</v>
      </c>
      <c r="E112" s="298">
        <f>'dod3'!E112-'dod3 базовий'!E103</f>
        <v>1002000</v>
      </c>
      <c r="F112" s="303">
        <f>'dod3'!F112-'dod3 базовий'!F103</f>
        <v>1002000</v>
      </c>
      <c r="G112" s="298">
        <f>'dod3'!G112-'dod3 базовий'!G103</f>
        <v>821000</v>
      </c>
      <c r="H112" s="298">
        <f>'dod3'!H112-'dod3 базовий'!H103</f>
        <v>0</v>
      </c>
      <c r="I112" s="303">
        <f>'dod3'!I112-'dod3 базовий'!I103</f>
        <v>0</v>
      </c>
      <c r="J112" s="298">
        <f>'dod3'!J112-'dod3 базовий'!J103</f>
        <v>87500</v>
      </c>
      <c r="K112" s="303">
        <f>'dod3'!K112-'dod3 базовий'!K103</f>
        <v>0</v>
      </c>
      <c r="L112" s="298">
        <f>'dod3'!L112-'dod3 базовий'!L103</f>
        <v>0</v>
      </c>
      <c r="M112" s="298">
        <f>'dod3'!M112-'dod3 базовий'!M103</f>
        <v>0</v>
      </c>
      <c r="N112" s="303">
        <f>'dod3'!N112-'dod3 базовий'!N103</f>
        <v>87500</v>
      </c>
      <c r="O112" s="298">
        <f>'dod3'!O112-'dod3 базовий'!O103</f>
        <v>87500</v>
      </c>
      <c r="P112" s="298">
        <f>'dod3'!P112-'dod3 базовий'!P103</f>
        <v>1089500</v>
      </c>
    </row>
    <row r="113" spans="1:16" ht="91.5">
      <c r="A113" s="217" t="s">
        <v>707</v>
      </c>
      <c r="B113" s="217" t="s">
        <v>708</v>
      </c>
      <c r="C113" s="217" t="s">
        <v>358</v>
      </c>
      <c r="D113" s="217" t="s">
        <v>709</v>
      </c>
      <c r="E113" s="298">
        <f>'dod3'!E113-'dod3 базовий'!E104</f>
        <v>1135000</v>
      </c>
      <c r="F113" s="303">
        <f>'dod3'!F113-'dod3 базовий'!F104</f>
        <v>1135000</v>
      </c>
      <c r="G113" s="298">
        <f>'dod3'!G113-'dod3 базовий'!G104</f>
        <v>0</v>
      </c>
      <c r="H113" s="298">
        <f>'dod3'!H113-'dod3 базовий'!H104</f>
        <v>0</v>
      </c>
      <c r="I113" s="303">
        <f>'dod3'!I113-'dod3 базовий'!I104</f>
        <v>0</v>
      </c>
      <c r="J113" s="298">
        <f>'dod3'!J113-'dod3 базовий'!J104</f>
        <v>0</v>
      </c>
      <c r="K113" s="303">
        <f>'dod3'!K113-'dod3 базовий'!K104</f>
        <v>0</v>
      </c>
      <c r="L113" s="298">
        <f>'dod3'!L113-'dod3 базовий'!L104</f>
        <v>0</v>
      </c>
      <c r="M113" s="298">
        <f>'dod3'!M113-'dod3 базовий'!M104</f>
        <v>0</v>
      </c>
      <c r="N113" s="303">
        <f>'dod3'!N113-'dod3 базовий'!N104</f>
        <v>0</v>
      </c>
      <c r="O113" s="298">
        <f>'dod3'!O113-'dod3 базовий'!O104</f>
        <v>0</v>
      </c>
      <c r="P113" s="298">
        <f>'dod3'!P113-'dod3 базовий'!P104</f>
        <v>1135000</v>
      </c>
    </row>
    <row r="114" spans="1:16" ht="91.5">
      <c r="A114" s="463" t="s">
        <v>839</v>
      </c>
      <c r="B114" s="463" t="s">
        <v>383</v>
      </c>
      <c r="C114" s="463" t="s">
        <v>334</v>
      </c>
      <c r="D114" s="463" t="s">
        <v>838</v>
      </c>
      <c r="E114" s="298">
        <f>'dod3'!E114-0</f>
        <v>0</v>
      </c>
      <c r="F114" s="303">
        <f>'dod3'!F114-0</f>
        <v>0</v>
      </c>
      <c r="G114" s="298">
        <f>'dod3'!G114-0</f>
        <v>0</v>
      </c>
      <c r="H114" s="298">
        <f>'dod3'!H114-0</f>
        <v>0</v>
      </c>
      <c r="I114" s="303">
        <f>'dod3'!I114-0</f>
        <v>0</v>
      </c>
      <c r="J114" s="298">
        <f>'dod3'!J114-0</f>
        <v>27000</v>
      </c>
      <c r="K114" s="303">
        <f>'dod3'!K114-0</f>
        <v>0</v>
      </c>
      <c r="L114" s="298">
        <f>'dod3'!L114-0</f>
        <v>0</v>
      </c>
      <c r="M114" s="298">
        <f>'dod3'!M114-0</f>
        <v>0</v>
      </c>
      <c r="N114" s="303">
        <f>'dod3'!N114-0</f>
        <v>27000</v>
      </c>
      <c r="O114" s="298">
        <f>'dod3'!O114-0</f>
        <v>27000</v>
      </c>
      <c r="P114" s="298">
        <f>'dod3'!P114-0</f>
        <v>27000</v>
      </c>
    </row>
    <row r="115" spans="1:16" ht="135">
      <c r="A115" s="433" t="s">
        <v>65</v>
      </c>
      <c r="B115" s="433"/>
      <c r="C115" s="433"/>
      <c r="D115" s="433" t="s">
        <v>66</v>
      </c>
      <c r="E115" s="436">
        <f>E116</f>
        <v>2073357</v>
      </c>
      <c r="F115" s="436">
        <f t="shared" ref="F115:P115" si="18">F116</f>
        <v>2073357</v>
      </c>
      <c r="G115" s="436">
        <f t="shared" si="18"/>
        <v>211830</v>
      </c>
      <c r="H115" s="436">
        <f t="shared" si="18"/>
        <v>0</v>
      </c>
      <c r="I115" s="436">
        <f t="shared" si="18"/>
        <v>0</v>
      </c>
      <c r="J115" s="436">
        <f t="shared" si="18"/>
        <v>2123628.3200000003</v>
      </c>
      <c r="K115" s="436">
        <f t="shared" si="18"/>
        <v>0</v>
      </c>
      <c r="L115" s="436">
        <f t="shared" si="18"/>
        <v>0</v>
      </c>
      <c r="M115" s="436">
        <f t="shared" si="18"/>
        <v>0</v>
      </c>
      <c r="N115" s="436">
        <f t="shared" si="18"/>
        <v>2123628.3200000003</v>
      </c>
      <c r="O115" s="435">
        <f t="shared" si="18"/>
        <v>2123628.3200000003</v>
      </c>
      <c r="P115" s="436">
        <f t="shared" si="18"/>
        <v>4196985.32</v>
      </c>
    </row>
    <row r="116" spans="1:16" ht="135">
      <c r="A116" s="434" t="s">
        <v>64</v>
      </c>
      <c r="B116" s="434"/>
      <c r="C116" s="434"/>
      <c r="D116" s="434" t="s">
        <v>92</v>
      </c>
      <c r="E116" s="435">
        <f>E117+E119+E123+E126+E128+E131+E136+E134</f>
        <v>2073357</v>
      </c>
      <c r="F116" s="436">
        <f>F117+F119+F123+F126+F128+F131+F136+F134</f>
        <v>2073357</v>
      </c>
      <c r="G116" s="435">
        <f>G117+G119+G123+G126+G128+G131+G136</f>
        <v>211830</v>
      </c>
      <c r="H116" s="435">
        <f>H117+H119+H123+H126+H128+H131+H136</f>
        <v>0</v>
      </c>
      <c r="I116" s="436">
        <f>I117+I119+I123+I126+I128+I131+I136</f>
        <v>0</v>
      </c>
      <c r="J116" s="450">
        <f t="shared" ref="J116" si="19">K116+N116</f>
        <v>2123628.3200000003</v>
      </c>
      <c r="K116" s="436">
        <f>K117+K119+K123+K126+K128+K131+K136</f>
        <v>0</v>
      </c>
      <c r="L116" s="435">
        <f>L117+L119+L123+L126+L128+L131+L136</f>
        <v>0</v>
      </c>
      <c r="M116" s="435">
        <f>M117+M119+M123+M126+M128+M131+M136</f>
        <v>0</v>
      </c>
      <c r="N116" s="436">
        <f>N117+N119+N123+N126+N128+N131+N136</f>
        <v>2123628.3200000003</v>
      </c>
      <c r="O116" s="435">
        <f>O117+O119+O123+O126+O128+O131+O136</f>
        <v>2123628.3200000003</v>
      </c>
      <c r="P116" s="435">
        <f>E116+J116</f>
        <v>4196985.32</v>
      </c>
    </row>
    <row r="117" spans="1:16" ht="137.25">
      <c r="A117" s="438" t="s">
        <v>359</v>
      </c>
      <c r="B117" s="438" t="s">
        <v>360</v>
      </c>
      <c r="C117" s="438"/>
      <c r="D117" s="438" t="s">
        <v>109</v>
      </c>
      <c r="E117" s="213">
        <f>'dod3'!E117-'dod3 базовий'!E107</f>
        <v>258433</v>
      </c>
      <c r="F117" s="213">
        <f>'dod3'!F117-'dod3 базовий'!F107</f>
        <v>258433</v>
      </c>
      <c r="G117" s="213">
        <f>'dod3'!G117-'dod3 базовий'!G107</f>
        <v>211830</v>
      </c>
      <c r="H117" s="213">
        <f>'dod3'!H117-'dod3 базовий'!H107</f>
        <v>0</v>
      </c>
      <c r="I117" s="213">
        <f>'dod3'!I117-'dod3 базовий'!I107</f>
        <v>0</v>
      </c>
      <c r="J117" s="213">
        <f>'dod3'!J117-'dod3 базовий'!J107</f>
        <v>153092</v>
      </c>
      <c r="K117" s="213">
        <f>'dod3'!K117-'dod3 базовий'!K107</f>
        <v>0</v>
      </c>
      <c r="L117" s="213">
        <f>'dod3'!L117-'dod3 базовий'!L107</f>
        <v>0</v>
      </c>
      <c r="M117" s="213">
        <f>'dod3'!M117-'dod3 базовий'!M107</f>
        <v>0</v>
      </c>
      <c r="N117" s="213">
        <f>'dod3'!N117-'dod3 базовий'!N107</f>
        <v>153092</v>
      </c>
      <c r="O117" s="213">
        <f>'dod3'!O117-'dod3 базовий'!O107</f>
        <v>153092</v>
      </c>
      <c r="P117" s="213">
        <f>'dod3'!P117-'dod3 базовий'!P107</f>
        <v>411525</v>
      </c>
    </row>
    <row r="118" spans="1:16" ht="137.25">
      <c r="A118" s="217" t="s">
        <v>361</v>
      </c>
      <c r="B118" s="217" t="s">
        <v>362</v>
      </c>
      <c r="C118" s="217" t="s">
        <v>363</v>
      </c>
      <c r="D118" s="217" t="s">
        <v>364</v>
      </c>
      <c r="E118" s="213">
        <f>'dod3'!E118-'dod3 базовий'!E108</f>
        <v>258433</v>
      </c>
      <c r="F118" s="213">
        <f>'dod3'!F118-'dod3 базовий'!F108</f>
        <v>258433</v>
      </c>
      <c r="G118" s="213">
        <f>'dod3'!G118-'dod3 базовий'!G108</f>
        <v>211830</v>
      </c>
      <c r="H118" s="213">
        <f>'dod3'!H118-'dod3 базовий'!H108</f>
        <v>0</v>
      </c>
      <c r="I118" s="213">
        <f>'dod3'!I118-'dod3 базовий'!I108</f>
        <v>0</v>
      </c>
      <c r="J118" s="213">
        <f>'dod3'!J118-'dod3 базовий'!J108</f>
        <v>153092</v>
      </c>
      <c r="K118" s="213">
        <f>'dod3'!K118-'dod3 базовий'!K108</f>
        <v>0</v>
      </c>
      <c r="L118" s="213">
        <f>'dod3'!L118-'dod3 базовий'!L108</f>
        <v>0</v>
      </c>
      <c r="M118" s="213">
        <f>'dod3'!M118-'dod3 базовий'!M108</f>
        <v>0</v>
      </c>
      <c r="N118" s="213">
        <f>'dod3'!N118-'dod3 базовий'!N108</f>
        <v>153092</v>
      </c>
      <c r="O118" s="213">
        <f>'dod3'!O118-'dod3 базовий'!O108</f>
        <v>153092</v>
      </c>
      <c r="P118" s="213">
        <f>'dod3'!P118-'dod3 базовий'!P108</f>
        <v>411525</v>
      </c>
    </row>
    <row r="119" spans="1:16" ht="91.5">
      <c r="A119" s="438" t="s">
        <v>108</v>
      </c>
      <c r="B119" s="438" t="s">
        <v>338</v>
      </c>
      <c r="C119" s="438"/>
      <c r="D119" s="438" t="s">
        <v>78</v>
      </c>
      <c r="E119" s="213">
        <f>'dod3'!E119-'dod3 базовий'!E109</f>
        <v>233020</v>
      </c>
      <c r="F119" s="213">
        <f>'dod3'!F119-'dod3 базовий'!F109</f>
        <v>233020</v>
      </c>
      <c r="G119" s="213">
        <f>'dod3'!G119-'dod3 базовий'!G109</f>
        <v>0</v>
      </c>
      <c r="H119" s="213">
        <f>'dod3'!H119-'dod3 базовий'!H109</f>
        <v>0</v>
      </c>
      <c r="I119" s="213">
        <f>'dod3'!I119-'dod3 базовий'!I109</f>
        <v>0</v>
      </c>
      <c r="J119" s="213">
        <f>'dod3'!J119-'dod3 базовий'!J109</f>
        <v>636872</v>
      </c>
      <c r="K119" s="213">
        <f>'dod3'!K119-'dod3 базовий'!K109</f>
        <v>0</v>
      </c>
      <c r="L119" s="213">
        <f>'dod3'!L119-'dod3 базовий'!L109</f>
        <v>0</v>
      </c>
      <c r="M119" s="213">
        <f>'dod3'!M119-'dod3 базовий'!M109</f>
        <v>0</v>
      </c>
      <c r="N119" s="213">
        <f>'dod3'!N119-'dod3 базовий'!N109</f>
        <v>636872</v>
      </c>
      <c r="O119" s="213">
        <f>'dod3'!O119-'dod3 базовий'!O109</f>
        <v>636872</v>
      </c>
      <c r="P119" s="213">
        <f>'dod3'!P119-'dod3 базовий'!P109</f>
        <v>869892</v>
      </c>
    </row>
    <row r="120" spans="1:16" ht="183">
      <c r="A120" s="217" t="s">
        <v>107</v>
      </c>
      <c r="B120" s="217" t="s">
        <v>339</v>
      </c>
      <c r="C120" s="217" t="s">
        <v>363</v>
      </c>
      <c r="D120" s="217" t="s">
        <v>33</v>
      </c>
      <c r="E120" s="213">
        <f>'dod3'!E120-'dod3 базовий'!E110</f>
        <v>0</v>
      </c>
      <c r="F120" s="213">
        <f>'dod3'!F120-'dod3 базовий'!F110</f>
        <v>0</v>
      </c>
      <c r="G120" s="213">
        <f>'dod3'!G120-'dod3 базовий'!G110</f>
        <v>0</v>
      </c>
      <c r="H120" s="213">
        <f>'dod3'!H120-'dod3 базовий'!H110</f>
        <v>0</v>
      </c>
      <c r="I120" s="213">
        <f>'dod3'!I120-'dod3 базовий'!I110</f>
        <v>0</v>
      </c>
      <c r="J120" s="213">
        <f>'dod3'!J120-'dod3 базовий'!J110</f>
        <v>0</v>
      </c>
      <c r="K120" s="213">
        <f>'dod3'!K120-'dod3 базовий'!K110</f>
        <v>0</v>
      </c>
      <c r="L120" s="213">
        <f>'dod3'!L120-'dod3 базовий'!L110</f>
        <v>0</v>
      </c>
      <c r="M120" s="213">
        <f>'dod3'!M120-'dod3 базовий'!M110</f>
        <v>0</v>
      </c>
      <c r="N120" s="213">
        <f>'dod3'!N120-'dod3 базовий'!N110</f>
        <v>0</v>
      </c>
      <c r="O120" s="213">
        <f>'dod3'!O120-'dod3 базовий'!O110</f>
        <v>0</v>
      </c>
      <c r="P120" s="213">
        <f>'dod3'!P120-'dod3 базовий'!P110</f>
        <v>0</v>
      </c>
    </row>
    <row r="121" spans="1:16" ht="91.5">
      <c r="A121" s="217" t="s">
        <v>370</v>
      </c>
      <c r="B121" s="217" t="s">
        <v>371</v>
      </c>
      <c r="C121" s="217" t="s">
        <v>363</v>
      </c>
      <c r="D121" s="217" t="s">
        <v>34</v>
      </c>
      <c r="E121" s="213">
        <f>'dod3'!E121-'dod3 базовий'!E111</f>
        <v>233020</v>
      </c>
      <c r="F121" s="213">
        <f>'dod3'!F121-'dod3 базовий'!F111</f>
        <v>233020</v>
      </c>
      <c r="G121" s="213">
        <f>'dod3'!G121-'dod3 базовий'!G111</f>
        <v>0</v>
      </c>
      <c r="H121" s="213">
        <f>'dod3'!H121-'dod3 базовий'!H111</f>
        <v>0</v>
      </c>
      <c r="I121" s="213">
        <f>'dod3'!I121-'dod3 базовий'!I111</f>
        <v>0</v>
      </c>
      <c r="J121" s="213">
        <f>'dod3'!J121-'dod3 базовий'!J111</f>
        <v>636872</v>
      </c>
      <c r="K121" s="213">
        <f>'dod3'!K121-'dod3 базовий'!K111</f>
        <v>0</v>
      </c>
      <c r="L121" s="213">
        <f>'dod3'!L121-'dod3 базовий'!L111</f>
        <v>0</v>
      </c>
      <c r="M121" s="213">
        <f>'dod3'!M121-'dod3 базовий'!M111</f>
        <v>0</v>
      </c>
      <c r="N121" s="213">
        <f>'dod3'!N121-'dod3 базовий'!N111</f>
        <v>636872</v>
      </c>
      <c r="O121" s="213">
        <f>'dod3'!O121-'dod3 базовий'!O111</f>
        <v>636872</v>
      </c>
      <c r="P121" s="213">
        <f>'dod3'!P121-'dod3 базовий'!P111</f>
        <v>869892</v>
      </c>
    </row>
    <row r="122" spans="1:16" ht="91.5">
      <c r="A122" s="217" t="s">
        <v>780</v>
      </c>
      <c r="B122" s="217" t="s">
        <v>781</v>
      </c>
      <c r="C122" s="217" t="s">
        <v>363</v>
      </c>
      <c r="D122" s="217" t="s">
        <v>782</v>
      </c>
      <c r="E122" s="213">
        <f>'dod3'!E122-'dod3 базовий'!E112</f>
        <v>0</v>
      </c>
      <c r="F122" s="213">
        <f>'dod3'!F122-'dod3 базовий'!F112</f>
        <v>0</v>
      </c>
      <c r="G122" s="213">
        <f>'dod3'!G122-'dod3 базовий'!G112</f>
        <v>0</v>
      </c>
      <c r="H122" s="213">
        <f>'dod3'!H122-'dod3 базовий'!H112</f>
        <v>0</v>
      </c>
      <c r="I122" s="213">
        <f>'dod3'!I122-'dod3 базовий'!I112</f>
        <v>0</v>
      </c>
      <c r="J122" s="213">
        <f>'dod3'!J122-'dod3 базовий'!J112</f>
        <v>0</v>
      </c>
      <c r="K122" s="213">
        <f>'dod3'!K122-'dod3 базовий'!K112</f>
        <v>0</v>
      </c>
      <c r="L122" s="213">
        <f>'dod3'!L122-'dod3 базовий'!L112</f>
        <v>0</v>
      </c>
      <c r="M122" s="213">
        <f>'dod3'!M122-'dod3 базовий'!M112</f>
        <v>0</v>
      </c>
      <c r="N122" s="213">
        <f>'dod3'!N122-'dod3 базовий'!N112</f>
        <v>0</v>
      </c>
      <c r="O122" s="213">
        <f>'dod3'!O122-'dod3 базовий'!O112</f>
        <v>0</v>
      </c>
      <c r="P122" s="213">
        <f>'dod3'!P122-'dod3 базовий'!P112</f>
        <v>0</v>
      </c>
    </row>
    <row r="123" spans="1:16" ht="91.5">
      <c r="A123" s="438" t="s">
        <v>110</v>
      </c>
      <c r="B123" s="438" t="s">
        <v>365</v>
      </c>
      <c r="C123" s="438"/>
      <c r="D123" s="438" t="s">
        <v>111</v>
      </c>
      <c r="E123" s="213">
        <f>'dod3'!E123-'dod3 базовий'!E113</f>
        <v>595000</v>
      </c>
      <c r="F123" s="213">
        <f>'dod3'!F123-'dod3 базовий'!F113</f>
        <v>595000</v>
      </c>
      <c r="G123" s="213">
        <f>'dod3'!G123-'dod3 базовий'!G113</f>
        <v>0</v>
      </c>
      <c r="H123" s="213">
        <f>'dod3'!H123-'dod3 базовий'!H113</f>
        <v>0</v>
      </c>
      <c r="I123" s="213">
        <f>'dod3'!I123-'dod3 базовий'!I113</f>
        <v>0</v>
      </c>
      <c r="J123" s="213">
        <f>'dod3'!J123-'dod3 базовий'!J113</f>
        <v>0</v>
      </c>
      <c r="K123" s="213">
        <f>'dod3'!K123-'dod3 базовий'!K113</f>
        <v>0</v>
      </c>
      <c r="L123" s="213">
        <f>'dod3'!L123-'dod3 базовий'!L113</f>
        <v>0</v>
      </c>
      <c r="M123" s="213">
        <f>'dod3'!M123-'dod3 базовий'!M113</f>
        <v>0</v>
      </c>
      <c r="N123" s="213">
        <f>'dod3'!N123-'dod3 базовий'!N113</f>
        <v>0</v>
      </c>
      <c r="O123" s="213">
        <f>'dod3'!O123-'dod3 базовий'!O113</f>
        <v>0</v>
      </c>
      <c r="P123" s="213">
        <f>'dod3'!P123-'dod3 базовий'!P113</f>
        <v>595000</v>
      </c>
    </row>
    <row r="124" spans="1:16" ht="137.25">
      <c r="A124" s="217" t="s">
        <v>112</v>
      </c>
      <c r="B124" s="217" t="s">
        <v>366</v>
      </c>
      <c r="C124" s="217" t="s">
        <v>380</v>
      </c>
      <c r="D124" s="217" t="s">
        <v>113</v>
      </c>
      <c r="E124" s="213">
        <f>'dod3'!E124-'dod3 базовий'!E114</f>
        <v>530000</v>
      </c>
      <c r="F124" s="213">
        <f>'dod3'!F124-'dod3 базовий'!F114</f>
        <v>530000</v>
      </c>
      <c r="G124" s="213">
        <f>'dod3'!G124-'dod3 базовий'!G114</f>
        <v>0</v>
      </c>
      <c r="H124" s="213">
        <f>'dod3'!H124-'dod3 базовий'!H114</f>
        <v>0</v>
      </c>
      <c r="I124" s="213">
        <f>'dod3'!I124-'dod3 базовий'!I114</f>
        <v>0</v>
      </c>
      <c r="J124" s="213">
        <f>'dod3'!J124-'dod3 базовий'!J114</f>
        <v>0</v>
      </c>
      <c r="K124" s="213">
        <f>'dod3'!K124-'dod3 базовий'!K114</f>
        <v>0</v>
      </c>
      <c r="L124" s="213">
        <f>'dod3'!L124-'dod3 базовий'!L114</f>
        <v>0</v>
      </c>
      <c r="M124" s="213">
        <f>'dod3'!M124-'dod3 базовий'!M114</f>
        <v>0</v>
      </c>
      <c r="N124" s="213">
        <f>'dod3'!N124-'dod3 базовий'!N114</f>
        <v>0</v>
      </c>
      <c r="O124" s="213">
        <f>'dod3'!O124-'dod3 базовий'!O114</f>
        <v>0</v>
      </c>
      <c r="P124" s="213">
        <f>'dod3'!P124-'dod3 базовий'!P114</f>
        <v>530000</v>
      </c>
    </row>
    <row r="125" spans="1:16" ht="137.25">
      <c r="A125" s="217" t="s">
        <v>114</v>
      </c>
      <c r="B125" s="217" t="s">
        <v>367</v>
      </c>
      <c r="C125" s="217" t="s">
        <v>380</v>
      </c>
      <c r="D125" s="217" t="s">
        <v>11</v>
      </c>
      <c r="E125" s="213">
        <f>'dod3'!E125-'dod3 базовий'!E115</f>
        <v>65000</v>
      </c>
      <c r="F125" s="213">
        <f>'dod3'!F125-'dod3 базовий'!F115</f>
        <v>65000</v>
      </c>
      <c r="G125" s="213">
        <f>'dod3'!G125-'dod3 базовий'!G115</f>
        <v>0</v>
      </c>
      <c r="H125" s="213">
        <f>'dod3'!H125-'dod3 базовий'!H115</f>
        <v>0</v>
      </c>
      <c r="I125" s="213">
        <f>'dod3'!I125-'dod3 базовий'!I115</f>
        <v>0</v>
      </c>
      <c r="J125" s="213">
        <f>'dod3'!J125-'dod3 базовий'!J115</f>
        <v>0</v>
      </c>
      <c r="K125" s="213">
        <f>'dod3'!K125-'dod3 базовий'!K115</f>
        <v>0</v>
      </c>
      <c r="L125" s="213">
        <f>'dod3'!L125-'dod3 базовий'!L115</f>
        <v>0</v>
      </c>
      <c r="M125" s="213">
        <f>'dod3'!M125-'dod3 базовий'!M115</f>
        <v>0</v>
      </c>
      <c r="N125" s="213">
        <f>'dod3'!N125-'dod3 базовий'!N115</f>
        <v>0</v>
      </c>
      <c r="O125" s="213">
        <f>'dod3'!O125-'dod3 базовий'!O115</f>
        <v>0</v>
      </c>
      <c r="P125" s="213">
        <f>'dod3'!P125-'dod3 базовий'!P115</f>
        <v>65000</v>
      </c>
    </row>
    <row r="126" spans="1:16" ht="137.25">
      <c r="A126" s="438" t="s">
        <v>115</v>
      </c>
      <c r="B126" s="438" t="s">
        <v>368</v>
      </c>
      <c r="C126" s="438"/>
      <c r="D126" s="438" t="s">
        <v>771</v>
      </c>
      <c r="E126" s="213">
        <f>'dod3'!E126-'dod3 базовий'!E116</f>
        <v>0</v>
      </c>
      <c r="F126" s="213">
        <f>'dod3'!F126-'dod3 базовий'!F116</f>
        <v>0</v>
      </c>
      <c r="G126" s="213">
        <f>'dod3'!G126-'dod3 базовий'!G116</f>
        <v>0</v>
      </c>
      <c r="H126" s="213">
        <f>'dod3'!H126-'dod3 базовий'!H116</f>
        <v>0</v>
      </c>
      <c r="I126" s="213">
        <f>'dod3'!I126-'dod3 базовий'!I116</f>
        <v>0</v>
      </c>
      <c r="J126" s="213">
        <f>'dod3'!J126-'dod3 базовий'!J116</f>
        <v>0</v>
      </c>
      <c r="K126" s="213">
        <f>'dod3'!K126-'dod3 базовий'!K116</f>
        <v>0</v>
      </c>
      <c r="L126" s="213">
        <f>'dod3'!L126-'dod3 базовий'!L116</f>
        <v>0</v>
      </c>
      <c r="M126" s="213">
        <f>'dod3'!M126-'dod3 базовий'!M116</f>
        <v>0</v>
      </c>
      <c r="N126" s="213">
        <f>'dod3'!N126-'dod3 базовий'!N116</f>
        <v>0</v>
      </c>
      <c r="O126" s="213">
        <f>'dod3'!O126-'dod3 базовий'!O116</f>
        <v>0</v>
      </c>
      <c r="P126" s="213">
        <f>'dod3'!P126-'dod3 базовий'!P116</f>
        <v>0</v>
      </c>
    </row>
    <row r="127" spans="1:16" ht="183">
      <c r="A127" s="217" t="s">
        <v>116</v>
      </c>
      <c r="B127" s="217" t="s">
        <v>369</v>
      </c>
      <c r="C127" s="217" t="s">
        <v>380</v>
      </c>
      <c r="D127" s="217" t="s">
        <v>772</v>
      </c>
      <c r="E127" s="213">
        <f>'dod3'!E127-'dod3 базовий'!E117</f>
        <v>0</v>
      </c>
      <c r="F127" s="213">
        <f>'dod3'!F127-'dod3 базовий'!F117</f>
        <v>0</v>
      </c>
      <c r="G127" s="213">
        <f>'dod3'!G127-'dod3 базовий'!G117</f>
        <v>0</v>
      </c>
      <c r="H127" s="213">
        <f>'dod3'!H127-'dod3 базовий'!H117</f>
        <v>0</v>
      </c>
      <c r="I127" s="213">
        <f>'dod3'!I127-'dod3 базовий'!I117</f>
        <v>0</v>
      </c>
      <c r="J127" s="213">
        <f>'dod3'!J127-'dod3 базовий'!J117</f>
        <v>0</v>
      </c>
      <c r="K127" s="213">
        <f>'dod3'!K127-'dod3 базовий'!K117</f>
        <v>0</v>
      </c>
      <c r="L127" s="213">
        <f>'dod3'!L127-'dod3 базовий'!L117</f>
        <v>0</v>
      </c>
      <c r="M127" s="213">
        <f>'dod3'!M127-'dod3 базовий'!M117</f>
        <v>0</v>
      </c>
      <c r="N127" s="213">
        <f>'dod3'!N127-'dod3 базовий'!N117</f>
        <v>0</v>
      </c>
      <c r="O127" s="213">
        <f>'dod3'!O127-'dod3 базовий'!O117</f>
        <v>0</v>
      </c>
      <c r="P127" s="213">
        <f>'dod3'!P127-'dod3 базовий'!P117</f>
        <v>0</v>
      </c>
    </row>
    <row r="128" spans="1:16" ht="91.5">
      <c r="A128" s="438" t="s">
        <v>80</v>
      </c>
      <c r="B128" s="438" t="s">
        <v>375</v>
      </c>
      <c r="C128" s="438"/>
      <c r="D128" s="438" t="s">
        <v>81</v>
      </c>
      <c r="E128" s="213">
        <f>'dod3'!E128-'dod3 базовий'!E118</f>
        <v>986904</v>
      </c>
      <c r="F128" s="213">
        <f>'dod3'!F128-'dod3 базовий'!F118</f>
        <v>986904</v>
      </c>
      <c r="G128" s="213">
        <f>'dod3'!G128-'dod3 базовий'!G118</f>
        <v>0</v>
      </c>
      <c r="H128" s="213">
        <f>'dod3'!H128-'dod3 базовий'!H118</f>
        <v>0</v>
      </c>
      <c r="I128" s="213">
        <f>'dod3'!I128-'dod3 базовий'!I118</f>
        <v>0</v>
      </c>
      <c r="J128" s="213">
        <f>'dod3'!J128-'dod3 базовий'!J118</f>
        <v>1256264.3200000003</v>
      </c>
      <c r="K128" s="213">
        <f>'dod3'!K128-'dod3 базовий'!K118</f>
        <v>0</v>
      </c>
      <c r="L128" s="213">
        <f>'dod3'!L128-'dod3 базовий'!L118</f>
        <v>0</v>
      </c>
      <c r="M128" s="213">
        <f>'dod3'!M128-'dod3 базовий'!M118</f>
        <v>0</v>
      </c>
      <c r="N128" s="213">
        <f>'dod3'!N128-'dod3 базовий'!N118</f>
        <v>1256264.3200000003</v>
      </c>
      <c r="O128" s="213">
        <f>'dod3'!O128-'dod3 базовий'!O118</f>
        <v>1256264.3200000003</v>
      </c>
      <c r="P128" s="213">
        <f>'dod3'!P128-'dod3 базовий'!P118</f>
        <v>2243168.3200000003</v>
      </c>
    </row>
    <row r="129" spans="1:16" ht="183">
      <c r="A129" s="217" t="s">
        <v>79</v>
      </c>
      <c r="B129" s="217" t="s">
        <v>376</v>
      </c>
      <c r="C129" s="217" t="s">
        <v>380</v>
      </c>
      <c r="D129" s="217" t="s">
        <v>117</v>
      </c>
      <c r="E129" s="213">
        <f>'dod3'!E129-'dod3 базовий'!E119</f>
        <v>526918</v>
      </c>
      <c r="F129" s="213">
        <f>'dod3'!F129-'dod3 базовий'!F119</f>
        <v>526918</v>
      </c>
      <c r="G129" s="213">
        <f>'dod3'!G129-'dod3 базовий'!G119</f>
        <v>0</v>
      </c>
      <c r="H129" s="213">
        <f>'dod3'!H129-'dod3 базовий'!H119</f>
        <v>0</v>
      </c>
      <c r="I129" s="213">
        <f>'dod3'!I129-'dod3 базовий'!I119</f>
        <v>0</v>
      </c>
      <c r="J129" s="213">
        <f>'dod3'!J129-'dod3 базовий'!J119</f>
        <v>1256264.3200000003</v>
      </c>
      <c r="K129" s="213">
        <f>'dod3'!K129-'dod3 базовий'!K119</f>
        <v>0</v>
      </c>
      <c r="L129" s="213">
        <f>'dod3'!L129-'dod3 базовий'!L119</f>
        <v>0</v>
      </c>
      <c r="M129" s="213">
        <f>'dod3'!M129-'dod3 базовий'!M119</f>
        <v>0</v>
      </c>
      <c r="N129" s="213">
        <f>'dod3'!N129-'dod3 базовий'!N119</f>
        <v>1256264.3200000003</v>
      </c>
      <c r="O129" s="213">
        <f>'dod3'!O129-'dod3 базовий'!O119</f>
        <v>1256264.3200000003</v>
      </c>
      <c r="P129" s="213">
        <f>'dod3'!P129-'dod3 базовий'!P119</f>
        <v>1783182.3200000003</v>
      </c>
    </row>
    <row r="130" spans="1:16" ht="183">
      <c r="A130" s="217" t="s">
        <v>82</v>
      </c>
      <c r="B130" s="217" t="s">
        <v>377</v>
      </c>
      <c r="C130" s="217" t="s">
        <v>380</v>
      </c>
      <c r="D130" s="217" t="s">
        <v>118</v>
      </c>
      <c r="E130" s="213">
        <f>'dod3'!E130-'dod3 базовий'!E120</f>
        <v>459986</v>
      </c>
      <c r="F130" s="213">
        <f>'dod3'!F130-'dod3 базовий'!F120</f>
        <v>459986</v>
      </c>
      <c r="G130" s="213">
        <f>'dod3'!G130-'dod3 базовий'!G120</f>
        <v>0</v>
      </c>
      <c r="H130" s="213">
        <f>'dod3'!H130-'dod3 базовий'!H120</f>
        <v>0</v>
      </c>
      <c r="I130" s="213">
        <f>'dod3'!I130-'dod3 базовий'!I120</f>
        <v>0</v>
      </c>
      <c r="J130" s="213">
        <f>'dod3'!J130-'dod3 базовий'!J120</f>
        <v>0</v>
      </c>
      <c r="K130" s="213">
        <f>'dod3'!K130-'dod3 базовий'!K120</f>
        <v>0</v>
      </c>
      <c r="L130" s="213">
        <f>'dod3'!L130-'dod3 базовий'!L120</f>
        <v>0</v>
      </c>
      <c r="M130" s="213">
        <f>'dod3'!M130-'dod3 базовий'!M120</f>
        <v>0</v>
      </c>
      <c r="N130" s="213">
        <f>'dod3'!N130-'dod3 базовий'!N120</f>
        <v>0</v>
      </c>
      <c r="O130" s="213">
        <f>'dod3'!O130-'dod3 базовий'!O120</f>
        <v>0</v>
      </c>
      <c r="P130" s="213">
        <f>'dod3'!P130-'dod3 базовий'!P120</f>
        <v>459986</v>
      </c>
    </row>
    <row r="131" spans="1:16" ht="91.5">
      <c r="A131" s="438" t="s">
        <v>119</v>
      </c>
      <c r="B131" s="438" t="s">
        <v>378</v>
      </c>
      <c r="C131" s="438"/>
      <c r="D131" s="438" t="s">
        <v>83</v>
      </c>
      <c r="E131" s="213">
        <f>'dod3'!E131-'dod3 базовий'!E121</f>
        <v>0</v>
      </c>
      <c r="F131" s="213">
        <f>'dod3'!F131-'dod3 базовий'!F121</f>
        <v>0</v>
      </c>
      <c r="G131" s="213">
        <f>'dod3'!G131-'dod3 базовий'!G121</f>
        <v>0</v>
      </c>
      <c r="H131" s="213">
        <f>'dod3'!H131-'dod3 базовий'!H121</f>
        <v>0</v>
      </c>
      <c r="I131" s="213">
        <f>'dod3'!I131-'dod3 базовий'!I121</f>
        <v>0</v>
      </c>
      <c r="J131" s="213">
        <f>'dod3'!J131-'dod3 базовий'!J121</f>
        <v>77400</v>
      </c>
      <c r="K131" s="213">
        <f>'dod3'!K131-'dod3 базовий'!K121</f>
        <v>0</v>
      </c>
      <c r="L131" s="213">
        <f>'dod3'!L131-'dod3 базовий'!L121</f>
        <v>0</v>
      </c>
      <c r="M131" s="213">
        <f>'dod3'!M131-'dod3 базовий'!M121</f>
        <v>0</v>
      </c>
      <c r="N131" s="213">
        <f>'dod3'!N131-'dod3 базовий'!N121</f>
        <v>77400</v>
      </c>
      <c r="O131" s="213">
        <f>'dod3'!O131-'dod3 базовий'!O121</f>
        <v>77400</v>
      </c>
      <c r="P131" s="213">
        <f>'dod3'!P131-'dod3 базовий'!P121</f>
        <v>77400</v>
      </c>
    </row>
    <row r="132" spans="1:16" ht="274.5">
      <c r="A132" s="221" t="s">
        <v>84</v>
      </c>
      <c r="B132" s="221" t="s">
        <v>379</v>
      </c>
      <c r="C132" s="221" t="s">
        <v>380</v>
      </c>
      <c r="D132" s="217" t="s">
        <v>85</v>
      </c>
      <c r="E132" s="213">
        <f>'dod3'!E132-'dod3 базовий'!E122</f>
        <v>0</v>
      </c>
      <c r="F132" s="213">
        <f>'dod3'!F132-'dod3 базовий'!F122</f>
        <v>0</v>
      </c>
      <c r="G132" s="213">
        <f>'dod3'!G132-'dod3 базовий'!G122</f>
        <v>0</v>
      </c>
      <c r="H132" s="213">
        <f>'dod3'!H132-'dod3 базовий'!H122</f>
        <v>0</v>
      </c>
      <c r="I132" s="213">
        <f>'dod3'!I132-'dod3 базовий'!I122</f>
        <v>0</v>
      </c>
      <c r="J132" s="213">
        <f>'dod3'!J132-'dod3 базовий'!J122</f>
        <v>0</v>
      </c>
      <c r="K132" s="213">
        <f>'dod3'!K132-'dod3 базовий'!K122</f>
        <v>0</v>
      </c>
      <c r="L132" s="213">
        <f>'dod3'!L132-'dod3 базовий'!L122</f>
        <v>0</v>
      </c>
      <c r="M132" s="213">
        <f>'dod3'!M132-'dod3 базовий'!M122</f>
        <v>0</v>
      </c>
      <c r="N132" s="213">
        <f>'dod3'!N132-'dod3 базовий'!N122</f>
        <v>0</v>
      </c>
      <c r="O132" s="213">
        <f>'dod3'!O132-'dod3 базовий'!O122</f>
        <v>0</v>
      </c>
      <c r="P132" s="213">
        <f>'dod3'!P132-'dod3 базовий'!P122</f>
        <v>0</v>
      </c>
    </row>
    <row r="133" spans="1:16" ht="91.5">
      <c r="A133" s="221" t="s">
        <v>86</v>
      </c>
      <c r="B133" s="221" t="s">
        <v>381</v>
      </c>
      <c r="C133" s="221" t="s">
        <v>380</v>
      </c>
      <c r="D133" s="217" t="s">
        <v>87</v>
      </c>
      <c r="E133" s="213">
        <f>'dod3'!E133-'dod3 базовий'!E123</f>
        <v>0</v>
      </c>
      <c r="F133" s="213">
        <f>'dod3'!F133-'dod3 базовий'!F123</f>
        <v>0</v>
      </c>
      <c r="G133" s="213">
        <f>'dod3'!G133-'dod3 базовий'!G123</f>
        <v>0</v>
      </c>
      <c r="H133" s="213">
        <f>'dod3'!H133-'dod3 базовий'!H123</f>
        <v>0</v>
      </c>
      <c r="I133" s="213">
        <f>'dod3'!I133-'dod3 базовий'!I123</f>
        <v>0</v>
      </c>
      <c r="J133" s="213">
        <f>'dod3'!J133-'dod3 базовий'!J123</f>
        <v>77400</v>
      </c>
      <c r="K133" s="213">
        <f>'dod3'!K133-'dod3 базовий'!K123</f>
        <v>0</v>
      </c>
      <c r="L133" s="213">
        <f>'dod3'!L133-'dod3 базовий'!L123</f>
        <v>0</v>
      </c>
      <c r="M133" s="213">
        <f>'dod3'!M133-'dod3 базовий'!M123</f>
        <v>0</v>
      </c>
      <c r="N133" s="213">
        <f>'dod3'!N133-'dod3 базовий'!N123</f>
        <v>77400</v>
      </c>
      <c r="O133" s="213">
        <f>'dod3'!O133-'dod3 базовий'!O123</f>
        <v>77400</v>
      </c>
      <c r="P133" s="213">
        <f>'dod3'!P133-'dod3 базовий'!P123</f>
        <v>77400</v>
      </c>
    </row>
    <row r="134" spans="1:16" ht="91.5">
      <c r="A134" s="222" t="s">
        <v>718</v>
      </c>
      <c r="B134" s="222" t="s">
        <v>720</v>
      </c>
      <c r="C134" s="222"/>
      <c r="D134" s="438" t="s">
        <v>719</v>
      </c>
      <c r="E134" s="213">
        <f>'dod3'!E134-'dod3 базовий'!E124</f>
        <v>0</v>
      </c>
      <c r="F134" s="213">
        <f>'dod3'!F134-'dod3 базовий'!F124</f>
        <v>0</v>
      </c>
      <c r="G134" s="213">
        <f>'dod3'!G134-'dod3 базовий'!G124</f>
        <v>0</v>
      </c>
      <c r="H134" s="213">
        <f>'dod3'!H134-'dod3 базовий'!H124</f>
        <v>0</v>
      </c>
      <c r="I134" s="213">
        <f>'dod3'!I134-'dod3 базовий'!I124</f>
        <v>0</v>
      </c>
      <c r="J134" s="213">
        <f>'dod3'!J134-'dod3 базовий'!J124</f>
        <v>0</v>
      </c>
      <c r="K134" s="213">
        <f>'dod3'!K134-'dod3 базовий'!K124</f>
        <v>0</v>
      </c>
      <c r="L134" s="213">
        <f>'dod3'!L134-'dod3 базовий'!L124</f>
        <v>0</v>
      </c>
      <c r="M134" s="213">
        <f>'dod3'!M134-'dod3 базовий'!M124</f>
        <v>0</v>
      </c>
      <c r="N134" s="213">
        <f>'dod3'!N134-'dod3 базовий'!N124</f>
        <v>0</v>
      </c>
      <c r="O134" s="213">
        <f>'dod3'!O134-'dod3 базовий'!O124</f>
        <v>0</v>
      </c>
      <c r="P134" s="213">
        <f>'dod3'!P134-'dod3 базовий'!P124</f>
        <v>0</v>
      </c>
    </row>
    <row r="135" spans="1:16" ht="274.5">
      <c r="A135" s="221" t="s">
        <v>724</v>
      </c>
      <c r="B135" s="221" t="s">
        <v>723</v>
      </c>
      <c r="C135" s="221" t="s">
        <v>722</v>
      </c>
      <c r="D135" s="217" t="s">
        <v>721</v>
      </c>
      <c r="E135" s="213">
        <f>'dod3'!E135-'dod3 базовий'!E125</f>
        <v>0</v>
      </c>
      <c r="F135" s="213">
        <f>'dod3'!F135-'dod3 базовий'!F125</f>
        <v>0</v>
      </c>
      <c r="G135" s="213">
        <f>'dod3'!G135-'dod3 базовий'!G125</f>
        <v>0</v>
      </c>
      <c r="H135" s="213">
        <f>'dod3'!H135-'dod3 базовий'!H125</f>
        <v>0</v>
      </c>
      <c r="I135" s="213">
        <f>'dod3'!I135-'dod3 базовий'!I125</f>
        <v>0</v>
      </c>
      <c r="J135" s="213">
        <f>'dod3'!J135-'dod3 базовий'!J125</f>
        <v>0</v>
      </c>
      <c r="K135" s="213">
        <f>'dod3'!K135-'dod3 базовий'!K125</f>
        <v>0</v>
      </c>
      <c r="L135" s="213">
        <f>'dod3'!L135-'dod3 базовий'!L125</f>
        <v>0</v>
      </c>
      <c r="M135" s="213">
        <f>'dod3'!M135-'dod3 базовий'!M125</f>
        <v>0</v>
      </c>
      <c r="N135" s="213">
        <f>'dod3'!N135-'dod3 базовий'!N125</f>
        <v>0</v>
      </c>
      <c r="O135" s="213">
        <f>'dod3'!O135-'dod3 базовий'!O125</f>
        <v>0</v>
      </c>
      <c r="P135" s="213">
        <f>'dod3'!P135-'dod3 базовий'!P125</f>
        <v>0</v>
      </c>
    </row>
    <row r="136" spans="1:16" ht="91.5">
      <c r="A136" s="222" t="s">
        <v>382</v>
      </c>
      <c r="B136" s="222" t="s">
        <v>383</v>
      </c>
      <c r="C136" s="222" t="s">
        <v>334</v>
      </c>
      <c r="D136" s="438" t="s">
        <v>91</v>
      </c>
      <c r="E136" s="213">
        <f>'dod3'!E136-'dod3 базовий'!E126</f>
        <v>0</v>
      </c>
      <c r="F136" s="213">
        <f>'dod3'!F136-'dod3 базовий'!F126</f>
        <v>0</v>
      </c>
      <c r="G136" s="213">
        <f>'dod3'!G136-'dod3 базовий'!G126</f>
        <v>0</v>
      </c>
      <c r="H136" s="213">
        <f>'dod3'!H136-'dod3 базовий'!H126</f>
        <v>0</v>
      </c>
      <c r="I136" s="213">
        <f>'dod3'!I136-'dod3 базовий'!I126</f>
        <v>0</v>
      </c>
      <c r="J136" s="213">
        <f>'dod3'!J136-'dod3 базовий'!J126</f>
        <v>0</v>
      </c>
      <c r="K136" s="213">
        <f>'dod3'!K136-'dod3 базовий'!K126</f>
        <v>0</v>
      </c>
      <c r="L136" s="213">
        <f>'dod3'!L136-'dod3 базовий'!L126</f>
        <v>0</v>
      </c>
      <c r="M136" s="213">
        <f>'dod3'!M136-'dod3 базовий'!M126</f>
        <v>0</v>
      </c>
      <c r="N136" s="213">
        <f>'dod3'!N136-'dod3 базовий'!N126</f>
        <v>0</v>
      </c>
      <c r="O136" s="213">
        <f>'dod3'!O136-'dod3 базовий'!O126</f>
        <v>0</v>
      </c>
      <c r="P136" s="213">
        <f>'dod3'!P136-'dod3 базовий'!P126</f>
        <v>0</v>
      </c>
    </row>
    <row r="137" spans="1:16" ht="180">
      <c r="A137" s="433" t="s">
        <v>320</v>
      </c>
      <c r="B137" s="433"/>
      <c r="C137" s="433"/>
      <c r="D137" s="433" t="s">
        <v>67</v>
      </c>
      <c r="E137" s="436">
        <f>E138</f>
        <v>29562214</v>
      </c>
      <c r="F137" s="436">
        <f t="shared" ref="F137:P137" si="20">F138</f>
        <v>29562214</v>
      </c>
      <c r="G137" s="436">
        <f t="shared" si="20"/>
        <v>0</v>
      </c>
      <c r="H137" s="436">
        <f t="shared" si="20"/>
        <v>0</v>
      </c>
      <c r="I137" s="436">
        <f t="shared" si="20"/>
        <v>0</v>
      </c>
      <c r="J137" s="436">
        <f t="shared" si="20"/>
        <v>91143934.090000004</v>
      </c>
      <c r="K137" s="436">
        <f t="shared" si="20"/>
        <v>0</v>
      </c>
      <c r="L137" s="436">
        <f t="shared" si="20"/>
        <v>0</v>
      </c>
      <c r="M137" s="436">
        <f t="shared" si="20"/>
        <v>0</v>
      </c>
      <c r="N137" s="436">
        <f t="shared" si="20"/>
        <v>91143934.090000004</v>
      </c>
      <c r="O137" s="435">
        <f t="shared" si="20"/>
        <v>90629711</v>
      </c>
      <c r="P137" s="436">
        <f t="shared" si="20"/>
        <v>120706148.09</v>
      </c>
    </row>
    <row r="138" spans="1:16" ht="180">
      <c r="A138" s="434" t="s">
        <v>321</v>
      </c>
      <c r="B138" s="434"/>
      <c r="C138" s="434"/>
      <c r="D138" s="434" t="s">
        <v>97</v>
      </c>
      <c r="E138" s="435">
        <f>E139+E145+E146+E147+E149+E151+E153+E154+E155+E156</f>
        <v>29562214</v>
      </c>
      <c r="F138" s="436">
        <f>F139+F145+F146+F147+F149+F151+F153+F154+F155+F156</f>
        <v>29562214</v>
      </c>
      <c r="G138" s="435">
        <f>G139+G145+G146+G147+G149+G151+G153+G154+G155+G156</f>
        <v>0</v>
      </c>
      <c r="H138" s="435">
        <f>H139+H145+H146+H147+H149+H151+H153+H154+H155+H156</f>
        <v>0</v>
      </c>
      <c r="I138" s="436">
        <f>I139+I145+I146+I147+I149+I151+I153+I154+I155+I156</f>
        <v>0</v>
      </c>
      <c r="J138" s="435">
        <f t="shared" ref="J138" si="21">K138+N138</f>
        <v>91143934.090000004</v>
      </c>
      <c r="K138" s="436">
        <f>K139+K145+K146+K147+K149+K151+K153+K154+K155+K156</f>
        <v>0</v>
      </c>
      <c r="L138" s="435">
        <f>L139+L145+L146+L147+L149+L151+L153+L154+L155+L156</f>
        <v>0</v>
      </c>
      <c r="M138" s="435">
        <f>M139+M145+M146+M147+M149+M151+M153+M154+M155+M156</f>
        <v>0</v>
      </c>
      <c r="N138" s="436">
        <f>N139+N145+N146+N147+N148+N149+N151+N153+N154+N155+N156</f>
        <v>91143934.090000004</v>
      </c>
      <c r="O138" s="435">
        <f>O139+O145+O146+O147+O148+O149+O151+O153+O154+O155+O156</f>
        <v>90629711</v>
      </c>
      <c r="P138" s="435">
        <f>E138+J138</f>
        <v>120706148.09</v>
      </c>
    </row>
    <row r="139" spans="1:16" ht="137.25">
      <c r="A139" s="438" t="s">
        <v>538</v>
      </c>
      <c r="B139" s="438" t="s">
        <v>539</v>
      </c>
      <c r="C139" s="438"/>
      <c r="D139" s="438" t="s">
        <v>542</v>
      </c>
      <c r="E139" s="514">
        <f>'dod3'!E139-'dod3 базовий'!E129</f>
        <v>748000</v>
      </c>
      <c r="F139" s="514">
        <f>'dod3'!F139-'dod3 базовий'!F129</f>
        <v>748000</v>
      </c>
      <c r="G139" s="514">
        <f>'dod3'!G139-'dod3 базовий'!G129</f>
        <v>0</v>
      </c>
      <c r="H139" s="514">
        <f>'dod3'!H139-'dod3 базовий'!H129</f>
        <v>0</v>
      </c>
      <c r="I139" s="514">
        <f>'dod3'!I139-'dod3 базовий'!I129</f>
        <v>0</v>
      </c>
      <c r="J139" s="514">
        <f>'dod3'!J139-'dod3 базовий'!J129</f>
        <v>4866500</v>
      </c>
      <c r="K139" s="514">
        <f>'dod3'!K139-'dod3 базовий'!K129</f>
        <v>0</v>
      </c>
      <c r="L139" s="514">
        <f>'dod3'!L139-'dod3 базовий'!L129</f>
        <v>0</v>
      </c>
      <c r="M139" s="514">
        <f>'dod3'!M139-'dod3 базовий'!M129</f>
        <v>0</v>
      </c>
      <c r="N139" s="514">
        <f>'dod3'!N139-'dod3 базовий'!N129</f>
        <v>4866500</v>
      </c>
      <c r="O139" s="514">
        <f>'dod3'!O139-'dod3 базовий'!O129</f>
        <v>4866500</v>
      </c>
      <c r="P139" s="514">
        <f>'dod3'!P139-'dod3 базовий'!P129</f>
        <v>5614500</v>
      </c>
    </row>
    <row r="140" spans="1:16" ht="137.25">
      <c r="A140" s="217" t="s">
        <v>540</v>
      </c>
      <c r="B140" s="217" t="s">
        <v>541</v>
      </c>
      <c r="C140" s="217" t="s">
        <v>544</v>
      </c>
      <c r="D140" s="217" t="s">
        <v>543</v>
      </c>
      <c r="E140" s="514">
        <f>'dod3'!E140-'dod3 базовий'!E130</f>
        <v>748000</v>
      </c>
      <c r="F140" s="514">
        <f>'dod3'!F140-'dod3 базовий'!F130</f>
        <v>748000</v>
      </c>
      <c r="G140" s="514">
        <f>'dod3'!G140-'dod3 базовий'!G130</f>
        <v>0</v>
      </c>
      <c r="H140" s="514">
        <f>'dod3'!H140-'dod3 базовий'!H130</f>
        <v>0</v>
      </c>
      <c r="I140" s="514">
        <f>'dod3'!I140-'dod3 базовий'!I130</f>
        <v>0</v>
      </c>
      <c r="J140" s="514">
        <f>'dod3'!J140-'dod3 базовий'!J130</f>
        <v>2866500</v>
      </c>
      <c r="K140" s="514">
        <f>'dod3'!K140-'dod3 базовий'!K130</f>
        <v>0</v>
      </c>
      <c r="L140" s="514">
        <f>'dod3'!L140-'dod3 базовий'!L130</f>
        <v>0</v>
      </c>
      <c r="M140" s="514">
        <f>'dod3'!M140-'dod3 базовий'!M130</f>
        <v>0</v>
      </c>
      <c r="N140" s="514">
        <f>'dod3'!N140-'dod3 базовий'!N130</f>
        <v>2866500</v>
      </c>
      <c r="O140" s="514">
        <f>'dod3'!O140-'dod3 базовий'!O130</f>
        <v>2866500</v>
      </c>
      <c r="P140" s="514">
        <f>'dod3'!P140-'dod3 базовий'!P130</f>
        <v>3614500</v>
      </c>
    </row>
    <row r="141" spans="1:16" ht="137.25">
      <c r="A141" s="217" t="s">
        <v>548</v>
      </c>
      <c r="B141" s="217" t="s">
        <v>549</v>
      </c>
      <c r="C141" s="217" t="s">
        <v>544</v>
      </c>
      <c r="D141" s="217" t="s">
        <v>550</v>
      </c>
      <c r="E141" s="514">
        <f>'dod3'!E141-'dod3 базовий'!E131</f>
        <v>0</v>
      </c>
      <c r="F141" s="514">
        <f>'dod3'!F141-'dod3 базовий'!F131</f>
        <v>0</v>
      </c>
      <c r="G141" s="514">
        <f>'dod3'!G141-'dod3 базовий'!G131</f>
        <v>0</v>
      </c>
      <c r="H141" s="514">
        <f>'dod3'!H141-'dod3 базовий'!H131</f>
        <v>0</v>
      </c>
      <c r="I141" s="514">
        <f>'dod3'!I141-'dod3 базовий'!I131</f>
        <v>0</v>
      </c>
      <c r="J141" s="514">
        <f>'dod3'!J141-'dod3 базовий'!J131</f>
        <v>0</v>
      </c>
      <c r="K141" s="514">
        <f>'dod3'!K141-'dod3 базовий'!K131</f>
        <v>0</v>
      </c>
      <c r="L141" s="514">
        <f>'dod3'!L141-'dod3 базовий'!L131</f>
        <v>0</v>
      </c>
      <c r="M141" s="514">
        <f>'dod3'!M141-'dod3 базовий'!M131</f>
        <v>0</v>
      </c>
      <c r="N141" s="514">
        <f>'dod3'!N141-'dod3 базовий'!N131</f>
        <v>0</v>
      </c>
      <c r="O141" s="514">
        <f>'dod3'!O141-'dod3 базовий'!O131</f>
        <v>0</v>
      </c>
      <c r="P141" s="514">
        <f>'dod3'!P141-'dod3 базовий'!P131</f>
        <v>0</v>
      </c>
    </row>
    <row r="142" spans="1:16" ht="91.5">
      <c r="A142" s="217" t="s">
        <v>916</v>
      </c>
      <c r="B142" s="217" t="s">
        <v>917</v>
      </c>
      <c r="C142" s="217" t="s">
        <v>544</v>
      </c>
      <c r="D142" s="217" t="s">
        <v>918</v>
      </c>
      <c r="E142" s="514" t="e">
        <f>'dod3'!#REF!-0</f>
        <v>#REF!</v>
      </c>
      <c r="F142" s="514" t="e">
        <f>'dod3'!#REF!-0</f>
        <v>#REF!</v>
      </c>
      <c r="G142" s="514" t="e">
        <f>'dod3'!#REF!-0</f>
        <v>#REF!</v>
      </c>
      <c r="H142" s="514" t="e">
        <f>'dod3'!#REF!-0</f>
        <v>#REF!</v>
      </c>
      <c r="I142" s="514" t="e">
        <f>'dod3'!#REF!-0</f>
        <v>#REF!</v>
      </c>
      <c r="J142" s="514" t="e">
        <f>'dod3'!#REF!-0</f>
        <v>#REF!</v>
      </c>
      <c r="K142" s="514" t="e">
        <f>'dod3'!#REF!-0</f>
        <v>#REF!</v>
      </c>
      <c r="L142" s="514" t="e">
        <f>'dod3'!#REF!-0</f>
        <v>#REF!</v>
      </c>
      <c r="M142" s="514" t="e">
        <f>'dod3'!#REF!-0</f>
        <v>#REF!</v>
      </c>
      <c r="N142" s="514" t="e">
        <f>'dod3'!#REF!-0</f>
        <v>#REF!</v>
      </c>
      <c r="O142" s="514" t="e">
        <f>'dod3'!#REF!-0</f>
        <v>#REF!</v>
      </c>
      <c r="P142" s="514" t="e">
        <f>'dod3'!#REF!-0</f>
        <v>#REF!</v>
      </c>
    </row>
    <row r="143" spans="1:16" ht="137.25">
      <c r="A143" s="217" t="s">
        <v>579</v>
      </c>
      <c r="B143" s="217" t="s">
        <v>580</v>
      </c>
      <c r="C143" s="217" t="s">
        <v>544</v>
      </c>
      <c r="D143" s="217" t="s">
        <v>581</v>
      </c>
      <c r="E143" s="514">
        <f>'dod3'!E142-'dod3 базовий'!E132</f>
        <v>0</v>
      </c>
      <c r="F143" s="514">
        <f>'dod3'!F142-'dod3 базовий'!F132</f>
        <v>0</v>
      </c>
      <c r="G143" s="514">
        <f>'dod3'!G142-'dod3 базовий'!G132</f>
        <v>0</v>
      </c>
      <c r="H143" s="514">
        <f>'dod3'!H142-'dod3 базовий'!H132</f>
        <v>0</v>
      </c>
      <c r="I143" s="514">
        <f>'dod3'!I142-'dod3 базовий'!I132</f>
        <v>0</v>
      </c>
      <c r="J143" s="514">
        <f>'dod3'!J142-'dod3 базовий'!J132</f>
        <v>0</v>
      </c>
      <c r="K143" s="514">
        <f>'dod3'!K142-'dod3 базовий'!K132</f>
        <v>0</v>
      </c>
      <c r="L143" s="514">
        <f>'dod3'!L142-'dod3 базовий'!L132</f>
        <v>0</v>
      </c>
      <c r="M143" s="514">
        <f>'dod3'!M142-'dod3 базовий'!M132</f>
        <v>0</v>
      </c>
      <c r="N143" s="514">
        <f>'dod3'!N142-'dod3 базовий'!N132</f>
        <v>0</v>
      </c>
      <c r="O143" s="514">
        <f>'dod3'!O142-'dod3 базовий'!O132</f>
        <v>0</v>
      </c>
      <c r="P143" s="514">
        <f>'dod3'!P142-'dod3 базовий'!P132</f>
        <v>0</v>
      </c>
    </row>
    <row r="144" spans="1:16" ht="183">
      <c r="A144" s="217" t="s">
        <v>545</v>
      </c>
      <c r="B144" s="217" t="s">
        <v>546</v>
      </c>
      <c r="C144" s="217" t="s">
        <v>544</v>
      </c>
      <c r="D144" s="217" t="s">
        <v>547</v>
      </c>
      <c r="E144" s="514">
        <f>'dod3'!E143-'dod3 базовий'!E133</f>
        <v>0</v>
      </c>
      <c r="F144" s="514">
        <f>'dod3'!F143-'dod3 базовий'!F133</f>
        <v>0</v>
      </c>
      <c r="G144" s="514">
        <f>'dod3'!G143-'dod3 базовий'!G133</f>
        <v>0</v>
      </c>
      <c r="H144" s="514">
        <f>'dod3'!H143-'dod3 базовий'!H133</f>
        <v>0</v>
      </c>
      <c r="I144" s="514">
        <f>'dod3'!I143-'dod3 базовий'!I133</f>
        <v>0</v>
      </c>
      <c r="J144" s="514">
        <f>'dod3'!J143-'dod3 базовий'!J133</f>
        <v>2000000</v>
      </c>
      <c r="K144" s="514">
        <f>'dod3'!K143-'dod3 базовий'!K133</f>
        <v>0</v>
      </c>
      <c r="L144" s="514">
        <f>'dod3'!L143-'dod3 базовий'!L133</f>
        <v>0</v>
      </c>
      <c r="M144" s="514">
        <f>'dod3'!M143-'dod3 базовий'!M133</f>
        <v>0</v>
      </c>
      <c r="N144" s="514">
        <f>'dod3'!N143-'dod3 базовий'!N133</f>
        <v>2000000</v>
      </c>
      <c r="O144" s="514">
        <f>'dod3'!O143-'dod3 базовий'!O133</f>
        <v>2000000</v>
      </c>
      <c r="P144" s="514">
        <f>'dod3'!P143-'dod3 базовий'!P133</f>
        <v>2000000</v>
      </c>
    </row>
    <row r="145" spans="1:16" ht="228.75">
      <c r="A145" s="438" t="s">
        <v>573</v>
      </c>
      <c r="B145" s="438" t="s">
        <v>574</v>
      </c>
      <c r="C145" s="438" t="s">
        <v>544</v>
      </c>
      <c r="D145" s="438" t="s">
        <v>575</v>
      </c>
      <c r="E145" s="514">
        <f>'dod3'!E144-'dod3 базовий'!E134</f>
        <v>6031800</v>
      </c>
      <c r="F145" s="514">
        <f>'dod3'!F144-'dod3 базовий'!F134</f>
        <v>6031800</v>
      </c>
      <c r="G145" s="514">
        <f>'dod3'!G144-'dod3 базовий'!G134</f>
        <v>0</v>
      </c>
      <c r="H145" s="514">
        <f>'dod3'!H144-'dod3 базовий'!H134</f>
        <v>0</v>
      </c>
      <c r="I145" s="514">
        <f>'dod3'!I144-'dod3 базовий'!I134</f>
        <v>0</v>
      </c>
      <c r="J145" s="514">
        <f>'dod3'!J144-'dod3 базовий'!J134</f>
        <v>0</v>
      </c>
      <c r="K145" s="514">
        <f>'dod3'!K144-'dod3 базовий'!K134</f>
        <v>0</v>
      </c>
      <c r="L145" s="514">
        <f>'dod3'!L144-'dod3 базовий'!L134</f>
        <v>0</v>
      </c>
      <c r="M145" s="514">
        <f>'dod3'!M144-'dod3 базовий'!M134</f>
        <v>0</v>
      </c>
      <c r="N145" s="514">
        <f>'dod3'!N144-'dod3 базовий'!N134</f>
        <v>0</v>
      </c>
      <c r="O145" s="514">
        <f>'dod3'!O144-'dod3 базовий'!O134</f>
        <v>0</v>
      </c>
      <c r="P145" s="514">
        <f>'dod3'!P144-'dod3 базовий'!P134</f>
        <v>6031800</v>
      </c>
    </row>
    <row r="146" spans="1:16" ht="91.5">
      <c r="A146" s="438" t="s">
        <v>551</v>
      </c>
      <c r="B146" s="438" t="s">
        <v>552</v>
      </c>
      <c r="C146" s="438" t="s">
        <v>544</v>
      </c>
      <c r="D146" s="438" t="s">
        <v>553</v>
      </c>
      <c r="E146" s="514">
        <f>'dod3'!E145-'dod3 базовий'!E135</f>
        <v>3989126</v>
      </c>
      <c r="F146" s="514">
        <f>'dod3'!F145-'dod3 базовий'!F135</f>
        <v>3989126</v>
      </c>
      <c r="G146" s="514">
        <f>'dod3'!G145-'dod3 базовий'!G135</f>
        <v>0</v>
      </c>
      <c r="H146" s="514">
        <f>'dod3'!H145-'dod3 базовий'!H135</f>
        <v>0</v>
      </c>
      <c r="I146" s="514">
        <f>'dod3'!I145-'dod3 базовий'!I135</f>
        <v>0</v>
      </c>
      <c r="J146" s="514">
        <f>'dod3'!J145-'dod3 базовий'!J135</f>
        <v>8595732</v>
      </c>
      <c r="K146" s="514">
        <f>'dod3'!K145-'dod3 базовий'!K135</f>
        <v>0</v>
      </c>
      <c r="L146" s="514">
        <f>'dod3'!L145-'dod3 базовий'!L135</f>
        <v>0</v>
      </c>
      <c r="M146" s="514">
        <f>'dod3'!M145-'dod3 базовий'!M135</f>
        <v>0</v>
      </c>
      <c r="N146" s="514">
        <f>'dod3'!N145-'dod3 базовий'!N135</f>
        <v>8595732</v>
      </c>
      <c r="O146" s="514">
        <f>'dod3'!O145-'dod3 базовий'!O135</f>
        <v>8595732</v>
      </c>
      <c r="P146" s="514">
        <f>'dod3'!P145-'dod3 базовий'!P135</f>
        <v>12584858</v>
      </c>
    </row>
    <row r="147" spans="1:16" ht="92.25">
      <c r="A147" s="438" t="s">
        <v>583</v>
      </c>
      <c r="B147" s="438" t="s">
        <v>584</v>
      </c>
      <c r="C147" s="438" t="s">
        <v>582</v>
      </c>
      <c r="D147" s="438" t="s">
        <v>585</v>
      </c>
      <c r="E147" s="514">
        <f>'dod3'!E146-'dod3 базовий'!E136</f>
        <v>0</v>
      </c>
      <c r="F147" s="514">
        <f>'dod3'!F146-'dod3 базовий'!F136</f>
        <v>0</v>
      </c>
      <c r="G147" s="514">
        <f>'dod3'!G146-'dod3 базовий'!G136</f>
        <v>0</v>
      </c>
      <c r="H147" s="514">
        <f>'dod3'!H146-'dod3 базовий'!H136</f>
        <v>0</v>
      </c>
      <c r="I147" s="514">
        <f>'dod3'!I146-'dod3 базовий'!I136</f>
        <v>0</v>
      </c>
      <c r="J147" s="514">
        <f>'dod3'!J146-'dod3 базовий'!J136</f>
        <v>5000000</v>
      </c>
      <c r="K147" s="514">
        <f>'dod3'!K146-'dod3 базовий'!K136</f>
        <v>0</v>
      </c>
      <c r="L147" s="514">
        <f>'dod3'!L146-'dod3 базовий'!L136</f>
        <v>0</v>
      </c>
      <c r="M147" s="514">
        <f>'dod3'!M146-'dod3 базовий'!M136</f>
        <v>0</v>
      </c>
      <c r="N147" s="514">
        <f>'dod3'!N146-'dod3 базовий'!N136</f>
        <v>5000000</v>
      </c>
      <c r="O147" s="514">
        <f>'dod3'!O146-'dod3 базовий'!O136</f>
        <v>5000000</v>
      </c>
      <c r="P147" s="514">
        <f>'dod3'!P146-'dod3 базовий'!P136</f>
        <v>5000000</v>
      </c>
    </row>
    <row r="148" spans="1:16" ht="183">
      <c r="A148" s="438" t="s">
        <v>737</v>
      </c>
      <c r="B148" s="438" t="s">
        <v>621</v>
      </c>
      <c r="C148" s="438" t="s">
        <v>582</v>
      </c>
      <c r="D148" s="438" t="s">
        <v>738</v>
      </c>
      <c r="E148" s="514">
        <f>'dod3'!E147-'dod3 базовий'!E137</f>
        <v>0</v>
      </c>
      <c r="F148" s="514">
        <f>'dod3'!F147-'dod3 базовий'!F137</f>
        <v>0</v>
      </c>
      <c r="G148" s="514">
        <f>'dod3'!G147-'dod3 базовий'!G137</f>
        <v>0</v>
      </c>
      <c r="H148" s="514">
        <f>'dod3'!H147-'dod3 базовий'!H137</f>
        <v>0</v>
      </c>
      <c r="I148" s="514">
        <f>'dod3'!I147-'dod3 базовий'!I137</f>
        <v>0</v>
      </c>
      <c r="J148" s="514">
        <f>'dod3'!J147-'dod3 базовий'!J137</f>
        <v>0</v>
      </c>
      <c r="K148" s="514">
        <f>'dod3'!K147-'dod3 базовий'!K137</f>
        <v>0</v>
      </c>
      <c r="L148" s="514">
        <f>'dod3'!L147-'dod3 базовий'!L137</f>
        <v>0</v>
      </c>
      <c r="M148" s="514">
        <f>'dod3'!M147-'dod3 базовий'!M137</f>
        <v>0</v>
      </c>
      <c r="N148" s="514">
        <f>'dod3'!N147-'dod3 базовий'!N137</f>
        <v>0</v>
      </c>
      <c r="O148" s="514">
        <f>'dod3'!O147-'dod3 базовий'!O137</f>
        <v>0</v>
      </c>
      <c r="P148" s="514">
        <f>'dod3'!P147-'dod3 базовий'!P137</f>
        <v>0</v>
      </c>
    </row>
    <row r="149" spans="1:16" ht="137.25">
      <c r="A149" s="438" t="s">
        <v>555</v>
      </c>
      <c r="B149" s="438" t="s">
        <v>556</v>
      </c>
      <c r="C149" s="438"/>
      <c r="D149" s="438" t="s">
        <v>558</v>
      </c>
      <c r="E149" s="514">
        <f>'dod3'!E148-'dod3 базовий'!E138</f>
        <v>0</v>
      </c>
      <c r="F149" s="514">
        <f>'dod3'!F148-'dod3 базовий'!F138</f>
        <v>0</v>
      </c>
      <c r="G149" s="514">
        <f>'dod3'!G148-'dod3 базовий'!G138</f>
        <v>0</v>
      </c>
      <c r="H149" s="514">
        <f>'dod3'!H148-'dod3 базовий'!H138</f>
        <v>0</v>
      </c>
      <c r="I149" s="514">
        <f>'dod3'!I148-'dod3 базовий'!I138</f>
        <v>0</v>
      </c>
      <c r="J149" s="514">
        <f>'dod3'!J148-'dod3 базовий'!J138</f>
        <v>0</v>
      </c>
      <c r="K149" s="514">
        <f>'dod3'!K148-'dod3 базовий'!K138</f>
        <v>0</v>
      </c>
      <c r="L149" s="514">
        <f>'dod3'!L148-'dod3 базовий'!L138</f>
        <v>0</v>
      </c>
      <c r="M149" s="514">
        <f>'dod3'!M148-'dod3 базовий'!M138</f>
        <v>0</v>
      </c>
      <c r="N149" s="514">
        <f>'dod3'!N148-'dod3 базовий'!N138</f>
        <v>0</v>
      </c>
      <c r="O149" s="514">
        <f>'dod3'!O148-'dod3 базовий'!O138</f>
        <v>0</v>
      </c>
      <c r="P149" s="514">
        <f>'dod3'!P148-'dod3 базовий'!P138</f>
        <v>0</v>
      </c>
    </row>
    <row r="150" spans="1:16" ht="91.5">
      <c r="A150" s="217" t="s">
        <v>554</v>
      </c>
      <c r="B150" s="217" t="s">
        <v>557</v>
      </c>
      <c r="C150" s="217" t="s">
        <v>560</v>
      </c>
      <c r="D150" s="217" t="s">
        <v>559</v>
      </c>
      <c r="E150" s="514">
        <f>'dod3'!E149-'dod3 базовий'!E139</f>
        <v>0</v>
      </c>
      <c r="F150" s="514">
        <f>'dod3'!F149-'dod3 базовий'!F139</f>
        <v>0</v>
      </c>
      <c r="G150" s="514">
        <f>'dod3'!G149-'dod3 базовий'!G139</f>
        <v>0</v>
      </c>
      <c r="H150" s="514">
        <f>'dod3'!H149-'dod3 базовий'!H139</f>
        <v>0</v>
      </c>
      <c r="I150" s="514">
        <f>'dod3'!I149-'dod3 базовий'!I139</f>
        <v>0</v>
      </c>
      <c r="J150" s="514">
        <f>'dod3'!J149-'dod3 базовий'!J139</f>
        <v>0</v>
      </c>
      <c r="K150" s="514">
        <f>'dod3'!K149-'dod3 базовий'!K139</f>
        <v>0</v>
      </c>
      <c r="L150" s="514">
        <f>'dod3'!L149-'dod3 базовий'!L139</f>
        <v>0</v>
      </c>
      <c r="M150" s="514">
        <f>'dod3'!M149-'dod3 базовий'!M139</f>
        <v>0</v>
      </c>
      <c r="N150" s="514">
        <f>'dod3'!N149-'dod3 базовий'!N139</f>
        <v>0</v>
      </c>
      <c r="O150" s="514">
        <f>'dod3'!O149-'dod3 базовий'!O139</f>
        <v>0</v>
      </c>
      <c r="P150" s="514">
        <f>'dod3'!P149-'dod3 базовий'!P139</f>
        <v>0</v>
      </c>
    </row>
    <row r="151" spans="1:16" ht="137.25">
      <c r="A151" s="438" t="s">
        <v>561</v>
      </c>
      <c r="B151" s="438" t="s">
        <v>562</v>
      </c>
      <c r="C151" s="438"/>
      <c r="D151" s="438" t="s">
        <v>563</v>
      </c>
      <c r="E151" s="514">
        <f>'dod3'!E150-'dod3 базовий'!E140</f>
        <v>18578600</v>
      </c>
      <c r="F151" s="514">
        <f>'dod3'!F150-'dod3 базовий'!F140</f>
        <v>18578600</v>
      </c>
      <c r="G151" s="514">
        <f>'dod3'!G150-'dod3 базовий'!G140</f>
        <v>0</v>
      </c>
      <c r="H151" s="514">
        <f>'dod3'!H150-'dod3 базовий'!H140</f>
        <v>0</v>
      </c>
      <c r="I151" s="514">
        <f>'dod3'!I150-'dod3 базовий'!I140</f>
        <v>0</v>
      </c>
      <c r="J151" s="514">
        <f>'dod3'!J150-'dod3 базовий'!J140</f>
        <v>24615433.090000004</v>
      </c>
      <c r="K151" s="514">
        <f>'dod3'!K150-'dod3 базовий'!K140</f>
        <v>0</v>
      </c>
      <c r="L151" s="514">
        <f>'dod3'!L150-'dod3 базовий'!L140</f>
        <v>0</v>
      </c>
      <c r="M151" s="514">
        <f>'dod3'!M150-'dod3 базовий'!M140</f>
        <v>0</v>
      </c>
      <c r="N151" s="514">
        <f>'dod3'!N150-'dod3 базовий'!N140</f>
        <v>24615433.090000004</v>
      </c>
      <c r="O151" s="514">
        <f>'dod3'!O150-'dod3 базовий'!O140</f>
        <v>24101210</v>
      </c>
      <c r="P151" s="514">
        <f>'dod3'!P150-'dod3 базовий'!P140</f>
        <v>43194033.090000004</v>
      </c>
    </row>
    <row r="152" spans="1:16" ht="228.75">
      <c r="A152" s="217" t="s">
        <v>564</v>
      </c>
      <c r="B152" s="217" t="s">
        <v>565</v>
      </c>
      <c r="C152" s="217" t="s">
        <v>567</v>
      </c>
      <c r="D152" s="217" t="s">
        <v>566</v>
      </c>
      <c r="E152" s="514">
        <f>'dod3'!E151-'dod3 базовий'!E141</f>
        <v>18578600</v>
      </c>
      <c r="F152" s="514">
        <f>'dod3'!F151-'dod3 базовий'!F141</f>
        <v>18578600</v>
      </c>
      <c r="G152" s="514">
        <f>'dod3'!G151-'dod3 базовий'!G141</f>
        <v>0</v>
      </c>
      <c r="H152" s="514">
        <f>'dod3'!H151-'dod3 базовий'!H141</f>
        <v>0</v>
      </c>
      <c r="I152" s="514">
        <f>'dod3'!I151-'dod3 базовий'!I141</f>
        <v>0</v>
      </c>
      <c r="J152" s="514">
        <f>'dod3'!J151-'dod3 базовий'!J141</f>
        <v>24615433.090000004</v>
      </c>
      <c r="K152" s="514">
        <f>'dod3'!K151-'dod3 базовий'!K141</f>
        <v>0</v>
      </c>
      <c r="L152" s="514">
        <f>'dod3'!L151-'dod3 базовий'!L141</f>
        <v>0</v>
      </c>
      <c r="M152" s="514">
        <f>'dod3'!M151-'dod3 базовий'!M141</f>
        <v>0</v>
      </c>
      <c r="N152" s="514">
        <f>'dod3'!N151-'dod3 базовий'!N141</f>
        <v>24615433.090000004</v>
      </c>
      <c r="O152" s="514">
        <f>'dod3'!O151-'dod3 базовий'!O141</f>
        <v>24101210</v>
      </c>
      <c r="P152" s="514">
        <f>'dod3'!P151-'dod3 базовий'!P141</f>
        <v>43194033.090000004</v>
      </c>
    </row>
    <row r="153" spans="1:16" ht="46.5">
      <c r="A153" s="438" t="s">
        <v>568</v>
      </c>
      <c r="B153" s="438" t="s">
        <v>413</v>
      </c>
      <c r="C153" s="438" t="s">
        <v>414</v>
      </c>
      <c r="D153" s="438" t="s">
        <v>102</v>
      </c>
      <c r="E153" s="514">
        <f>'dod3'!E152-'dod3 базовий'!E142</f>
        <v>100000</v>
      </c>
      <c r="F153" s="514">
        <f>'dod3'!F152-'dod3 базовий'!F142</f>
        <v>100000</v>
      </c>
      <c r="G153" s="514">
        <f>'dod3'!G152-'dod3 базовий'!G142</f>
        <v>0</v>
      </c>
      <c r="H153" s="514">
        <f>'dod3'!H152-'dod3 базовий'!H142</f>
        <v>0</v>
      </c>
      <c r="I153" s="514">
        <f>'dod3'!I152-'dod3 базовий'!I142</f>
        <v>0</v>
      </c>
      <c r="J153" s="514">
        <f>'dod3'!J152-'dod3 базовий'!J142</f>
        <v>1500000</v>
      </c>
      <c r="K153" s="514">
        <f>'dod3'!K152-'dod3 базовий'!K142</f>
        <v>0</v>
      </c>
      <c r="L153" s="514">
        <f>'dod3'!L152-'dod3 базовий'!L142</f>
        <v>0</v>
      </c>
      <c r="M153" s="514">
        <f>'dod3'!M152-'dod3 базовий'!M142</f>
        <v>0</v>
      </c>
      <c r="N153" s="514">
        <f>'dod3'!N152-'dod3 базовий'!N142</f>
        <v>1500000</v>
      </c>
      <c r="O153" s="514">
        <f>'dod3'!O152-'dod3 базовий'!O142</f>
        <v>1500000</v>
      </c>
      <c r="P153" s="514">
        <f>'dod3'!P152-'dod3 базовий'!P142</f>
        <v>1600000</v>
      </c>
    </row>
    <row r="154" spans="1:16" ht="91.5">
      <c r="A154" s="438" t="s">
        <v>587</v>
      </c>
      <c r="B154" s="438" t="s">
        <v>383</v>
      </c>
      <c r="C154" s="438" t="s">
        <v>334</v>
      </c>
      <c r="D154" s="438" t="s">
        <v>91</v>
      </c>
      <c r="E154" s="514">
        <f>'dod3'!E153-'dod3 базовий'!E143</f>
        <v>0</v>
      </c>
      <c r="F154" s="514">
        <f>'dod3'!F153-'dod3 базовий'!F143</f>
        <v>0</v>
      </c>
      <c r="G154" s="514">
        <f>'dod3'!G153-'dod3 базовий'!G143</f>
        <v>0</v>
      </c>
      <c r="H154" s="514">
        <f>'dod3'!H153-'dod3 базовий'!H143</f>
        <v>0</v>
      </c>
      <c r="I154" s="514">
        <f>'dod3'!I153-'dod3 базовий'!I143</f>
        <v>0</v>
      </c>
      <c r="J154" s="514">
        <f>'dod3'!J153-'dod3 базовий'!J143</f>
        <v>46566269</v>
      </c>
      <c r="K154" s="514">
        <f>'dod3'!K153-'dod3 базовий'!K143</f>
        <v>0</v>
      </c>
      <c r="L154" s="514">
        <f>'dod3'!L153-'dod3 базовий'!L143</f>
        <v>0</v>
      </c>
      <c r="M154" s="514">
        <f>'dod3'!M153-'dod3 базовий'!M143</f>
        <v>0</v>
      </c>
      <c r="N154" s="514">
        <f>'dod3'!N153-'dod3 базовий'!N143</f>
        <v>46566269</v>
      </c>
      <c r="O154" s="514">
        <f>'dod3'!O153-'dod3 базовий'!O143</f>
        <v>46566269</v>
      </c>
      <c r="P154" s="514">
        <f>'dod3'!P153-'dod3 базовий'!P143</f>
        <v>46566269</v>
      </c>
    </row>
    <row r="155" spans="1:16" ht="137.25">
      <c r="A155" s="438" t="s">
        <v>569</v>
      </c>
      <c r="B155" s="438" t="s">
        <v>570</v>
      </c>
      <c r="C155" s="438" t="s">
        <v>500</v>
      </c>
      <c r="D155" s="438" t="s">
        <v>717</v>
      </c>
      <c r="E155" s="514">
        <f>'dod3'!E154-'dod3 базовий'!E144</f>
        <v>0</v>
      </c>
      <c r="F155" s="514">
        <f>'dod3'!F154-'dod3 базовий'!F144</f>
        <v>0</v>
      </c>
      <c r="G155" s="514">
        <f>'dod3'!G154-'dod3 базовий'!G144</f>
        <v>0</v>
      </c>
      <c r="H155" s="514">
        <f>'dod3'!H154-'dod3 базовий'!H144</f>
        <v>0</v>
      </c>
      <c r="I155" s="514">
        <f>'dod3'!I154-'dod3 базовий'!I144</f>
        <v>0</v>
      </c>
      <c r="J155" s="514">
        <f>'dod3'!J154-'dod3 базовий'!J144</f>
        <v>0</v>
      </c>
      <c r="K155" s="514">
        <f>'dod3'!K154-'dod3 базовий'!K144</f>
        <v>0</v>
      </c>
      <c r="L155" s="514">
        <f>'dod3'!L154-'dod3 базовий'!L144</f>
        <v>0</v>
      </c>
      <c r="M155" s="514">
        <f>'dod3'!M154-'dod3 базовий'!M144</f>
        <v>0</v>
      </c>
      <c r="N155" s="514">
        <f>'dod3'!N154-'dod3 базовий'!N144</f>
        <v>0</v>
      </c>
      <c r="O155" s="514">
        <f>'dod3'!O154-'dod3 базовий'!O144</f>
        <v>0</v>
      </c>
      <c r="P155" s="514">
        <f>'dod3'!P154-'dod3 базовий'!P144</f>
        <v>0</v>
      </c>
    </row>
    <row r="156" spans="1:16" ht="91.5">
      <c r="A156" s="438" t="s">
        <v>498</v>
      </c>
      <c r="B156" s="438" t="s">
        <v>499</v>
      </c>
      <c r="C156" s="438" t="s">
        <v>500</v>
      </c>
      <c r="D156" s="438" t="s">
        <v>497</v>
      </c>
      <c r="E156" s="514">
        <f>'dod3'!E155-'dod3 базовий'!E145</f>
        <v>114688</v>
      </c>
      <c r="F156" s="514">
        <f>'dod3'!F155-'dod3 базовий'!F145</f>
        <v>114688</v>
      </c>
      <c r="G156" s="514">
        <f>'dod3'!G155-'dod3 базовий'!G145</f>
        <v>0</v>
      </c>
      <c r="H156" s="514">
        <f>'dod3'!H155-'dod3 базовий'!H145</f>
        <v>0</v>
      </c>
      <c r="I156" s="514">
        <f>'dod3'!I155-'dod3 базовий'!I145</f>
        <v>0</v>
      </c>
      <c r="J156" s="514">
        <f>'dod3'!J155-'dod3 базовий'!J145</f>
        <v>0</v>
      </c>
      <c r="K156" s="514">
        <f>'dod3'!K155-'dod3 базовий'!K145</f>
        <v>0</v>
      </c>
      <c r="L156" s="514">
        <f>'dod3'!L155-'dod3 базовий'!L145</f>
        <v>0</v>
      </c>
      <c r="M156" s="514">
        <f>'dod3'!M155-'dod3 базовий'!M145</f>
        <v>0</v>
      </c>
      <c r="N156" s="514">
        <f>'dod3'!N155-'dod3 базовий'!N145</f>
        <v>0</v>
      </c>
      <c r="O156" s="514">
        <f>'dod3'!O155-'dod3 базовий'!O145</f>
        <v>0</v>
      </c>
      <c r="P156" s="514">
        <f>'dod3'!P155-'dod3 базовий'!P145</f>
        <v>114688</v>
      </c>
    </row>
    <row r="157" spans="1:16" ht="270">
      <c r="A157" s="433" t="s">
        <v>69</v>
      </c>
      <c r="B157" s="433"/>
      <c r="C157" s="433"/>
      <c r="D157" s="433" t="s">
        <v>71</v>
      </c>
      <c r="E157" s="436">
        <f>E158</f>
        <v>0</v>
      </c>
      <c r="F157" s="436">
        <f t="shared" ref="F157:P157" si="22">F158</f>
        <v>0</v>
      </c>
      <c r="G157" s="436">
        <f t="shared" si="22"/>
        <v>0</v>
      </c>
      <c r="H157" s="436">
        <f t="shared" si="22"/>
        <v>0</v>
      </c>
      <c r="I157" s="436">
        <f t="shared" si="22"/>
        <v>0</v>
      </c>
      <c r="J157" s="436">
        <f t="shared" si="22"/>
        <v>34310000</v>
      </c>
      <c r="K157" s="436">
        <f t="shared" si="22"/>
        <v>0</v>
      </c>
      <c r="L157" s="436">
        <f t="shared" si="22"/>
        <v>0</v>
      </c>
      <c r="M157" s="436">
        <f t="shared" si="22"/>
        <v>0</v>
      </c>
      <c r="N157" s="436">
        <f t="shared" si="22"/>
        <v>34310000</v>
      </c>
      <c r="O157" s="435">
        <f>O158</f>
        <v>34310000</v>
      </c>
      <c r="P157" s="436">
        <f t="shared" si="22"/>
        <v>34310000</v>
      </c>
    </row>
    <row r="158" spans="1:16" ht="270">
      <c r="A158" s="434" t="s">
        <v>70</v>
      </c>
      <c r="B158" s="434"/>
      <c r="C158" s="434"/>
      <c r="D158" s="434" t="s">
        <v>98</v>
      </c>
      <c r="E158" s="435">
        <f>E159+E162+E163</f>
        <v>0</v>
      </c>
      <c r="F158" s="436">
        <f t="shared" ref="F158:I158" si="23">F159+F162+F163</f>
        <v>0</v>
      </c>
      <c r="G158" s="435">
        <f t="shared" si="23"/>
        <v>0</v>
      </c>
      <c r="H158" s="435">
        <f t="shared" si="23"/>
        <v>0</v>
      </c>
      <c r="I158" s="436">
        <f t="shared" si="23"/>
        <v>0</v>
      </c>
      <c r="J158" s="435">
        <f t="shared" ref="J158" si="24">K158+N158</f>
        <v>34310000</v>
      </c>
      <c r="K158" s="436">
        <f t="shared" ref="K158:O158" si="25">K159+K162+K163</f>
        <v>0</v>
      </c>
      <c r="L158" s="435">
        <f t="shared" si="25"/>
        <v>0</v>
      </c>
      <c r="M158" s="435">
        <f t="shared" si="25"/>
        <v>0</v>
      </c>
      <c r="N158" s="436">
        <f t="shared" si="25"/>
        <v>34310000</v>
      </c>
      <c r="O158" s="435">
        <f t="shared" si="25"/>
        <v>34310000</v>
      </c>
      <c r="P158" s="435">
        <f t="shared" ref="P158" si="26">+J158+E158</f>
        <v>34310000</v>
      </c>
    </row>
    <row r="159" spans="1:16" ht="91.5">
      <c r="A159" s="438" t="s">
        <v>611</v>
      </c>
      <c r="B159" s="438" t="s">
        <v>612</v>
      </c>
      <c r="C159" s="438"/>
      <c r="D159" s="438" t="s">
        <v>610</v>
      </c>
      <c r="E159" s="213">
        <f>'dod3'!E158-'dod3 базовий'!E148</f>
        <v>0</v>
      </c>
      <c r="F159" s="62">
        <f>'dod3'!F158-'dod3 базовий'!F148</f>
        <v>0</v>
      </c>
      <c r="G159" s="213">
        <f>'dod3'!G158-'dod3 базовий'!G148</f>
        <v>0</v>
      </c>
      <c r="H159" s="213">
        <f>'dod3'!H158-'dod3 базовий'!H148</f>
        <v>0</v>
      </c>
      <c r="I159" s="62">
        <f>'dod3'!I158-'dod3 базовий'!I148</f>
        <v>0</v>
      </c>
      <c r="J159" s="213">
        <f>'dod3'!J158-'dod3 базовий'!J148</f>
        <v>18280000</v>
      </c>
      <c r="K159" s="62">
        <f>'dod3'!K158-'dod3 базовий'!K148</f>
        <v>0</v>
      </c>
      <c r="L159" s="213">
        <f>'dod3'!L158-'dod3 базовий'!L148</f>
        <v>0</v>
      </c>
      <c r="M159" s="213">
        <f>'dod3'!M158-'dod3 базовий'!M148</f>
        <v>0</v>
      </c>
      <c r="N159" s="62">
        <f>'dod3'!N158-'dod3 базовий'!N148</f>
        <v>18280000</v>
      </c>
      <c r="O159" s="213">
        <f>'dod3'!O158-'dod3 базовий'!O148</f>
        <v>18280000</v>
      </c>
      <c r="P159" s="213">
        <f>'dod3'!P158-'dod3 базовий'!P148</f>
        <v>18280000</v>
      </c>
    </row>
    <row r="160" spans="1:16" ht="91.5">
      <c r="A160" s="217" t="s">
        <v>614</v>
      </c>
      <c r="B160" s="217" t="s">
        <v>615</v>
      </c>
      <c r="C160" s="217" t="s">
        <v>582</v>
      </c>
      <c r="D160" s="217" t="s">
        <v>613</v>
      </c>
      <c r="E160" s="213">
        <f>'dod3'!E159-'dod3 базовий'!E149</f>
        <v>0</v>
      </c>
      <c r="F160" s="62">
        <f>'dod3'!F159-'dod3 базовий'!F149</f>
        <v>0</v>
      </c>
      <c r="G160" s="213">
        <f>'dod3'!G159-'dod3 базовий'!G149</f>
        <v>0</v>
      </c>
      <c r="H160" s="213">
        <f>'dod3'!H159-'dod3 базовий'!H149</f>
        <v>0</v>
      </c>
      <c r="I160" s="62">
        <f>'dod3'!I159-'dod3 базовий'!I149</f>
        <v>0</v>
      </c>
      <c r="J160" s="213">
        <f>'dod3'!J159-'dod3 базовий'!J149</f>
        <v>18550000</v>
      </c>
      <c r="K160" s="62">
        <f>'dod3'!K159-'dod3 базовий'!K149</f>
        <v>0</v>
      </c>
      <c r="L160" s="213">
        <f>'dod3'!L159-'dod3 базовий'!L149</f>
        <v>0</v>
      </c>
      <c r="M160" s="213">
        <f>'dod3'!M159-'dod3 базовий'!M149</f>
        <v>0</v>
      </c>
      <c r="N160" s="62">
        <f>'dod3'!N159-'dod3 базовий'!N149</f>
        <v>18550000</v>
      </c>
      <c r="O160" s="213">
        <f>'dod3'!O159-'dod3 базовий'!O149</f>
        <v>18550000</v>
      </c>
      <c r="P160" s="213">
        <f>'dod3'!P159-'dod3 базовий'!P149</f>
        <v>18550000</v>
      </c>
    </row>
    <row r="161" spans="1:16" ht="137.25">
      <c r="A161" s="217" t="s">
        <v>616</v>
      </c>
      <c r="B161" s="217" t="s">
        <v>617</v>
      </c>
      <c r="C161" s="217" t="s">
        <v>582</v>
      </c>
      <c r="D161" s="217" t="s">
        <v>618</v>
      </c>
      <c r="E161" s="213">
        <f>'dod3'!E160-'dod3 базовий'!E150</f>
        <v>0</v>
      </c>
      <c r="F161" s="62">
        <f>'dod3'!F160-'dod3 базовий'!F150</f>
        <v>0</v>
      </c>
      <c r="G161" s="213">
        <f>'dod3'!G160-'dod3 базовий'!G150</f>
        <v>0</v>
      </c>
      <c r="H161" s="213">
        <f>'dod3'!H160-'dod3 базовий'!H150</f>
        <v>0</v>
      </c>
      <c r="I161" s="62">
        <f>'dod3'!I160-'dod3 базовий'!I150</f>
        <v>0</v>
      </c>
      <c r="J161" s="213">
        <f>'dod3'!J160-'dod3 базовий'!J150</f>
        <v>-270000</v>
      </c>
      <c r="K161" s="62">
        <f>'dod3'!K160-'dod3 базовий'!K150</f>
        <v>0</v>
      </c>
      <c r="L161" s="213">
        <f>'dod3'!L160-'dod3 базовий'!L150</f>
        <v>0</v>
      </c>
      <c r="M161" s="213">
        <f>'dod3'!M160-'dod3 базовий'!M150</f>
        <v>0</v>
      </c>
      <c r="N161" s="62">
        <f>'dod3'!N160-'dod3 базовий'!N150</f>
        <v>-270000</v>
      </c>
      <c r="O161" s="213">
        <f>'dod3'!O160-'dod3 базовий'!O150</f>
        <v>-270000</v>
      </c>
      <c r="P161" s="213">
        <f>'dod3'!P160-'dod3 базовий'!P150</f>
        <v>-270000</v>
      </c>
    </row>
    <row r="162" spans="1:16" ht="183">
      <c r="A162" s="438" t="s">
        <v>620</v>
      </c>
      <c r="B162" s="438" t="s">
        <v>621</v>
      </c>
      <c r="C162" s="438" t="s">
        <v>582</v>
      </c>
      <c r="D162" s="438" t="s">
        <v>619</v>
      </c>
      <c r="E162" s="213">
        <f>'dod3'!E161-'dod3 базовий'!E151</f>
        <v>0</v>
      </c>
      <c r="F162" s="62">
        <f>'dod3'!F161-'dod3 базовий'!F151</f>
        <v>0</v>
      </c>
      <c r="G162" s="213">
        <f>'dod3'!G161-'dod3 базовий'!G151</f>
        <v>0</v>
      </c>
      <c r="H162" s="213">
        <f>'dod3'!H161-'dod3 базовий'!H151</f>
        <v>0</v>
      </c>
      <c r="I162" s="62">
        <f>'dod3'!I161-'dod3 базовий'!I151</f>
        <v>0</v>
      </c>
      <c r="J162" s="213">
        <f>'dod3'!J161-'dod3 базовий'!J151</f>
        <v>16030000</v>
      </c>
      <c r="K162" s="62">
        <f>'dod3'!K161-'dod3 базовий'!K151</f>
        <v>0</v>
      </c>
      <c r="L162" s="213">
        <f>'dod3'!L161-'dod3 базовий'!L151</f>
        <v>0</v>
      </c>
      <c r="M162" s="213">
        <f>'dod3'!M161-'dod3 базовий'!M151</f>
        <v>0</v>
      </c>
      <c r="N162" s="62">
        <f>'dod3'!N161-'dod3 базовий'!N151</f>
        <v>16030000</v>
      </c>
      <c r="O162" s="213">
        <f>'dod3'!O161-'dod3 базовий'!O151</f>
        <v>16030000</v>
      </c>
      <c r="P162" s="213">
        <f>'dod3'!P161-'dod3 базовий'!P151</f>
        <v>16030000</v>
      </c>
    </row>
    <row r="163" spans="1:16" ht="91.5">
      <c r="A163" s="438" t="s">
        <v>622</v>
      </c>
      <c r="B163" s="438" t="s">
        <v>383</v>
      </c>
      <c r="C163" s="438" t="s">
        <v>334</v>
      </c>
      <c r="D163" s="438" t="s">
        <v>91</v>
      </c>
      <c r="E163" s="213">
        <f>'dod3'!E162-'dod3 базовий'!E152</f>
        <v>0</v>
      </c>
      <c r="F163" s="62">
        <f>'dod3'!F162-'dod3 базовий'!F152</f>
        <v>0</v>
      </c>
      <c r="G163" s="213">
        <f>'dod3'!G162-'dod3 базовий'!G152</f>
        <v>0</v>
      </c>
      <c r="H163" s="213">
        <f>'dod3'!H162-'dod3 базовий'!H152</f>
        <v>0</v>
      </c>
      <c r="I163" s="62">
        <f>'dod3'!I162-'dod3 базовий'!I152</f>
        <v>0</v>
      </c>
      <c r="J163" s="213">
        <f>'dod3'!J162-'dod3 базовий'!J152</f>
        <v>0</v>
      </c>
      <c r="K163" s="62">
        <f>'dod3'!K162-'dod3 базовий'!K152</f>
        <v>0</v>
      </c>
      <c r="L163" s="213">
        <f>'dod3'!L162-'dod3 базовий'!L152</f>
        <v>0</v>
      </c>
      <c r="M163" s="213">
        <f>'dod3'!M162-'dod3 базовий'!M152</f>
        <v>0</v>
      </c>
      <c r="N163" s="62">
        <f>'dod3'!N162-'dod3 базовий'!N152</f>
        <v>0</v>
      </c>
      <c r="O163" s="213">
        <f>'dod3'!O162-'dod3 базовий'!O152</f>
        <v>0</v>
      </c>
      <c r="P163" s="213">
        <f>'dod3'!P162-'dod3 базовий'!P152</f>
        <v>0</v>
      </c>
    </row>
    <row r="164" spans="1:16" ht="225">
      <c r="A164" s="433" t="s">
        <v>322</v>
      </c>
      <c r="B164" s="433"/>
      <c r="C164" s="433"/>
      <c r="D164" s="433" t="s">
        <v>72</v>
      </c>
      <c r="E164" s="436">
        <f>E165</f>
        <v>0</v>
      </c>
      <c r="F164" s="436">
        <f t="shared" ref="F164:P165" si="27">F165</f>
        <v>0</v>
      </c>
      <c r="G164" s="436">
        <f t="shared" si="27"/>
        <v>0</v>
      </c>
      <c r="H164" s="436">
        <f t="shared" si="27"/>
        <v>0</v>
      </c>
      <c r="I164" s="436">
        <f t="shared" si="27"/>
        <v>0</v>
      </c>
      <c r="J164" s="436">
        <f t="shared" si="27"/>
        <v>2526300</v>
      </c>
      <c r="K164" s="436">
        <f t="shared" si="27"/>
        <v>0</v>
      </c>
      <c r="L164" s="436">
        <f t="shared" si="27"/>
        <v>0</v>
      </c>
      <c r="M164" s="436">
        <f t="shared" si="27"/>
        <v>0</v>
      </c>
      <c r="N164" s="436">
        <f t="shared" si="27"/>
        <v>2526300</v>
      </c>
      <c r="O164" s="435">
        <f t="shared" si="27"/>
        <v>2526300</v>
      </c>
      <c r="P164" s="436">
        <f t="shared" si="27"/>
        <v>2526300</v>
      </c>
    </row>
    <row r="165" spans="1:16" ht="225">
      <c r="A165" s="434" t="s">
        <v>323</v>
      </c>
      <c r="B165" s="434"/>
      <c r="C165" s="434"/>
      <c r="D165" s="434" t="s">
        <v>99</v>
      </c>
      <c r="E165" s="435">
        <f>E166</f>
        <v>0</v>
      </c>
      <c r="F165" s="436">
        <f>E165</f>
        <v>0</v>
      </c>
      <c r="G165" s="435">
        <f t="shared" si="27"/>
        <v>0</v>
      </c>
      <c r="H165" s="435">
        <f t="shared" si="27"/>
        <v>0</v>
      </c>
      <c r="I165" s="436">
        <f t="shared" si="27"/>
        <v>0</v>
      </c>
      <c r="J165" s="435">
        <f>K165+N165</f>
        <v>2526300</v>
      </c>
      <c r="K165" s="436">
        <f t="shared" si="27"/>
        <v>0</v>
      </c>
      <c r="L165" s="435">
        <f t="shared" si="27"/>
        <v>0</v>
      </c>
      <c r="M165" s="435">
        <f>M166</f>
        <v>0</v>
      </c>
      <c r="N165" s="436">
        <f>N166</f>
        <v>2526300</v>
      </c>
      <c r="O165" s="435">
        <f>O166</f>
        <v>2526300</v>
      </c>
      <c r="P165" s="435">
        <f>+J165+E165</f>
        <v>2526300</v>
      </c>
    </row>
    <row r="166" spans="1:16" ht="137.25">
      <c r="A166" s="438" t="s">
        <v>592</v>
      </c>
      <c r="B166" s="438" t="s">
        <v>593</v>
      </c>
      <c r="C166" s="438" t="s">
        <v>582</v>
      </c>
      <c r="D166" s="438" t="s">
        <v>594</v>
      </c>
      <c r="E166" s="298">
        <f>'dod3'!E165-'dod3 базовий'!E155</f>
        <v>0</v>
      </c>
      <c r="F166" s="298">
        <f>'dod3'!F165-'dod3 базовий'!F155</f>
        <v>0</v>
      </c>
      <c r="G166" s="298">
        <f>'dod3'!G165-'dod3 базовий'!G155</f>
        <v>0</v>
      </c>
      <c r="H166" s="298">
        <f>'dod3'!H165-'dod3 базовий'!H155</f>
        <v>0</v>
      </c>
      <c r="I166" s="298">
        <f>'dod3'!I165-'dod3 базовий'!I155</f>
        <v>0</v>
      </c>
      <c r="J166" s="298">
        <f>'dod3'!J165-'dod3 базовий'!J155</f>
        <v>2526300</v>
      </c>
      <c r="K166" s="298">
        <f>'dod3'!K165-'dod3 базовий'!K155</f>
        <v>0</v>
      </c>
      <c r="L166" s="298">
        <f>'dod3'!L165-'dod3 базовий'!L155</f>
        <v>0</v>
      </c>
      <c r="M166" s="298">
        <f>'dod3'!M165-'dod3 базовий'!M155</f>
        <v>0</v>
      </c>
      <c r="N166" s="298">
        <f>'dod3'!N165-'dod3 базовий'!N155</f>
        <v>2526300</v>
      </c>
      <c r="O166" s="298">
        <f>'dod3'!O165-'dod3 базовий'!O155</f>
        <v>2526300</v>
      </c>
      <c r="P166" s="298">
        <f>'dod3'!P165-'dod3 базовий'!P155</f>
        <v>2526300</v>
      </c>
    </row>
    <row r="167" spans="1:16" ht="135">
      <c r="A167" s="433" t="s">
        <v>328</v>
      </c>
      <c r="B167" s="433"/>
      <c r="C167" s="433"/>
      <c r="D167" s="433" t="s">
        <v>783</v>
      </c>
      <c r="E167" s="436">
        <f>E168</f>
        <v>800000</v>
      </c>
      <c r="F167" s="436">
        <f t="shared" ref="F167:P167" si="28">F168</f>
        <v>800000</v>
      </c>
      <c r="G167" s="436">
        <f t="shared" si="28"/>
        <v>0</v>
      </c>
      <c r="H167" s="436">
        <f t="shared" si="28"/>
        <v>0</v>
      </c>
      <c r="I167" s="436">
        <f t="shared" si="28"/>
        <v>0</v>
      </c>
      <c r="J167" s="436">
        <f t="shared" si="28"/>
        <v>-300000</v>
      </c>
      <c r="K167" s="436">
        <f t="shared" si="28"/>
        <v>0</v>
      </c>
      <c r="L167" s="436">
        <f t="shared" si="28"/>
        <v>0</v>
      </c>
      <c r="M167" s="436">
        <f t="shared" si="28"/>
        <v>0</v>
      </c>
      <c r="N167" s="436">
        <f t="shared" si="28"/>
        <v>-300000</v>
      </c>
      <c r="O167" s="435">
        <f t="shared" si="28"/>
        <v>-300000</v>
      </c>
      <c r="P167" s="436">
        <f t="shared" si="28"/>
        <v>500000</v>
      </c>
    </row>
    <row r="168" spans="1:16" ht="135">
      <c r="A168" s="434" t="s">
        <v>329</v>
      </c>
      <c r="B168" s="434"/>
      <c r="C168" s="434"/>
      <c r="D168" s="434" t="s">
        <v>784</v>
      </c>
      <c r="E168" s="435">
        <f>SUM(E169:E172)</f>
        <v>800000</v>
      </c>
      <c r="F168" s="436">
        <f t="shared" ref="F168:I168" si="29">SUM(F169:F172)</f>
        <v>800000</v>
      </c>
      <c r="G168" s="436">
        <f t="shared" si="29"/>
        <v>0</v>
      </c>
      <c r="H168" s="436">
        <f t="shared" si="29"/>
        <v>0</v>
      </c>
      <c r="I168" s="436">
        <f t="shared" si="29"/>
        <v>0</v>
      </c>
      <c r="J168" s="435">
        <f>K168+N168</f>
        <v>-300000</v>
      </c>
      <c r="K168" s="436">
        <f>SUM(K169:K172)</f>
        <v>0</v>
      </c>
      <c r="L168" s="435">
        <f t="shared" ref="L168:M168" si="30">SUM(L169:L172)</f>
        <v>0</v>
      </c>
      <c r="M168" s="435">
        <f t="shared" si="30"/>
        <v>0</v>
      </c>
      <c r="N168" s="436">
        <f>SUM(N169:N172)</f>
        <v>-300000</v>
      </c>
      <c r="O168" s="435">
        <f>SUM(O169:O172)</f>
        <v>-300000</v>
      </c>
      <c r="P168" s="435">
        <f>E168+J168</f>
        <v>500000</v>
      </c>
    </row>
    <row r="169" spans="1:16" ht="137.25">
      <c r="A169" s="438" t="s">
        <v>773</v>
      </c>
      <c r="B169" s="438" t="s">
        <v>774</v>
      </c>
      <c r="C169" s="438" t="s">
        <v>334</v>
      </c>
      <c r="D169" s="438" t="s">
        <v>512</v>
      </c>
      <c r="E169" s="298">
        <f>'dod3'!E168-'dod3 базовий'!E158</f>
        <v>0</v>
      </c>
      <c r="F169" s="303">
        <f>'dod3'!F168-'dod3 базовий'!F158</f>
        <v>0</v>
      </c>
      <c r="G169" s="298">
        <f>'dod3'!G168-'dod3 базовий'!G158</f>
        <v>0</v>
      </c>
      <c r="H169" s="298">
        <f>'dod3'!H168-'dod3 базовий'!H158</f>
        <v>0</v>
      </c>
      <c r="I169" s="303">
        <f>'dod3'!I168-'dod3 базовий'!I158</f>
        <v>0</v>
      </c>
      <c r="J169" s="298">
        <f>'dod3'!J168-'dod3 базовий'!J158</f>
        <v>-700000</v>
      </c>
      <c r="K169" s="303">
        <f>'dod3'!K168-'dod3 базовий'!K158</f>
        <v>0</v>
      </c>
      <c r="L169" s="298">
        <f>'dod3'!L168-'dod3 базовий'!L158</f>
        <v>0</v>
      </c>
      <c r="M169" s="298">
        <f>'dod3'!M168-'dod3 базовий'!M158</f>
        <v>0</v>
      </c>
      <c r="N169" s="303">
        <f>'dod3'!N168-'dod3 базовий'!N158</f>
        <v>-700000</v>
      </c>
      <c r="O169" s="298">
        <f>'dod3'!O168-'dod3 базовий'!O158</f>
        <v>-700000</v>
      </c>
      <c r="P169" s="298">
        <f>'dod3'!P168-'dod3 базовий'!P158</f>
        <v>-700000</v>
      </c>
    </row>
    <row r="170" spans="1:16" ht="91.5">
      <c r="A170" s="438" t="s">
        <v>510</v>
      </c>
      <c r="B170" s="438" t="s">
        <v>511</v>
      </c>
      <c r="C170" s="438" t="s">
        <v>509</v>
      </c>
      <c r="D170" s="438" t="s">
        <v>508</v>
      </c>
      <c r="E170" s="298">
        <f>'dod3'!E169-'dod3 базовий'!E159</f>
        <v>700000</v>
      </c>
      <c r="F170" s="303">
        <f>'dod3'!F169-'dod3 базовий'!F159</f>
        <v>700000</v>
      </c>
      <c r="G170" s="298">
        <f>'dod3'!G169-'dod3 базовий'!G159</f>
        <v>0</v>
      </c>
      <c r="H170" s="298">
        <f>'dod3'!H169-'dod3 базовий'!H159</f>
        <v>0</v>
      </c>
      <c r="I170" s="303">
        <f>'dod3'!I169-'dod3 базовий'!I159</f>
        <v>0</v>
      </c>
      <c r="J170" s="298">
        <f>'dod3'!J169-'dod3 базовий'!J159</f>
        <v>0</v>
      </c>
      <c r="K170" s="303">
        <f>'dod3'!K169-'dod3 базовий'!K159</f>
        <v>0</v>
      </c>
      <c r="L170" s="298">
        <f>'dod3'!L169-'dod3 базовий'!L159</f>
        <v>0</v>
      </c>
      <c r="M170" s="298">
        <f>'dod3'!M169-'dod3 базовий'!M159</f>
        <v>0</v>
      </c>
      <c r="N170" s="303">
        <f>'dod3'!N169-'dod3 базовий'!N159</f>
        <v>0</v>
      </c>
      <c r="O170" s="298">
        <f>'dod3'!O169-'dod3 базовий'!O159</f>
        <v>0</v>
      </c>
      <c r="P170" s="298">
        <f>'dod3'!P169-'dod3 базовий'!P159</f>
        <v>700000</v>
      </c>
    </row>
    <row r="171" spans="1:16" ht="137.25">
      <c r="A171" s="438" t="s">
        <v>501</v>
      </c>
      <c r="B171" s="438" t="s">
        <v>503</v>
      </c>
      <c r="C171" s="438" t="s">
        <v>414</v>
      </c>
      <c r="D171" s="438" t="s">
        <v>502</v>
      </c>
      <c r="E171" s="298">
        <f>'dod3'!E170-'dod3 базовий'!E160</f>
        <v>0</v>
      </c>
      <c r="F171" s="303">
        <f>'dod3'!F170-'dod3 базовий'!F160</f>
        <v>0</v>
      </c>
      <c r="G171" s="298">
        <f>'dod3'!G170-'dod3 базовий'!G160</f>
        <v>0</v>
      </c>
      <c r="H171" s="298">
        <f>'dod3'!H170-'dod3 базовий'!H160</f>
        <v>0</v>
      </c>
      <c r="I171" s="303">
        <f>'dod3'!I170-'dod3 базовий'!I160</f>
        <v>0</v>
      </c>
      <c r="J171" s="298">
        <f>'dod3'!J170-'dod3 базовий'!J160</f>
        <v>0</v>
      </c>
      <c r="K171" s="303">
        <f>'dod3'!K170-'dod3 базовий'!K160</f>
        <v>0</v>
      </c>
      <c r="L171" s="298">
        <f>'dod3'!L170-'dod3 базовий'!L160</f>
        <v>0</v>
      </c>
      <c r="M171" s="298">
        <f>'dod3'!M170-'dod3 базовий'!M160</f>
        <v>0</v>
      </c>
      <c r="N171" s="303">
        <f>'dod3'!N170-'dod3 базовий'!N160</f>
        <v>0</v>
      </c>
      <c r="O171" s="298">
        <f>'dod3'!O170-'dod3 базовий'!O160</f>
        <v>0</v>
      </c>
      <c r="P171" s="298">
        <f>'dod3'!P170-'dod3 базовий'!P160</f>
        <v>0</v>
      </c>
    </row>
    <row r="172" spans="1:16" ht="46.5">
      <c r="A172" s="438" t="s">
        <v>505</v>
      </c>
      <c r="B172" s="438" t="s">
        <v>459</v>
      </c>
      <c r="C172" s="438" t="s">
        <v>334</v>
      </c>
      <c r="D172" s="438" t="s">
        <v>457</v>
      </c>
      <c r="E172" s="298">
        <f>'dod3'!E171-'dod3 базовий'!E161</f>
        <v>100000</v>
      </c>
      <c r="F172" s="303">
        <f>'dod3'!F171-'dod3 базовий'!F161</f>
        <v>100000</v>
      </c>
      <c r="G172" s="298">
        <f>'dod3'!G171-'dod3 базовий'!G161</f>
        <v>0</v>
      </c>
      <c r="H172" s="298">
        <f>'dod3'!H171-'dod3 базовий'!H161</f>
        <v>0</v>
      </c>
      <c r="I172" s="303">
        <f>'dod3'!I171-'dod3 базовий'!I161</f>
        <v>0</v>
      </c>
      <c r="J172" s="298">
        <f>'dod3'!J171-'dod3 базовий'!J161</f>
        <v>400000</v>
      </c>
      <c r="K172" s="303">
        <f>'dod3'!K171-'dod3 базовий'!K161</f>
        <v>0</v>
      </c>
      <c r="L172" s="298">
        <f>'dod3'!L171-'dod3 базовий'!L161</f>
        <v>0</v>
      </c>
      <c r="M172" s="298">
        <f>'dod3'!M171-'dod3 базовий'!M161</f>
        <v>0</v>
      </c>
      <c r="N172" s="303">
        <f>'dod3'!N171-'dod3 базовий'!N161</f>
        <v>400000</v>
      </c>
      <c r="O172" s="298">
        <f>'dod3'!O171-'dod3 базовий'!O161</f>
        <v>400000</v>
      </c>
      <c r="P172" s="298">
        <f>'dod3'!P171-'dod3 базовий'!P161</f>
        <v>500000</v>
      </c>
    </row>
    <row r="173" spans="1:16" ht="91.5">
      <c r="A173" s="217" t="s">
        <v>506</v>
      </c>
      <c r="B173" s="217" t="s">
        <v>507</v>
      </c>
      <c r="C173" s="217" t="s">
        <v>334</v>
      </c>
      <c r="D173" s="217" t="s">
        <v>504</v>
      </c>
      <c r="E173" s="298">
        <f>'dod3'!E172-'dod3 базовий'!E162</f>
        <v>100000</v>
      </c>
      <c r="F173" s="303">
        <f>'dod3'!F172-'dod3 базовий'!F162</f>
        <v>100000</v>
      </c>
      <c r="G173" s="298">
        <f>'dod3'!G172-'dod3 базовий'!G162</f>
        <v>0</v>
      </c>
      <c r="H173" s="298">
        <f>'dod3'!H172-'dod3 базовий'!H162</f>
        <v>0</v>
      </c>
      <c r="I173" s="303">
        <f>'dod3'!I172-'dod3 базовий'!I162</f>
        <v>0</v>
      </c>
      <c r="J173" s="298">
        <f>'dod3'!J172-'dod3 базовий'!J162</f>
        <v>400000</v>
      </c>
      <c r="K173" s="303">
        <f>'dod3'!K172-'dod3 базовий'!K162</f>
        <v>0</v>
      </c>
      <c r="L173" s="298">
        <f>'dod3'!L172-'dod3 базовий'!L162</f>
        <v>0</v>
      </c>
      <c r="M173" s="298">
        <f>'dod3'!M172-'dod3 базовий'!M162</f>
        <v>0</v>
      </c>
      <c r="N173" s="303">
        <f>'dod3'!N172-'dod3 базовий'!N162</f>
        <v>400000</v>
      </c>
      <c r="O173" s="298">
        <f>'dod3'!O172-'dod3 базовий'!O162</f>
        <v>400000</v>
      </c>
      <c r="P173" s="298">
        <f>'dod3'!P172-'dod3 базовий'!P162</f>
        <v>500000</v>
      </c>
    </row>
    <row r="174" spans="1:16" ht="135">
      <c r="A174" s="433" t="s">
        <v>326</v>
      </c>
      <c r="B174" s="433"/>
      <c r="C174" s="433"/>
      <c r="D174" s="433" t="s">
        <v>73</v>
      </c>
      <c r="E174" s="436">
        <f>E175</f>
        <v>0</v>
      </c>
      <c r="F174" s="436">
        <f>F175</f>
        <v>0</v>
      </c>
      <c r="G174" s="436">
        <f t="shared" ref="G174:P174" si="31">G175</f>
        <v>0</v>
      </c>
      <c r="H174" s="436">
        <f t="shared" si="31"/>
        <v>0</v>
      </c>
      <c r="I174" s="436">
        <f t="shared" si="31"/>
        <v>0</v>
      </c>
      <c r="J174" s="436">
        <f t="shared" si="31"/>
        <v>706148.66</v>
      </c>
      <c r="K174" s="436">
        <f t="shared" si="31"/>
        <v>0</v>
      </c>
      <c r="L174" s="436">
        <f t="shared" si="31"/>
        <v>0</v>
      </c>
      <c r="M174" s="436">
        <f t="shared" si="31"/>
        <v>0</v>
      </c>
      <c r="N174" s="436">
        <f t="shared" si="31"/>
        <v>706148.66</v>
      </c>
      <c r="O174" s="435">
        <f t="shared" si="31"/>
        <v>0</v>
      </c>
      <c r="P174" s="436">
        <f t="shared" si="31"/>
        <v>706148.66</v>
      </c>
    </row>
    <row r="175" spans="1:16" ht="180">
      <c r="A175" s="434" t="s">
        <v>327</v>
      </c>
      <c r="B175" s="434"/>
      <c r="C175" s="434"/>
      <c r="D175" s="434" t="s">
        <v>100</v>
      </c>
      <c r="E175" s="435">
        <v>0</v>
      </c>
      <c r="F175" s="436">
        <f>F179+F180+F176</f>
        <v>0</v>
      </c>
      <c r="G175" s="436">
        <f>G179+G180+G176</f>
        <v>0</v>
      </c>
      <c r="H175" s="436">
        <f>H179+H180+H176</f>
        <v>0</v>
      </c>
      <c r="I175" s="436"/>
      <c r="J175" s="435">
        <f>K175+N175</f>
        <v>706148.66</v>
      </c>
      <c r="K175" s="436">
        <f>K179+K180+K176</f>
        <v>0</v>
      </c>
      <c r="L175" s="436">
        <f>L179+L180+L176</f>
        <v>0</v>
      </c>
      <c r="M175" s="436">
        <f>M179+M180+M176</f>
        <v>0</v>
      </c>
      <c r="N175" s="436">
        <f>N179+N180+N176</f>
        <v>706148.66</v>
      </c>
      <c r="O175" s="436">
        <f>O179+O180+O176</f>
        <v>0</v>
      </c>
      <c r="P175" s="435">
        <f>E175+J175</f>
        <v>706148.66</v>
      </c>
    </row>
    <row r="176" spans="1:16" ht="137.25">
      <c r="A176" s="438" t="s">
        <v>595</v>
      </c>
      <c r="B176" s="438" t="s">
        <v>596</v>
      </c>
      <c r="C176" s="438"/>
      <c r="D176" s="438" t="s">
        <v>597</v>
      </c>
      <c r="E176" s="213">
        <f>'dod3'!E175-'dod3 базовий'!E165</f>
        <v>0</v>
      </c>
      <c r="F176" s="213">
        <f>'dod3'!F175-'dod3 базовий'!F165</f>
        <v>0</v>
      </c>
      <c r="G176" s="213">
        <f>'dod3'!G175-'dod3 базовий'!G165</f>
        <v>0</v>
      </c>
      <c r="H176" s="213">
        <f>'dod3'!H175-'dod3 базовий'!H165</f>
        <v>0</v>
      </c>
      <c r="I176" s="213">
        <f>'dod3'!I175-'dod3 базовий'!I165</f>
        <v>0</v>
      </c>
      <c r="J176" s="213">
        <f>'dod3'!J175-'dod3 базовий'!J165</f>
        <v>591148.66</v>
      </c>
      <c r="K176" s="213">
        <f>'dod3'!K175-'dod3 базовий'!K165</f>
        <v>0</v>
      </c>
      <c r="L176" s="213">
        <f>'dod3'!L175-'dod3 базовий'!L165</f>
        <v>0</v>
      </c>
      <c r="M176" s="213">
        <f>'dod3'!M175-'dod3 базовий'!M165</f>
        <v>0</v>
      </c>
      <c r="N176" s="213">
        <f>'dod3'!N175-'dod3 базовий'!N165</f>
        <v>591148.66</v>
      </c>
      <c r="O176" s="213">
        <f>'dod3'!O175-'dod3 базовий'!O165</f>
        <v>0</v>
      </c>
      <c r="P176" s="213">
        <f>'dod3'!P175-'dod3 базовий'!P165</f>
        <v>591148.66</v>
      </c>
    </row>
    <row r="177" spans="1:17" ht="91.5">
      <c r="A177" s="217" t="s">
        <v>598</v>
      </c>
      <c r="B177" s="217" t="s">
        <v>599</v>
      </c>
      <c r="C177" s="217" t="s">
        <v>122</v>
      </c>
      <c r="D177" s="217" t="s">
        <v>123</v>
      </c>
      <c r="E177" s="213">
        <f>'dod3'!E176-'dod3 базовий'!E166</f>
        <v>0</v>
      </c>
      <c r="F177" s="213">
        <f>'dod3'!F176-'dod3 базовий'!F166</f>
        <v>0</v>
      </c>
      <c r="G177" s="213">
        <f>'dod3'!G176-'dod3 базовий'!G166</f>
        <v>0</v>
      </c>
      <c r="H177" s="213">
        <f>'dod3'!H176-'dod3 базовий'!H166</f>
        <v>0</v>
      </c>
      <c r="I177" s="213">
        <f>'dod3'!I176-'dod3 базовий'!I166</f>
        <v>0</v>
      </c>
      <c r="J177" s="213">
        <f>'dod3'!J176-'dod3 базовий'!J166</f>
        <v>353148.66000000003</v>
      </c>
      <c r="K177" s="213">
        <f>'dod3'!K176-'dod3 базовий'!K166</f>
        <v>0</v>
      </c>
      <c r="L177" s="213">
        <f>'dod3'!L176-'dod3 базовий'!L166</f>
        <v>0</v>
      </c>
      <c r="M177" s="213">
        <f>'dod3'!M176-'dod3 базовий'!M166</f>
        <v>0</v>
      </c>
      <c r="N177" s="213">
        <f>'dod3'!N176-'dod3 базовий'!N166</f>
        <v>353148.66000000003</v>
      </c>
      <c r="O177" s="213">
        <f>'dod3'!O176-'dod3 базовий'!O166</f>
        <v>0</v>
      </c>
      <c r="P177" s="213">
        <f>'dod3'!P176-'dod3 базовий'!P166</f>
        <v>353148.66000000003</v>
      </c>
    </row>
    <row r="178" spans="1:17" ht="46.5">
      <c r="A178" s="217" t="s">
        <v>600</v>
      </c>
      <c r="B178" s="217" t="s">
        <v>601</v>
      </c>
      <c r="C178" s="217" t="s">
        <v>124</v>
      </c>
      <c r="D178" s="217" t="s">
        <v>602</v>
      </c>
      <c r="E178" s="213">
        <f>'dod3'!E177-'dod3 базовий'!E167</f>
        <v>0</v>
      </c>
      <c r="F178" s="213">
        <f>'dod3'!F177-'dod3 базовий'!F167</f>
        <v>0</v>
      </c>
      <c r="G178" s="213">
        <f>'dod3'!G177-'dod3 базовий'!G167</f>
        <v>0</v>
      </c>
      <c r="H178" s="213">
        <f>'dod3'!H177-'dod3 базовий'!H167</f>
        <v>0</v>
      </c>
      <c r="I178" s="213">
        <f>'dod3'!I177-'dod3 базовий'!I167</f>
        <v>0</v>
      </c>
      <c r="J178" s="213">
        <f>'dod3'!J177-'dod3 базовий'!J167</f>
        <v>238000</v>
      </c>
      <c r="K178" s="213">
        <f>'dod3'!K177-'dod3 базовий'!K167</f>
        <v>0</v>
      </c>
      <c r="L178" s="213">
        <f>'dod3'!L177-'dod3 базовий'!L167</f>
        <v>0</v>
      </c>
      <c r="M178" s="213">
        <f>'dod3'!M177-'dod3 базовий'!M167</f>
        <v>0</v>
      </c>
      <c r="N178" s="213">
        <f>'dod3'!N177-'dod3 базовий'!N167</f>
        <v>238000</v>
      </c>
      <c r="O178" s="213">
        <f>'dod3'!O177-'dod3 базовий'!O167</f>
        <v>0</v>
      </c>
      <c r="P178" s="213">
        <f>'dod3'!P177-'dod3 базовий'!P167</f>
        <v>238000</v>
      </c>
    </row>
    <row r="179" spans="1:17" ht="91.5">
      <c r="A179" s="438" t="s">
        <v>603</v>
      </c>
      <c r="B179" s="438" t="s">
        <v>604</v>
      </c>
      <c r="C179" s="438" t="s">
        <v>126</v>
      </c>
      <c r="D179" s="438" t="s">
        <v>133</v>
      </c>
      <c r="E179" s="213">
        <f>'dod3'!E178-'dod3 базовий'!E168</f>
        <v>0</v>
      </c>
      <c r="F179" s="213">
        <f>'dod3'!F178-'dod3 базовий'!F168</f>
        <v>0</v>
      </c>
      <c r="G179" s="213">
        <f>'dod3'!G178-'dod3 базовий'!G168</f>
        <v>0</v>
      </c>
      <c r="H179" s="213">
        <f>'dod3'!H178-'dod3 базовий'!H168</f>
        <v>0</v>
      </c>
      <c r="I179" s="213">
        <f>'dod3'!I178-'dod3 базовий'!I168</f>
        <v>0</v>
      </c>
      <c r="J179" s="213">
        <f>'dod3'!J178-'dod3 базовий'!J168</f>
        <v>85000</v>
      </c>
      <c r="K179" s="213">
        <f>'dod3'!K178-'dod3 базовий'!K168</f>
        <v>0</v>
      </c>
      <c r="L179" s="213">
        <f>'dod3'!L178-'dod3 базовий'!L168</f>
        <v>0</v>
      </c>
      <c r="M179" s="213">
        <f>'dod3'!M178-'dod3 базовий'!M168</f>
        <v>0</v>
      </c>
      <c r="N179" s="213">
        <f>'dod3'!N178-'dod3 базовий'!N168</f>
        <v>85000</v>
      </c>
      <c r="O179" s="213">
        <f>'dod3'!O178-'dod3 базовий'!O168</f>
        <v>0</v>
      </c>
      <c r="P179" s="213">
        <f>'dod3'!P178-'dod3 базовий'!P168</f>
        <v>85000</v>
      </c>
    </row>
    <row r="180" spans="1:17" ht="91.5">
      <c r="A180" s="438" t="s">
        <v>605</v>
      </c>
      <c r="B180" s="438" t="s">
        <v>606</v>
      </c>
      <c r="C180" s="438" t="s">
        <v>125</v>
      </c>
      <c r="D180" s="438" t="s">
        <v>607</v>
      </c>
      <c r="E180" s="213">
        <f>'dod3'!E179-'dod3 базовий'!E169</f>
        <v>0</v>
      </c>
      <c r="F180" s="213">
        <f>'dod3'!F179-'dod3 базовий'!F169</f>
        <v>0</v>
      </c>
      <c r="G180" s="213">
        <f>'dod3'!G179-'dod3 базовий'!G169</f>
        <v>0</v>
      </c>
      <c r="H180" s="213">
        <f>'dod3'!H179-'dod3 базовий'!H169</f>
        <v>0</v>
      </c>
      <c r="I180" s="213">
        <f>'dod3'!I179-'dod3 базовий'!I169</f>
        <v>0</v>
      </c>
      <c r="J180" s="213">
        <f>'dod3'!J179-'dod3 базовий'!J169</f>
        <v>30000</v>
      </c>
      <c r="K180" s="213">
        <f>'dod3'!K179-'dod3 базовий'!K169</f>
        <v>0</v>
      </c>
      <c r="L180" s="213">
        <f>'dod3'!L179-'dod3 базовий'!L169</f>
        <v>0</v>
      </c>
      <c r="M180" s="213">
        <f>'dod3'!M179-'dod3 базовий'!M169</f>
        <v>0</v>
      </c>
      <c r="N180" s="213">
        <f>'dod3'!N179-'dod3 базовий'!N169</f>
        <v>30000</v>
      </c>
      <c r="O180" s="213">
        <f>'dod3'!O179-'dod3 базовий'!O169</f>
        <v>0</v>
      </c>
      <c r="P180" s="213">
        <f>'dod3'!P179-'dod3 базовий'!P169</f>
        <v>30000</v>
      </c>
    </row>
    <row r="181" spans="1:17" ht="225">
      <c r="A181" s="433" t="s">
        <v>324</v>
      </c>
      <c r="B181" s="433"/>
      <c r="C181" s="433"/>
      <c r="D181" s="433" t="s">
        <v>785</v>
      </c>
      <c r="E181" s="436">
        <f>E182</f>
        <v>0</v>
      </c>
      <c r="F181" s="436">
        <f t="shared" ref="F181:P181" si="32">F182</f>
        <v>0</v>
      </c>
      <c r="G181" s="436">
        <f t="shared" si="32"/>
        <v>0</v>
      </c>
      <c r="H181" s="436">
        <f t="shared" si="32"/>
        <v>0</v>
      </c>
      <c r="I181" s="436">
        <f t="shared" si="32"/>
        <v>0</v>
      </c>
      <c r="J181" s="436">
        <f t="shared" si="32"/>
        <v>1405000</v>
      </c>
      <c r="K181" s="436">
        <f t="shared" si="32"/>
        <v>0</v>
      </c>
      <c r="L181" s="436">
        <f t="shared" si="32"/>
        <v>0</v>
      </c>
      <c r="M181" s="436">
        <f t="shared" si="32"/>
        <v>0</v>
      </c>
      <c r="N181" s="436">
        <f t="shared" si="32"/>
        <v>1405000</v>
      </c>
      <c r="O181" s="435">
        <f t="shared" si="32"/>
        <v>1405000</v>
      </c>
      <c r="P181" s="436">
        <f t="shared" si="32"/>
        <v>1405000</v>
      </c>
    </row>
    <row r="182" spans="1:17" ht="270">
      <c r="A182" s="434" t="s">
        <v>325</v>
      </c>
      <c r="B182" s="434"/>
      <c r="C182" s="434"/>
      <c r="D182" s="434" t="s">
        <v>786</v>
      </c>
      <c r="E182" s="435">
        <f>E183+E184</f>
        <v>0</v>
      </c>
      <c r="F182" s="436">
        <f>F183+F184</f>
        <v>0</v>
      </c>
      <c r="G182" s="435"/>
      <c r="H182" s="435"/>
      <c r="I182" s="436"/>
      <c r="J182" s="435">
        <f>K182+N182</f>
        <v>1405000</v>
      </c>
      <c r="K182" s="436"/>
      <c r="L182" s="435"/>
      <c r="M182" s="435"/>
      <c r="N182" s="436">
        <f>O182</f>
        <v>1405000</v>
      </c>
      <c r="O182" s="435">
        <f>O183+O184</f>
        <v>1405000</v>
      </c>
      <c r="P182" s="435">
        <f>+J182+E182</f>
        <v>1405000</v>
      </c>
    </row>
    <row r="183" spans="1:17" ht="91.5">
      <c r="A183" s="438" t="s">
        <v>589</v>
      </c>
      <c r="B183" s="438" t="s">
        <v>590</v>
      </c>
      <c r="C183" s="438" t="s">
        <v>591</v>
      </c>
      <c r="D183" s="438" t="s">
        <v>588</v>
      </c>
      <c r="E183" s="298">
        <f>'dod3'!E182-'dod3 базовий'!E172</f>
        <v>0</v>
      </c>
      <c r="F183" s="298">
        <f>'dod3'!F182-'dod3 базовий'!F172</f>
        <v>0</v>
      </c>
      <c r="G183" s="298">
        <f>'dod3'!G182-'dod3 базовий'!G172</f>
        <v>0</v>
      </c>
      <c r="H183" s="298">
        <f>'dod3'!H182-'dod3 базовий'!H172</f>
        <v>0</v>
      </c>
      <c r="I183" s="298">
        <f>'dod3'!I182-'dod3 базовий'!I172</f>
        <v>0</v>
      </c>
      <c r="J183" s="298">
        <f>'dod3'!J182-'dod3 базовий'!J172</f>
        <v>1353000</v>
      </c>
      <c r="K183" s="298">
        <f>'dod3'!K182-'dod3 базовий'!K172</f>
        <v>0</v>
      </c>
      <c r="L183" s="298">
        <f>'dod3'!L182-'dod3 базовий'!L172</f>
        <v>0</v>
      </c>
      <c r="M183" s="298">
        <f>'dod3'!M182-'dod3 базовий'!M172</f>
        <v>0</v>
      </c>
      <c r="N183" s="298">
        <f>'dod3'!N182-'dod3 базовий'!N172</f>
        <v>1353000</v>
      </c>
      <c r="O183" s="298">
        <f>'dod3'!O182-'dod3 базовий'!O172</f>
        <v>1353000</v>
      </c>
      <c r="P183" s="298">
        <f>'dod3'!P182-'dod3 базовий'!P172</f>
        <v>1353000</v>
      </c>
    </row>
    <row r="184" spans="1:17" ht="137.25">
      <c r="A184" s="501" t="s">
        <v>864</v>
      </c>
      <c r="B184" s="501" t="s">
        <v>865</v>
      </c>
      <c r="C184" s="501" t="s">
        <v>334</v>
      </c>
      <c r="D184" s="501" t="s">
        <v>866</v>
      </c>
      <c r="E184" s="298">
        <f>'dod3'!E183-0</f>
        <v>0</v>
      </c>
      <c r="F184" s="298">
        <f>'dod3'!F183-0</f>
        <v>0</v>
      </c>
      <c r="G184" s="298">
        <f>'dod3'!G183-0</f>
        <v>0</v>
      </c>
      <c r="H184" s="298">
        <f>'dod3'!H183-0</f>
        <v>0</v>
      </c>
      <c r="I184" s="298">
        <f>'dod3'!I183-0</f>
        <v>0</v>
      </c>
      <c r="J184" s="298">
        <f>'dod3'!J183-0</f>
        <v>52000</v>
      </c>
      <c r="K184" s="298">
        <f>'dod3'!K183-0</f>
        <v>0</v>
      </c>
      <c r="L184" s="298">
        <f>'dod3'!L183-0</f>
        <v>0</v>
      </c>
      <c r="M184" s="298">
        <f>'dod3'!M183-0</f>
        <v>0</v>
      </c>
      <c r="N184" s="298">
        <f>'dod3'!N183-0</f>
        <v>52000</v>
      </c>
      <c r="O184" s="298">
        <f>'dod3'!O183-0</f>
        <v>52000</v>
      </c>
      <c r="P184" s="298">
        <f>'dod3'!P183-0</f>
        <v>52000</v>
      </c>
    </row>
    <row r="185" spans="1:17" ht="135">
      <c r="A185" s="433" t="s">
        <v>330</v>
      </c>
      <c r="B185" s="433"/>
      <c r="C185" s="433"/>
      <c r="D185" s="433" t="s">
        <v>75</v>
      </c>
      <c r="E185" s="436">
        <f>E186</f>
        <v>-2730901.66</v>
      </c>
      <c r="F185" s="436">
        <f t="shared" ref="F185:P185" si="33">F186</f>
        <v>-2730901.66</v>
      </c>
      <c r="G185" s="436">
        <f t="shared" si="33"/>
        <v>0</v>
      </c>
      <c r="H185" s="436">
        <f t="shared" si="33"/>
        <v>0</v>
      </c>
      <c r="I185" s="436">
        <f t="shared" si="33"/>
        <v>0</v>
      </c>
      <c r="J185" s="436">
        <f t="shared" si="33"/>
        <v>0</v>
      </c>
      <c r="K185" s="436">
        <f t="shared" si="33"/>
        <v>0</v>
      </c>
      <c r="L185" s="436">
        <f t="shared" si="33"/>
        <v>0</v>
      </c>
      <c r="M185" s="436">
        <f t="shared" si="33"/>
        <v>0</v>
      </c>
      <c r="N185" s="436">
        <f t="shared" si="33"/>
        <v>0</v>
      </c>
      <c r="O185" s="435">
        <f t="shared" si="33"/>
        <v>0</v>
      </c>
      <c r="P185" s="436">
        <f t="shared" si="33"/>
        <v>-2730901.66</v>
      </c>
    </row>
    <row r="186" spans="1:17" ht="135">
      <c r="A186" s="434" t="s">
        <v>331</v>
      </c>
      <c r="B186" s="434"/>
      <c r="C186" s="434"/>
      <c r="D186" s="434" t="s">
        <v>101</v>
      </c>
      <c r="E186" s="435">
        <f>E187+E188+E191+E189</f>
        <v>-2730901.66</v>
      </c>
      <c r="F186" s="436">
        <f t="shared" ref="F186:P186" si="34">F187+F188+F191+F189</f>
        <v>-2730901.66</v>
      </c>
      <c r="G186" s="435">
        <f t="shared" si="34"/>
        <v>0</v>
      </c>
      <c r="H186" s="435">
        <f t="shared" si="34"/>
        <v>0</v>
      </c>
      <c r="I186" s="436">
        <f t="shared" si="34"/>
        <v>0</v>
      </c>
      <c r="J186" s="435">
        <f t="shared" si="34"/>
        <v>0</v>
      </c>
      <c r="K186" s="436">
        <f t="shared" si="34"/>
        <v>0</v>
      </c>
      <c r="L186" s="435">
        <f t="shared" si="34"/>
        <v>0</v>
      </c>
      <c r="M186" s="435">
        <f t="shared" si="34"/>
        <v>0</v>
      </c>
      <c r="N186" s="436">
        <f t="shared" si="34"/>
        <v>0</v>
      </c>
      <c r="O186" s="435">
        <f t="shared" si="34"/>
        <v>0</v>
      </c>
      <c r="P186" s="435">
        <f t="shared" si="34"/>
        <v>-2730901.66</v>
      </c>
    </row>
    <row r="187" spans="1:17" ht="46.5">
      <c r="A187" s="244">
        <v>3718700</v>
      </c>
      <c r="B187" s="244">
        <v>8700</v>
      </c>
      <c r="C187" s="438" t="s">
        <v>105</v>
      </c>
      <c r="D187" s="218" t="s">
        <v>103</v>
      </c>
      <c r="E187" s="298">
        <f>'dod3'!E186-'dod3 базовий'!E175</f>
        <v>0</v>
      </c>
      <c r="F187" s="298">
        <f>'dod3'!F186-'dod3 базовий'!F175</f>
        <v>0</v>
      </c>
      <c r="G187" s="298">
        <f>'dod3'!G186-'dod3 базовий'!G175</f>
        <v>0</v>
      </c>
      <c r="H187" s="298">
        <f>'dod3'!H186-'dod3 базовий'!H175</f>
        <v>0</v>
      </c>
      <c r="I187" s="298">
        <f>'dod3'!I186-'dod3 базовий'!I175</f>
        <v>0</v>
      </c>
      <c r="J187" s="298">
        <f>'dod3'!J186-'dod3 базовий'!J175</f>
        <v>0</v>
      </c>
      <c r="K187" s="298">
        <f>'dod3'!K186-'dod3 базовий'!K175</f>
        <v>0</v>
      </c>
      <c r="L187" s="298">
        <f>'dod3'!L186-'dod3 базовий'!L175</f>
        <v>0</v>
      </c>
      <c r="M187" s="298">
        <f>'dod3'!M186-'dod3 базовий'!M175</f>
        <v>0</v>
      </c>
      <c r="N187" s="298">
        <f>'dod3'!N186-'dod3 базовий'!N175</f>
        <v>0</v>
      </c>
      <c r="O187" s="298">
        <f>'dod3'!O186-'dod3 базовий'!O175</f>
        <v>0</v>
      </c>
      <c r="P187" s="298">
        <f>'dod3'!P186-'dod3 базовий'!P175</f>
        <v>0</v>
      </c>
    </row>
    <row r="188" spans="1:17" ht="46.5">
      <c r="A188" s="244">
        <v>3718600</v>
      </c>
      <c r="B188" s="244">
        <v>8600</v>
      </c>
      <c r="C188" s="438" t="s">
        <v>800</v>
      </c>
      <c r="D188" s="443" t="s">
        <v>801</v>
      </c>
      <c r="E188" s="298">
        <f>'dod3'!E187-0</f>
        <v>281515.26</v>
      </c>
      <c r="F188" s="298">
        <f>'dod3'!F187-0</f>
        <v>281515.26</v>
      </c>
      <c r="G188" s="298">
        <f>'dod3'!G187-0</f>
        <v>0</v>
      </c>
      <c r="H188" s="298">
        <f>'dod3'!H187-0</f>
        <v>0</v>
      </c>
      <c r="I188" s="298">
        <f>'dod3'!I187-0</f>
        <v>0</v>
      </c>
      <c r="J188" s="298">
        <f>'dod3'!J187-0</f>
        <v>0</v>
      </c>
      <c r="K188" s="298">
        <f>'dod3'!K187-0</f>
        <v>0</v>
      </c>
      <c r="L188" s="298">
        <f>'dod3'!L187-0</f>
        <v>0</v>
      </c>
      <c r="M188" s="298">
        <f>'dod3'!M187-0</f>
        <v>0</v>
      </c>
      <c r="N188" s="298">
        <f>'dod3'!N187-0</f>
        <v>0</v>
      </c>
      <c r="O188" s="298">
        <f>'dod3'!O187-0</f>
        <v>0</v>
      </c>
      <c r="P188" s="298">
        <f>'dod3'!P187-0</f>
        <v>281515.26</v>
      </c>
    </row>
    <row r="189" spans="1:17" ht="274.5">
      <c r="A189" s="244">
        <v>3718870</v>
      </c>
      <c r="B189" s="244">
        <v>8870</v>
      </c>
      <c r="C189" s="463"/>
      <c r="D189" s="465" t="s">
        <v>332</v>
      </c>
      <c r="E189" s="298">
        <f>0-'dod3 базовий'!E176</f>
        <v>-3012416.92</v>
      </c>
      <c r="F189" s="298">
        <f>0-'dod3 базовий'!F176</f>
        <v>-3012416.92</v>
      </c>
      <c r="G189" s="298">
        <f>0-'dod3 базовий'!G176</f>
        <v>0</v>
      </c>
      <c r="H189" s="298">
        <f>0-'dod3 базовий'!H176</f>
        <v>0</v>
      </c>
      <c r="I189" s="298">
        <f>0-'dod3 базовий'!I176</f>
        <v>0</v>
      </c>
      <c r="J189" s="298">
        <f>0-'dod3 базовий'!J176</f>
        <v>0</v>
      </c>
      <c r="K189" s="298">
        <f>0-'dod3 базовий'!K176</f>
        <v>0</v>
      </c>
      <c r="L189" s="298">
        <f>0-'dod3 базовий'!L176</f>
        <v>0</v>
      </c>
      <c r="M189" s="298">
        <f>0-'dod3 базовий'!M176</f>
        <v>0</v>
      </c>
      <c r="N189" s="298">
        <f>0-'dod3 базовий'!N176</f>
        <v>0</v>
      </c>
      <c r="O189" s="298">
        <f>0-'dod3 базовий'!O176</f>
        <v>0</v>
      </c>
      <c r="P189" s="298">
        <f>0-'dod3 базовий'!P176</f>
        <v>-3012416.92</v>
      </c>
    </row>
    <row r="190" spans="1:17" ht="46.5">
      <c r="A190" s="224">
        <v>3718872</v>
      </c>
      <c r="B190" s="224">
        <v>8872</v>
      </c>
      <c r="C190" s="217" t="s">
        <v>334</v>
      </c>
      <c r="D190" s="18" t="s">
        <v>333</v>
      </c>
      <c r="E190" s="298">
        <f>0-'dod3 базовий'!E177</f>
        <v>-3012416.92</v>
      </c>
      <c r="F190" s="298">
        <f>0-'dod3 базовий'!F177</f>
        <v>-3012416.92</v>
      </c>
      <c r="G190" s="298">
        <f>0-'dod3 базовий'!G177</f>
        <v>0</v>
      </c>
      <c r="H190" s="298">
        <f>0-'dod3 базовий'!H177</f>
        <v>0</v>
      </c>
      <c r="I190" s="298">
        <f>0-'dod3 базовий'!I177</f>
        <v>0</v>
      </c>
      <c r="J190" s="298">
        <f>0-'dod3 базовий'!J177</f>
        <v>0</v>
      </c>
      <c r="K190" s="298">
        <f>0-'dod3 базовий'!K177</f>
        <v>0</v>
      </c>
      <c r="L190" s="298">
        <f>0-'dod3 базовий'!L177</f>
        <v>0</v>
      </c>
      <c r="M190" s="298">
        <f>0-'dod3 базовий'!M177</f>
        <v>0</v>
      </c>
      <c r="N190" s="298">
        <f>0-'dod3 базовий'!N177</f>
        <v>0</v>
      </c>
      <c r="O190" s="298">
        <f>0-'dod3 базовий'!O177</f>
        <v>0</v>
      </c>
      <c r="P190" s="298">
        <f>0-'dod3 базовий'!P177</f>
        <v>-3012416.92</v>
      </c>
    </row>
    <row r="191" spans="1:17" ht="46.5">
      <c r="A191" s="244">
        <v>3719110</v>
      </c>
      <c r="B191" s="244">
        <v>9110</v>
      </c>
      <c r="C191" s="438" t="s">
        <v>106</v>
      </c>
      <c r="D191" s="218" t="s">
        <v>104</v>
      </c>
      <c r="E191" s="298">
        <f>'dod3'!E188-'dod3 базовий'!E178</f>
        <v>0</v>
      </c>
      <c r="F191" s="298">
        <f>'dod3'!F188-'dod3 базовий'!F178</f>
        <v>0</v>
      </c>
      <c r="G191" s="298">
        <f>'dod3'!G188-'dod3 базовий'!G178</f>
        <v>0</v>
      </c>
      <c r="H191" s="298">
        <f>'dod3'!H188-'dod3 базовий'!H178</f>
        <v>0</v>
      </c>
      <c r="I191" s="298">
        <f>'dod3'!I188-'dod3 базовий'!I178</f>
        <v>0</v>
      </c>
      <c r="J191" s="298">
        <f>'dod3'!J188-'dod3 базовий'!J178</f>
        <v>0</v>
      </c>
      <c r="K191" s="298">
        <f>'dod3'!K188-'dod3 базовий'!K178</f>
        <v>0</v>
      </c>
      <c r="L191" s="298">
        <f>'dod3'!L188-'dod3 базовий'!L178</f>
        <v>0</v>
      </c>
      <c r="M191" s="298">
        <f>'dod3'!M188-'dod3 базовий'!M178</f>
        <v>0</v>
      </c>
      <c r="N191" s="298">
        <f>'dod3'!N188-'dod3 базовий'!N178</f>
        <v>0</v>
      </c>
      <c r="O191" s="298">
        <f>'dod3'!O188-'dod3 базовий'!O178</f>
        <v>0</v>
      </c>
      <c r="P191" s="298">
        <f>'dod3'!P188-'dod3 базовий'!P178</f>
        <v>0</v>
      </c>
    </row>
    <row r="192" spans="1:17" s="5" customFormat="1" ht="45.75">
      <c r="A192" s="582" t="s">
        <v>8</v>
      </c>
      <c r="B192" s="582"/>
      <c r="C192" s="582"/>
      <c r="D192" s="582"/>
      <c r="E192" s="254">
        <f>E13+E27+E116+E41+E56+E104+E138+E158+E165+E186+E168+E175+E182</f>
        <v>87707973.340000004</v>
      </c>
      <c r="F192" s="255">
        <f>F13+F27+F116+F41+F55+F104+F138+F158+F165+F186+F168+F175+F182</f>
        <v>87707973.340000004</v>
      </c>
      <c r="G192" s="254">
        <f t="shared" ref="G192:O192" si="35">G13+G27+G116+G41+G56+G104+G138+G158+G165+G186+G168+G175+G182</f>
        <v>26363551</v>
      </c>
      <c r="H192" s="254">
        <f t="shared" si="35"/>
        <v>500</v>
      </c>
      <c r="I192" s="255">
        <f t="shared" si="35"/>
        <v>0</v>
      </c>
      <c r="J192" s="254">
        <f t="shared" si="35"/>
        <v>184189796.69</v>
      </c>
      <c r="K192" s="255">
        <f t="shared" si="35"/>
        <v>1259149.6200000001</v>
      </c>
      <c r="L192" s="254">
        <f t="shared" si="35"/>
        <v>-307328</v>
      </c>
      <c r="M192" s="254">
        <f t="shared" si="35"/>
        <v>0</v>
      </c>
      <c r="N192" s="255">
        <f t="shared" si="35"/>
        <v>182930647.06999999</v>
      </c>
      <c r="O192" s="254">
        <f t="shared" si="35"/>
        <v>181031515.31999999</v>
      </c>
      <c r="P192" s="254">
        <f>P13+P27+P116+P41+P55+P104+P138+P158+P165+P186+P168+P175+P182</f>
        <v>271897770.02999997</v>
      </c>
      <c r="Q192" s="232"/>
    </row>
    <row r="193" spans="1:17" ht="31.5" customHeight="1">
      <c r="A193" s="583" t="s">
        <v>586</v>
      </c>
      <c r="B193" s="584"/>
      <c r="C193" s="584"/>
      <c r="D193" s="584"/>
      <c r="E193" s="584"/>
      <c r="F193" s="584"/>
      <c r="G193" s="584"/>
      <c r="H193" s="584"/>
      <c r="I193" s="584"/>
      <c r="J193" s="584"/>
      <c r="K193" s="584"/>
      <c r="L193" s="584"/>
      <c r="M193" s="584"/>
      <c r="N193" s="584"/>
      <c r="O193" s="584"/>
      <c r="P193" s="584"/>
      <c r="Q193" s="26"/>
    </row>
    <row r="194" spans="1:17" ht="31.5" customHeight="1">
      <c r="A194" s="338"/>
      <c r="B194" s="339"/>
      <c r="C194" s="339"/>
      <c r="D194" s="339"/>
      <c r="E194" s="339"/>
      <c r="F194" s="341"/>
      <c r="G194" s="339"/>
      <c r="H194" s="339"/>
      <c r="I194" s="341"/>
      <c r="J194" s="339"/>
      <c r="K194" s="341"/>
      <c r="L194" s="339"/>
      <c r="M194" s="339"/>
      <c r="N194" s="341"/>
      <c r="O194" s="339"/>
      <c r="P194" s="339"/>
      <c r="Q194" s="26"/>
    </row>
    <row r="195" spans="1:17" ht="61.5" customHeight="1">
      <c r="A195" s="441"/>
      <c r="B195" s="441"/>
      <c r="C195" s="441"/>
      <c r="D195" s="581"/>
      <c r="E195" s="581"/>
      <c r="F195" s="581"/>
      <c r="G195" s="581"/>
      <c r="H195" s="581"/>
      <c r="I195" s="581"/>
      <c r="J195" s="581"/>
      <c r="K195" s="581"/>
      <c r="L195" s="581"/>
      <c r="M195" s="581"/>
      <c r="N195" s="581"/>
      <c r="O195" s="581"/>
      <c r="P195" s="581"/>
      <c r="Q195" s="27"/>
    </row>
    <row r="196" spans="1:17" ht="45.75">
      <c r="E196" s="89"/>
      <c r="F196" s="13"/>
      <c r="J196" s="11"/>
      <c r="N196" s="78"/>
      <c r="O196" s="88"/>
      <c r="P196" s="73"/>
    </row>
    <row r="197" spans="1:17" ht="45">
      <c r="D197" s="7"/>
      <c r="E197" s="77"/>
      <c r="F197" s="485"/>
      <c r="H197" s="7"/>
      <c r="I197" s="346"/>
      <c r="J197" s="77"/>
      <c r="N197" s="346"/>
      <c r="O197" s="77"/>
      <c r="P197" s="77"/>
      <c r="Q197" s="28"/>
    </row>
    <row r="198" spans="1:17">
      <c r="E198" s="9"/>
      <c r="F198" s="13"/>
      <c r="J198" s="9"/>
      <c r="O198" s="6"/>
    </row>
    <row r="199" spans="1:17">
      <c r="E199" s="9"/>
      <c r="F199" s="13"/>
      <c r="J199" s="9"/>
    </row>
    <row r="200" spans="1:17" ht="45.75">
      <c r="E200" s="73"/>
      <c r="F200" s="76"/>
      <c r="G200" s="6"/>
      <c r="I200" s="343"/>
      <c r="J200" s="238"/>
      <c r="K200" s="343"/>
      <c r="L200" s="237"/>
      <c r="M200" s="237"/>
      <c r="N200" s="347"/>
      <c r="O200" s="239"/>
      <c r="P200" s="232"/>
    </row>
    <row r="201" spans="1:17" ht="13.5">
      <c r="E201" s="12"/>
      <c r="F201" s="15"/>
      <c r="G201" s="4"/>
      <c r="H201" s="4"/>
      <c r="I201" s="4"/>
      <c r="J201" s="9"/>
    </row>
    <row r="202" spans="1:17" ht="45.75">
      <c r="A202"/>
      <c r="B202"/>
      <c r="C202"/>
      <c r="D202"/>
      <c r="E202" s="232"/>
      <c r="F202" s="78"/>
      <c r="G202" s="393"/>
      <c r="J202" s="8"/>
      <c r="K202" s="344"/>
      <c r="L202"/>
      <c r="M202"/>
      <c r="N202" s="344"/>
      <c r="O202"/>
      <c r="P202"/>
    </row>
    <row r="203" spans="1:17" ht="60.75">
      <c r="E203" s="79"/>
      <c r="G203" s="81"/>
      <c r="P203" s="327"/>
      <c r="Q203" s="328"/>
    </row>
    <row r="204" spans="1:17" ht="60.75">
      <c r="A204"/>
      <c r="B204"/>
      <c r="C204"/>
      <c r="D204"/>
      <c r="E204" s="77"/>
      <c r="F204" s="78"/>
      <c r="G204" s="6"/>
      <c r="J204" s="9"/>
      <c r="K204" s="344"/>
      <c r="L204"/>
      <c r="M204"/>
      <c r="N204" s="344"/>
      <c r="O204"/>
      <c r="P204" s="327"/>
      <c r="Q204" s="328"/>
    </row>
    <row r="205" spans="1:17" ht="60.75">
      <c r="E205" s="79"/>
      <c r="F205" s="80"/>
      <c r="P205" s="327"/>
    </row>
    <row r="206" spans="1:17" ht="60.75">
      <c r="A206"/>
      <c r="B206"/>
      <c r="C206"/>
      <c r="D206"/>
      <c r="E206" s="77"/>
      <c r="F206" s="78"/>
      <c r="G206" s="6"/>
      <c r="J206" s="9"/>
      <c r="K206" s="344"/>
      <c r="L206"/>
      <c r="M206"/>
      <c r="N206" s="344"/>
      <c r="O206"/>
      <c r="P206" s="327"/>
    </row>
    <row r="207" spans="1:17" ht="45.75">
      <c r="A207"/>
      <c r="B207"/>
      <c r="C207"/>
      <c r="D207"/>
      <c r="E207" s="77"/>
      <c r="F207" s="78"/>
      <c r="J207" s="9"/>
      <c r="K207" s="344"/>
      <c r="L207"/>
      <c r="M207"/>
      <c r="N207" s="344"/>
      <c r="O207"/>
      <c r="P207"/>
    </row>
    <row r="208" spans="1:17" ht="45.75">
      <c r="E208" s="79"/>
      <c r="F208" s="80"/>
    </row>
    <row r="209" spans="1:16" ht="45.75">
      <c r="A209"/>
      <c r="B209"/>
      <c r="C209"/>
      <c r="D209"/>
      <c r="E209" s="77"/>
      <c r="F209" s="78"/>
      <c r="K209" s="344"/>
      <c r="L209"/>
      <c r="M209"/>
      <c r="N209" s="344"/>
      <c r="O209"/>
      <c r="P209"/>
    </row>
    <row r="210" spans="1:16" ht="45.75">
      <c r="E210" s="79"/>
      <c r="F210" s="80"/>
    </row>
    <row r="211" spans="1:16" ht="45.75">
      <c r="E211" s="79"/>
      <c r="F211" s="80"/>
    </row>
    <row r="212" spans="1:16" ht="45.75">
      <c r="E212" s="79"/>
      <c r="F212" s="80"/>
    </row>
    <row r="213" spans="1:16" ht="45.75">
      <c r="A213"/>
      <c r="B213"/>
      <c r="C213"/>
      <c r="D213"/>
      <c r="E213" s="79"/>
      <c r="F213" s="80"/>
      <c r="G213"/>
      <c r="H213"/>
      <c r="I213" s="344"/>
      <c r="J213"/>
      <c r="K213" s="344"/>
      <c r="L213"/>
      <c r="M213"/>
      <c r="N213" s="344"/>
      <c r="O213"/>
      <c r="P213"/>
    </row>
    <row r="214" spans="1:16" ht="45.75">
      <c r="A214"/>
      <c r="B214"/>
      <c r="C214"/>
      <c r="D214"/>
      <c r="E214" s="79"/>
      <c r="F214" s="80"/>
      <c r="G214"/>
      <c r="H214"/>
      <c r="I214" s="344"/>
      <c r="J214"/>
      <c r="K214" s="344"/>
      <c r="L214"/>
      <c r="M214"/>
      <c r="N214" s="344"/>
      <c r="O214"/>
      <c r="P214"/>
    </row>
    <row r="215" spans="1:16" ht="45.75">
      <c r="A215"/>
      <c r="B215"/>
      <c r="C215"/>
      <c r="D215"/>
      <c r="E215" s="79"/>
      <c r="F215" s="80"/>
      <c r="G215"/>
      <c r="H215"/>
      <c r="I215" s="344"/>
      <c r="J215"/>
      <c r="K215" s="344"/>
      <c r="L215"/>
      <c r="M215"/>
      <c r="N215" s="344"/>
      <c r="O215"/>
      <c r="P215"/>
    </row>
    <row r="216" spans="1:16" ht="45.75">
      <c r="A216"/>
      <c r="B216"/>
      <c r="C216"/>
      <c r="D216"/>
      <c r="E216" s="79"/>
      <c r="F216" s="80"/>
      <c r="G216"/>
      <c r="H216"/>
      <c r="I216" s="344"/>
      <c r="J216"/>
      <c r="K216" s="344"/>
      <c r="L216"/>
      <c r="M216"/>
      <c r="N216" s="344"/>
      <c r="O216"/>
      <c r="P216"/>
    </row>
  </sheetData>
  <mergeCells count="67">
    <mergeCell ref="A8:A10"/>
    <mergeCell ref="B8:B10"/>
    <mergeCell ref="D8:D10"/>
    <mergeCell ref="E8:I8"/>
    <mergeCell ref="J8:N8"/>
    <mergeCell ref="N1:P1"/>
    <mergeCell ref="N2:P2"/>
    <mergeCell ref="N3:P3"/>
    <mergeCell ref="A5:P5"/>
    <mergeCell ref="A6:P6"/>
    <mergeCell ref="N21:N22"/>
    <mergeCell ref="O21:O22"/>
    <mergeCell ref="P21:P22"/>
    <mergeCell ref="K21:K22"/>
    <mergeCell ref="L21:L22"/>
    <mergeCell ref="M21:M22"/>
    <mergeCell ref="P8:P10"/>
    <mergeCell ref="E9:E10"/>
    <mergeCell ref="F9:F10"/>
    <mergeCell ref="G9:H9"/>
    <mergeCell ref="I9:I10"/>
    <mergeCell ref="J9:J10"/>
    <mergeCell ref="K9:K10"/>
    <mergeCell ref="L9:M9"/>
    <mergeCell ref="N9:N10"/>
    <mergeCell ref="A21:A22"/>
    <mergeCell ref="B21:B22"/>
    <mergeCell ref="C21:C22"/>
    <mergeCell ref="E21:E22"/>
    <mergeCell ref="F21:F22"/>
    <mergeCell ref="A78:A79"/>
    <mergeCell ref="B78:B79"/>
    <mergeCell ref="C78:C79"/>
    <mergeCell ref="E78:E79"/>
    <mergeCell ref="F78:F79"/>
    <mergeCell ref="G78:G79"/>
    <mergeCell ref="H78:H79"/>
    <mergeCell ref="H21:H22"/>
    <mergeCell ref="I21:I22"/>
    <mergeCell ref="J21:J22"/>
    <mergeCell ref="G21:G22"/>
    <mergeCell ref="O78:O79"/>
    <mergeCell ref="P78:P79"/>
    <mergeCell ref="A96:A97"/>
    <mergeCell ref="B96:B97"/>
    <mergeCell ref="C96:C97"/>
    <mergeCell ref="E96:E97"/>
    <mergeCell ref="F96:F97"/>
    <mergeCell ref="G96:G97"/>
    <mergeCell ref="H96:H97"/>
    <mergeCell ref="I96:I97"/>
    <mergeCell ref="I78:I79"/>
    <mergeCell ref="J78:J79"/>
    <mergeCell ref="K78:K79"/>
    <mergeCell ref="L78:L79"/>
    <mergeCell ref="M78:M79"/>
    <mergeCell ref="N78:N79"/>
    <mergeCell ref="P96:P97"/>
    <mergeCell ref="A192:D192"/>
    <mergeCell ref="A193:P193"/>
    <mergeCell ref="D195:P195"/>
    <mergeCell ref="J96:J97"/>
    <mergeCell ref="K96:K97"/>
    <mergeCell ref="L96:L97"/>
    <mergeCell ref="M96:M97"/>
    <mergeCell ref="N96:N97"/>
    <mergeCell ref="O96:O97"/>
  </mergeCells>
  <pageMargins left="0.23622047244094491" right="0.27559055118110237" top="0.27559055118110237" bottom="0.15748031496062992" header="0.23622047244094491" footer="0.27559055118110237"/>
  <pageSetup paperSize="9" scale="17" fitToHeight="2" orientation="landscape" r:id="rId1"/>
  <headerFooter alignWithMargins="0">
    <oddFooter>&amp;C&amp;"Times New Roman Cyr,курсив"Сторінка &amp;P з &amp;N</oddFooter>
  </headerFooter>
  <rowBreaks count="2" manualBreakCount="2">
    <brk id="47" max="15" man="1"/>
    <brk id="95" max="15" man="1"/>
  </rowBreaks>
</worksheet>
</file>

<file path=xl/worksheets/sheet2.xml><?xml version="1.0" encoding="utf-8"?>
<worksheet xmlns="http://schemas.openxmlformats.org/spreadsheetml/2006/main" xmlns:r="http://schemas.openxmlformats.org/officeDocument/2006/relationships">
  <dimension ref="A1:Q36"/>
  <sheetViews>
    <sheetView view="pageBreakPreview" zoomScaleSheetLayoutView="100" workbookViewId="0">
      <selection activeCell="F33" sqref="F33"/>
    </sheetView>
  </sheetViews>
  <sheetFormatPr defaultColWidth="9.140625" defaultRowHeight="12.75"/>
  <cols>
    <col min="1" max="1" width="9.7109375" style="162" customWidth="1"/>
    <col min="2" max="2" width="22.140625" style="162" customWidth="1"/>
    <col min="3" max="3" width="14.140625" style="162" customWidth="1"/>
    <col min="4" max="4" width="14" style="162" customWidth="1"/>
    <col min="5" max="5" width="13.140625" style="162" customWidth="1"/>
    <col min="6" max="6" width="13.85546875" style="162" customWidth="1"/>
    <col min="7" max="7" width="15.140625" style="162" customWidth="1"/>
    <col min="8" max="8" width="16.42578125" style="162" customWidth="1"/>
    <col min="9" max="9" width="8.28515625" style="162" customWidth="1"/>
    <col min="10" max="10" width="9.140625" style="162"/>
    <col min="11" max="11" width="9.7109375" style="162" customWidth="1"/>
    <col min="12" max="12" width="9.140625" style="162"/>
    <col min="13" max="13" width="8.140625" style="162" customWidth="1"/>
    <col min="14" max="16384" width="9.140625" style="162"/>
  </cols>
  <sheetData>
    <row r="1" spans="1:17">
      <c r="E1" s="163" t="s">
        <v>229</v>
      </c>
      <c r="F1" s="163"/>
    </row>
    <row r="2" spans="1:17">
      <c r="E2" s="163" t="s">
        <v>230</v>
      </c>
      <c r="F2" s="163"/>
    </row>
    <row r="3" spans="1:17">
      <c r="E3" s="163" t="s">
        <v>231</v>
      </c>
      <c r="F3" s="163"/>
    </row>
    <row r="5" spans="1:17" ht="18.75">
      <c r="A5" s="559" t="s">
        <v>725</v>
      </c>
      <c r="B5" s="559"/>
      <c r="C5" s="559"/>
      <c r="D5" s="559"/>
      <c r="E5" s="559"/>
      <c r="F5" s="559"/>
    </row>
    <row r="7" spans="1:17">
      <c r="A7" s="560" t="s">
        <v>149</v>
      </c>
      <c r="B7" s="560" t="s">
        <v>232</v>
      </c>
      <c r="C7" s="408"/>
      <c r="D7" s="560" t="s">
        <v>127</v>
      </c>
      <c r="E7" s="560"/>
      <c r="F7" s="560" t="s">
        <v>35</v>
      </c>
    </row>
    <row r="8" spans="1:17" ht="24.75" customHeight="1">
      <c r="A8" s="560"/>
      <c r="B8" s="560"/>
      <c r="C8" s="408" t="s">
        <v>36</v>
      </c>
      <c r="D8" s="408" t="s">
        <v>35</v>
      </c>
      <c r="E8" s="408" t="s">
        <v>233</v>
      </c>
      <c r="F8" s="560"/>
    </row>
    <row r="9" spans="1:17">
      <c r="A9" s="164">
        <v>1</v>
      </c>
      <c r="B9" s="164">
        <v>2</v>
      </c>
      <c r="C9" s="164">
        <v>3</v>
      </c>
      <c r="D9" s="165">
        <v>4</v>
      </c>
      <c r="E9" s="165">
        <v>5</v>
      </c>
      <c r="F9" s="164">
        <v>6</v>
      </c>
    </row>
    <row r="10" spans="1:17" ht="25.5">
      <c r="A10" s="164"/>
      <c r="B10" s="417" t="s">
        <v>792</v>
      </c>
      <c r="C10" s="164"/>
      <c r="D10" s="165"/>
      <c r="E10" s="165"/>
      <c r="F10" s="164"/>
    </row>
    <row r="11" spans="1:17">
      <c r="A11" s="166" t="s">
        <v>234</v>
      </c>
      <c r="B11" s="166" t="s">
        <v>235</v>
      </c>
      <c r="C11" s="166">
        <f>C12+C14</f>
        <v>-141409507.34</v>
      </c>
      <c r="D11" s="166">
        <f>D12+D14</f>
        <v>270225144.25</v>
      </c>
      <c r="E11" s="166">
        <f>E12+E14</f>
        <v>268681151.88</v>
      </c>
      <c r="F11" s="166">
        <f>C11+D11</f>
        <v>128815636.91</v>
      </c>
      <c r="G11" s="235"/>
      <c r="H11" s="235"/>
      <c r="I11" s="235"/>
      <c r="J11" s="235"/>
      <c r="K11" s="235"/>
      <c r="L11" s="235"/>
      <c r="M11" s="235"/>
      <c r="N11" s="235"/>
      <c r="O11" s="235"/>
      <c r="P11" s="235"/>
      <c r="Q11" s="235"/>
    </row>
    <row r="12" spans="1:17" ht="16.5" customHeight="1">
      <c r="A12" s="167" t="s">
        <v>236</v>
      </c>
      <c r="B12" s="167" t="s">
        <v>237</v>
      </c>
      <c r="C12" s="168">
        <v>118676107.09999999</v>
      </c>
      <c r="D12" s="168">
        <v>10139529.810000001</v>
      </c>
      <c r="E12" s="168">
        <v>8595537.4399999995</v>
      </c>
      <c r="F12" s="168">
        <f t="shared" ref="F12:F30" si="0">C12+D12</f>
        <v>128815636.91</v>
      </c>
      <c r="G12" s="235"/>
      <c r="H12" s="235"/>
      <c r="I12" s="235"/>
      <c r="J12" s="235"/>
      <c r="K12" s="235"/>
      <c r="L12" s="235"/>
      <c r="M12" s="235"/>
      <c r="N12" s="235"/>
      <c r="O12" s="235"/>
      <c r="P12" s="235"/>
      <c r="Q12" s="235"/>
    </row>
    <row r="13" spans="1:17" ht="18.75" hidden="1" customHeight="1">
      <c r="A13" s="167">
        <v>208200</v>
      </c>
      <c r="B13" s="167" t="s">
        <v>238</v>
      </c>
      <c r="C13" s="168"/>
      <c r="D13" s="168"/>
      <c r="E13" s="166"/>
      <c r="F13" s="168">
        <f t="shared" si="0"/>
        <v>0</v>
      </c>
      <c r="G13" s="235"/>
      <c r="H13" s="235"/>
      <c r="I13" s="235"/>
      <c r="J13" s="235"/>
      <c r="K13" s="235"/>
      <c r="L13" s="235"/>
      <c r="M13" s="235"/>
      <c r="N13" s="235"/>
      <c r="O13" s="235"/>
      <c r="P13" s="235"/>
      <c r="Q13" s="235"/>
    </row>
    <row r="14" spans="1:17" ht="51">
      <c r="A14" s="167">
        <v>208400</v>
      </c>
      <c r="B14" s="169" t="s">
        <v>239</v>
      </c>
      <c r="C14" s="166">
        <v>-260085614.44</v>
      </c>
      <c r="D14" s="166">
        <v>260085614.44</v>
      </c>
      <c r="E14" s="166">
        <v>260085614.44</v>
      </c>
      <c r="F14" s="166">
        <f t="shared" si="0"/>
        <v>0</v>
      </c>
      <c r="G14" s="235"/>
      <c r="H14" s="235"/>
      <c r="I14" s="235"/>
      <c r="J14" s="235"/>
      <c r="K14" s="235"/>
      <c r="L14" s="235"/>
      <c r="M14" s="235"/>
      <c r="N14" s="235"/>
      <c r="O14" s="235"/>
      <c r="P14" s="235"/>
      <c r="Q14" s="235"/>
    </row>
    <row r="15" spans="1:17">
      <c r="A15" s="415">
        <v>300000</v>
      </c>
      <c r="B15" s="236" t="s">
        <v>787</v>
      </c>
      <c r="C15" s="166">
        <v>0</v>
      </c>
      <c r="D15" s="166">
        <v>5556846.3399999999</v>
      </c>
      <c r="E15" s="166">
        <v>5556846.3399999999</v>
      </c>
      <c r="F15" s="166">
        <v>5556846.3399999999</v>
      </c>
      <c r="G15" s="235"/>
      <c r="H15" s="235"/>
      <c r="I15" s="235"/>
      <c r="J15" s="235"/>
      <c r="K15" s="235"/>
      <c r="L15" s="235"/>
      <c r="M15" s="235"/>
      <c r="N15" s="235"/>
      <c r="O15" s="235"/>
      <c r="P15" s="235"/>
      <c r="Q15" s="235"/>
    </row>
    <row r="16" spans="1:17" ht="38.25">
      <c r="A16" s="416">
        <v>301000</v>
      </c>
      <c r="B16" s="236" t="s">
        <v>788</v>
      </c>
      <c r="C16" s="166">
        <v>0</v>
      </c>
      <c r="D16" s="166">
        <v>5556846.3399999999</v>
      </c>
      <c r="E16" s="166">
        <v>5556846.3399999999</v>
      </c>
      <c r="F16" s="166">
        <v>5556846.3399999999</v>
      </c>
      <c r="G16" s="235"/>
      <c r="H16" s="235"/>
      <c r="I16" s="235"/>
      <c r="J16" s="235"/>
      <c r="K16" s="235"/>
      <c r="L16" s="235"/>
      <c r="M16" s="235"/>
      <c r="N16" s="235"/>
      <c r="O16" s="235"/>
      <c r="P16" s="235"/>
      <c r="Q16" s="235"/>
    </row>
    <row r="17" spans="1:17">
      <c r="A17" s="167">
        <v>301100</v>
      </c>
      <c r="B17" s="169" t="s">
        <v>789</v>
      </c>
      <c r="C17" s="166"/>
      <c r="D17" s="166">
        <v>8287748</v>
      </c>
      <c r="E17" s="166">
        <v>8287748</v>
      </c>
      <c r="F17" s="166"/>
      <c r="G17" s="235"/>
      <c r="H17" s="235"/>
      <c r="I17" s="235"/>
      <c r="J17" s="235"/>
      <c r="K17" s="235"/>
      <c r="L17" s="235"/>
      <c r="M17" s="235"/>
      <c r="N17" s="235"/>
      <c r="O17" s="235"/>
      <c r="P17" s="235"/>
      <c r="Q17" s="235"/>
    </row>
    <row r="18" spans="1:17">
      <c r="A18" s="167">
        <v>301200</v>
      </c>
      <c r="B18" s="169" t="s">
        <v>790</v>
      </c>
      <c r="C18" s="166"/>
      <c r="D18" s="166">
        <v>-2730901.66</v>
      </c>
      <c r="E18" s="166">
        <v>-2730901.66</v>
      </c>
      <c r="F18" s="166"/>
      <c r="G18" s="235"/>
      <c r="H18" s="235"/>
      <c r="I18" s="235"/>
      <c r="J18" s="235"/>
      <c r="K18" s="235"/>
      <c r="L18" s="235"/>
      <c r="M18" s="235"/>
      <c r="N18" s="235"/>
      <c r="O18" s="235"/>
      <c r="P18" s="235"/>
      <c r="Q18" s="235"/>
    </row>
    <row r="19" spans="1:17" ht="51">
      <c r="A19" s="167"/>
      <c r="B19" s="236" t="s">
        <v>791</v>
      </c>
      <c r="C19" s="166">
        <v>-260085614.44</v>
      </c>
      <c r="D19" s="166">
        <v>265641460.78</v>
      </c>
      <c r="E19" s="166">
        <v>265642460.78</v>
      </c>
      <c r="F19" s="166">
        <v>5556846.3399999999</v>
      </c>
      <c r="G19" s="235"/>
      <c r="H19" s="235"/>
      <c r="I19" s="235"/>
      <c r="J19" s="235"/>
      <c r="K19" s="235"/>
      <c r="L19" s="235"/>
      <c r="M19" s="235"/>
      <c r="N19" s="235"/>
      <c r="O19" s="235"/>
      <c r="P19" s="235"/>
      <c r="Q19" s="235"/>
    </row>
    <row r="20" spans="1:17" ht="38.25">
      <c r="A20" s="167"/>
      <c r="B20" s="236" t="s">
        <v>793</v>
      </c>
      <c r="C20" s="166"/>
      <c r="D20" s="166"/>
      <c r="E20" s="166"/>
      <c r="F20" s="166"/>
      <c r="G20" s="235"/>
      <c r="H20" s="235"/>
      <c r="I20" s="235"/>
      <c r="J20" s="235"/>
      <c r="K20" s="235"/>
      <c r="L20" s="235"/>
      <c r="M20" s="235"/>
      <c r="N20" s="235"/>
      <c r="O20" s="235"/>
      <c r="P20" s="235"/>
      <c r="Q20" s="235"/>
    </row>
    <row r="21" spans="1:17" ht="25.5">
      <c r="A21" s="416">
        <v>400000</v>
      </c>
      <c r="B21" s="236" t="s">
        <v>240</v>
      </c>
      <c r="C21" s="166"/>
      <c r="D21" s="166">
        <v>5556846.3399999999</v>
      </c>
      <c r="E21" s="166">
        <v>5556846.3399999999</v>
      </c>
      <c r="F21" s="166">
        <v>5556846.3399999999</v>
      </c>
      <c r="G21" s="235"/>
      <c r="H21" s="235"/>
      <c r="I21" s="235"/>
      <c r="J21" s="235"/>
      <c r="K21" s="235"/>
      <c r="L21" s="235"/>
      <c r="M21" s="235"/>
      <c r="N21" s="235"/>
      <c r="O21" s="235"/>
      <c r="P21" s="235"/>
      <c r="Q21" s="235"/>
    </row>
    <row r="22" spans="1:17">
      <c r="A22" s="416">
        <v>401000</v>
      </c>
      <c r="B22" s="236" t="s">
        <v>241</v>
      </c>
      <c r="C22" s="166"/>
      <c r="D22" s="166">
        <v>8287748</v>
      </c>
      <c r="E22" s="166">
        <v>8287748</v>
      </c>
      <c r="F22" s="166">
        <v>8287748</v>
      </c>
      <c r="G22" s="235"/>
      <c r="H22" s="235"/>
      <c r="I22" s="235"/>
      <c r="J22" s="235"/>
      <c r="K22" s="235"/>
      <c r="L22" s="235"/>
      <c r="M22" s="235"/>
      <c r="N22" s="235"/>
      <c r="O22" s="235"/>
      <c r="P22" s="235"/>
      <c r="Q22" s="235"/>
    </row>
    <row r="23" spans="1:17" s="419" customFormat="1">
      <c r="A23" s="416">
        <v>401200</v>
      </c>
      <c r="B23" s="236" t="s">
        <v>794</v>
      </c>
      <c r="C23" s="166"/>
      <c r="D23" s="166">
        <v>8287748</v>
      </c>
      <c r="E23" s="166">
        <v>8287748</v>
      </c>
      <c r="F23" s="166">
        <v>8287748</v>
      </c>
      <c r="G23" s="418"/>
      <c r="H23" s="418"/>
      <c r="I23" s="418"/>
      <c r="J23" s="418"/>
      <c r="K23" s="418"/>
      <c r="L23" s="418"/>
      <c r="M23" s="418"/>
      <c r="N23" s="418"/>
      <c r="O23" s="418"/>
      <c r="P23" s="418"/>
      <c r="Q23" s="418"/>
    </row>
    <row r="24" spans="1:17" ht="25.5">
      <c r="A24" s="167">
        <v>401202</v>
      </c>
      <c r="B24" s="169" t="s">
        <v>795</v>
      </c>
      <c r="C24" s="166"/>
      <c r="D24" s="168">
        <v>8287748</v>
      </c>
      <c r="E24" s="168">
        <v>8287748</v>
      </c>
      <c r="F24" s="168">
        <v>8287748</v>
      </c>
      <c r="G24" s="235"/>
      <c r="H24" s="235"/>
      <c r="I24" s="235"/>
      <c r="J24" s="235"/>
      <c r="K24" s="235"/>
      <c r="L24" s="235"/>
      <c r="M24" s="235"/>
      <c r="N24" s="235"/>
      <c r="O24" s="235"/>
      <c r="P24" s="235"/>
      <c r="Q24" s="235"/>
    </row>
    <row r="25" spans="1:17" s="419" customFormat="1">
      <c r="A25" s="416">
        <v>402000</v>
      </c>
      <c r="B25" s="236" t="s">
        <v>796</v>
      </c>
      <c r="C25" s="166"/>
      <c r="D25" s="166">
        <v>-2730901.66</v>
      </c>
      <c r="E25" s="166">
        <v>-2730901.66</v>
      </c>
      <c r="F25" s="166">
        <v>-2730901.66</v>
      </c>
      <c r="G25" s="418"/>
      <c r="H25" s="418"/>
      <c r="I25" s="418"/>
      <c r="J25" s="418"/>
      <c r="K25" s="418"/>
      <c r="L25" s="418"/>
      <c r="M25" s="418"/>
      <c r="N25" s="418"/>
      <c r="O25" s="418"/>
      <c r="P25" s="418"/>
      <c r="Q25" s="418"/>
    </row>
    <row r="26" spans="1:17" s="419" customFormat="1">
      <c r="A26" s="416">
        <v>402200</v>
      </c>
      <c r="B26" s="236" t="s">
        <v>797</v>
      </c>
      <c r="C26" s="166"/>
      <c r="D26" s="166">
        <v>-2730901.66</v>
      </c>
      <c r="E26" s="166">
        <v>-2730901.66</v>
      </c>
      <c r="F26" s="166">
        <v>-2730901.66</v>
      </c>
      <c r="G26" s="418"/>
      <c r="H26" s="418"/>
      <c r="I26" s="418"/>
      <c r="J26" s="418"/>
      <c r="K26" s="418"/>
      <c r="L26" s="418"/>
      <c r="M26" s="418"/>
      <c r="N26" s="418"/>
      <c r="O26" s="418"/>
      <c r="P26" s="418"/>
      <c r="Q26" s="418"/>
    </row>
    <row r="27" spans="1:17" ht="25.5" customHeight="1">
      <c r="A27" s="167">
        <v>402202</v>
      </c>
      <c r="B27" s="169" t="s">
        <v>795</v>
      </c>
      <c r="C27" s="166"/>
      <c r="D27" s="168">
        <v>-2730901.66</v>
      </c>
      <c r="E27" s="168">
        <v>-2730901.66</v>
      </c>
      <c r="F27" s="168">
        <v>-2730901.66</v>
      </c>
      <c r="G27" s="235"/>
      <c r="H27" s="235"/>
      <c r="I27" s="235"/>
      <c r="J27" s="235"/>
      <c r="K27" s="235"/>
      <c r="L27" s="235"/>
      <c r="M27" s="235"/>
      <c r="N27" s="235"/>
      <c r="O27" s="235"/>
      <c r="P27" s="235"/>
      <c r="Q27" s="235"/>
    </row>
    <row r="28" spans="1:17" ht="25.5" customHeight="1">
      <c r="A28" s="416"/>
      <c r="B28" s="236" t="s">
        <v>936</v>
      </c>
      <c r="C28" s="166">
        <v>-260085614.44</v>
      </c>
      <c r="D28" s="166">
        <v>394458097.69</v>
      </c>
      <c r="E28" s="166">
        <v>393580684.31999999</v>
      </c>
      <c r="F28" s="166">
        <v>134372483.25</v>
      </c>
      <c r="G28" s="235"/>
      <c r="H28" s="235"/>
      <c r="I28" s="235"/>
      <c r="J28" s="235"/>
      <c r="K28" s="235"/>
      <c r="L28" s="235"/>
      <c r="M28" s="235"/>
      <c r="N28" s="235"/>
      <c r="O28" s="235"/>
      <c r="P28" s="235"/>
      <c r="Q28" s="235"/>
    </row>
    <row r="29" spans="1:17" ht="25.5">
      <c r="A29" s="407" t="s">
        <v>242</v>
      </c>
      <c r="B29" s="407" t="s">
        <v>243</v>
      </c>
      <c r="C29" s="166">
        <v>-260085614.44</v>
      </c>
      <c r="D29" s="166">
        <v>260085614.44</v>
      </c>
      <c r="E29" s="166">
        <v>260085614.44</v>
      </c>
      <c r="F29" s="166">
        <f t="shared" si="0"/>
        <v>0</v>
      </c>
      <c r="G29" s="235"/>
      <c r="H29" s="235"/>
      <c r="I29" s="235"/>
      <c r="J29" s="235"/>
      <c r="K29" s="235"/>
      <c r="L29" s="235"/>
      <c r="M29" s="235"/>
      <c r="N29" s="235"/>
      <c r="O29" s="235"/>
      <c r="P29" s="235"/>
      <c r="Q29" s="235"/>
    </row>
    <row r="30" spans="1:17" ht="36" customHeight="1">
      <c r="A30" s="167">
        <v>602100</v>
      </c>
      <c r="B30" s="169" t="s">
        <v>244</v>
      </c>
      <c r="C30" s="168"/>
      <c r="D30" s="168"/>
      <c r="E30" s="168"/>
      <c r="F30" s="168">
        <f t="shared" si="0"/>
        <v>0</v>
      </c>
      <c r="G30" s="235"/>
      <c r="H30" s="235"/>
      <c r="I30" s="235"/>
      <c r="J30" s="235"/>
      <c r="K30" s="235"/>
      <c r="L30" s="235"/>
      <c r="M30" s="235"/>
      <c r="N30" s="235"/>
      <c r="O30" s="235"/>
      <c r="P30" s="235"/>
      <c r="Q30" s="235"/>
    </row>
    <row r="31" spans="1:17" ht="39.75" hidden="1" customHeight="1">
      <c r="A31" s="167">
        <v>602200</v>
      </c>
      <c r="B31" s="169" t="s">
        <v>245</v>
      </c>
      <c r="C31" s="168"/>
      <c r="D31" s="168"/>
      <c r="E31" s="166"/>
      <c r="F31" s="168">
        <f>SUM(C31:D31)</f>
        <v>0</v>
      </c>
      <c r="G31" s="235"/>
      <c r="H31" s="235"/>
      <c r="I31" s="235"/>
      <c r="J31" s="235"/>
      <c r="K31" s="235"/>
      <c r="L31" s="235"/>
      <c r="M31" s="235"/>
      <c r="N31" s="235"/>
      <c r="O31" s="235"/>
      <c r="P31" s="235"/>
      <c r="Q31" s="235"/>
    </row>
    <row r="32" spans="1:17" ht="52.5" customHeight="1">
      <c r="A32" s="167">
        <v>602400</v>
      </c>
      <c r="B32" s="169" t="s">
        <v>239</v>
      </c>
      <c r="C32" s="166">
        <v>-260085614.44</v>
      </c>
      <c r="D32" s="166">
        <v>260085614.44</v>
      </c>
      <c r="E32" s="166">
        <v>260085614.44</v>
      </c>
      <c r="F32" s="166">
        <v>0</v>
      </c>
      <c r="G32" s="235"/>
      <c r="H32" s="235"/>
      <c r="I32" s="235"/>
      <c r="J32" s="235"/>
      <c r="K32" s="235"/>
      <c r="L32" s="235"/>
      <c r="M32" s="235"/>
      <c r="N32" s="235"/>
      <c r="O32" s="235"/>
      <c r="P32" s="235"/>
      <c r="Q32" s="235"/>
    </row>
    <row r="33" spans="1:17" ht="66" customHeight="1">
      <c r="A33" s="416"/>
      <c r="B33" s="236" t="s">
        <v>922</v>
      </c>
      <c r="C33" s="166">
        <v>-141409507.34</v>
      </c>
      <c r="D33" s="166">
        <v>275781990.58999997</v>
      </c>
      <c r="E33" s="166">
        <v>274237998.22000003</v>
      </c>
      <c r="F33" s="166">
        <f>C33+D33</f>
        <v>134372483.24999997</v>
      </c>
      <c r="G33" s="235"/>
      <c r="H33" s="235"/>
      <c r="I33" s="235"/>
      <c r="J33" s="235"/>
      <c r="K33" s="235"/>
      <c r="L33" s="235"/>
      <c r="M33" s="235"/>
      <c r="N33" s="235"/>
      <c r="O33" s="235"/>
      <c r="P33" s="235"/>
      <c r="Q33" s="235"/>
    </row>
    <row r="36" spans="1:17">
      <c r="A36" s="552" t="s">
        <v>246</v>
      </c>
      <c r="B36" s="552"/>
      <c r="C36" s="552"/>
      <c r="D36" s="552"/>
      <c r="E36" s="552"/>
      <c r="F36" s="552"/>
      <c r="G36" s="552"/>
      <c r="H36" s="552"/>
      <c r="I36" s="552"/>
    </row>
  </sheetData>
  <mergeCells count="6">
    <mergeCell ref="A36:I36"/>
    <mergeCell ref="A5:F5"/>
    <mergeCell ref="A7:A8"/>
    <mergeCell ref="B7:B8"/>
    <mergeCell ref="D7:E7"/>
    <mergeCell ref="F7:F8"/>
  </mergeCells>
  <pageMargins left="1.1811023622047245" right="0.44" top="0.39370078740157483" bottom="0.19685039370078741" header="0.39370078740157483"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dimension ref="A1:T213"/>
  <sheetViews>
    <sheetView view="pageBreakPreview" topLeftCell="D1" zoomScale="10" zoomScaleNormal="25" zoomScaleSheetLayoutView="10" zoomScalePageLayoutView="10" workbookViewId="0">
      <pane ySplit="11" topLeftCell="A152" activePane="bottomLeft" state="frozen"/>
      <selection pane="bottomLeft" activeCell="L108" sqref="L108"/>
    </sheetView>
  </sheetViews>
  <sheetFormatPr defaultRowHeight="12.75"/>
  <cols>
    <col min="1" max="3" width="43.42578125" style="2" customWidth="1"/>
    <col min="4" max="4" width="106.28515625" style="2" customWidth="1"/>
    <col min="5" max="5" width="50.7109375" style="10" customWidth="1"/>
    <col min="6" max="6" width="51.85546875" style="14" customWidth="1"/>
    <col min="7" max="7" width="48.7109375" style="2" customWidth="1"/>
    <col min="8" max="8" width="48.140625" style="2" customWidth="1"/>
    <col min="9" max="9" width="32.7109375" style="14" customWidth="1"/>
    <col min="10" max="10" width="50.5703125" style="10" customWidth="1"/>
    <col min="11" max="11" width="48.5703125" style="14" customWidth="1"/>
    <col min="12" max="12" width="45.28515625" style="2" customWidth="1"/>
    <col min="13" max="13" width="44.28515625" style="2" customWidth="1"/>
    <col min="14" max="14" width="54.7109375" style="14" customWidth="1"/>
    <col min="15" max="15" width="55.5703125" style="2" customWidth="1"/>
    <col min="16" max="16" width="70.28515625" style="10" customWidth="1"/>
    <col min="17" max="17" width="63" customWidth="1"/>
    <col min="18" max="18" width="40.140625" bestFit="1" customWidth="1"/>
    <col min="20" max="20" width="24.7109375" bestFit="1" customWidth="1"/>
  </cols>
  <sheetData>
    <row r="1" spans="1:17" ht="45.75">
      <c r="D1" s="16"/>
      <c r="E1" s="17"/>
      <c r="F1" s="18"/>
      <c r="G1" s="19"/>
      <c r="H1" s="19"/>
      <c r="I1" s="19"/>
      <c r="J1" s="17"/>
      <c r="K1" s="19"/>
      <c r="L1" s="19"/>
      <c r="M1" s="19"/>
      <c r="N1" s="571" t="s">
        <v>132</v>
      </c>
      <c r="O1" s="571"/>
      <c r="P1" s="571"/>
    </row>
    <row r="2" spans="1:17" ht="45.75">
      <c r="A2" s="16"/>
      <c r="B2" s="16"/>
      <c r="C2" s="16"/>
      <c r="D2" s="16"/>
      <c r="E2" s="17"/>
      <c r="F2" s="18"/>
      <c r="G2" s="19"/>
      <c r="H2" s="19"/>
      <c r="I2" s="19"/>
      <c r="J2" s="17"/>
      <c r="K2" s="19"/>
      <c r="L2" s="19"/>
      <c r="M2" s="19"/>
      <c r="N2" s="571" t="s">
        <v>940</v>
      </c>
      <c r="O2" s="572"/>
      <c r="P2" s="572"/>
    </row>
    <row r="3" spans="1:17" ht="40.5" customHeight="1">
      <c r="A3" s="16"/>
      <c r="B3" s="16"/>
      <c r="C3" s="16"/>
      <c r="D3" s="16"/>
      <c r="E3" s="17"/>
      <c r="F3" s="18"/>
      <c r="G3" s="19"/>
      <c r="H3" s="19"/>
      <c r="I3" s="19"/>
      <c r="J3" s="17"/>
      <c r="K3" s="19"/>
      <c r="L3" s="19"/>
      <c r="M3" s="19"/>
      <c r="N3" s="571"/>
      <c r="O3" s="572"/>
      <c r="P3" s="572"/>
    </row>
    <row r="4" spans="1:17" ht="45.75" hidden="1">
      <c r="A4" s="16"/>
      <c r="B4" s="16"/>
      <c r="C4" s="16"/>
      <c r="D4" s="16"/>
      <c r="E4" s="17"/>
      <c r="F4" s="18"/>
      <c r="G4" s="19"/>
      <c r="H4" s="19"/>
      <c r="I4" s="19"/>
      <c r="J4" s="17"/>
      <c r="K4" s="19"/>
      <c r="L4" s="19"/>
      <c r="M4" s="19"/>
      <c r="N4" s="345"/>
      <c r="O4" s="16"/>
      <c r="P4" s="20"/>
    </row>
    <row r="5" spans="1:17" ht="45">
      <c r="A5" s="574" t="s">
        <v>131</v>
      </c>
      <c r="B5" s="574"/>
      <c r="C5" s="574"/>
      <c r="D5" s="574"/>
      <c r="E5" s="574"/>
      <c r="F5" s="574"/>
      <c r="G5" s="574"/>
      <c r="H5" s="574"/>
      <c r="I5" s="574"/>
      <c r="J5" s="574"/>
      <c r="K5" s="574"/>
      <c r="L5" s="574"/>
      <c r="M5" s="574"/>
      <c r="N5" s="574"/>
      <c r="O5" s="574"/>
      <c r="P5" s="574"/>
    </row>
    <row r="6" spans="1:17" ht="45">
      <c r="A6" s="574" t="s">
        <v>653</v>
      </c>
      <c r="B6" s="574"/>
      <c r="C6" s="574"/>
      <c r="D6" s="574"/>
      <c r="E6" s="574"/>
      <c r="F6" s="574"/>
      <c r="G6" s="574"/>
      <c r="H6" s="574"/>
      <c r="I6" s="574"/>
      <c r="J6" s="574"/>
      <c r="K6" s="574"/>
      <c r="L6" s="574"/>
      <c r="M6" s="574"/>
      <c r="N6" s="574"/>
      <c r="O6" s="574"/>
      <c r="P6" s="574"/>
    </row>
    <row r="7" spans="1:17" ht="53.25" customHeight="1">
      <c r="A7" s="17"/>
      <c r="B7" s="17"/>
      <c r="C7" s="17"/>
      <c r="D7" s="17"/>
      <c r="E7" s="17"/>
      <c r="F7" s="18"/>
      <c r="G7" s="17"/>
      <c r="H7" s="17"/>
      <c r="I7" s="19"/>
      <c r="J7" s="17"/>
      <c r="K7" s="19"/>
      <c r="L7" s="17"/>
      <c r="M7" s="17"/>
      <c r="N7" s="19"/>
      <c r="O7" s="17"/>
      <c r="P7" s="21" t="s">
        <v>137</v>
      </c>
    </row>
    <row r="8" spans="1:17" ht="62.25" customHeight="1">
      <c r="A8" s="577" t="s">
        <v>41</v>
      </c>
      <c r="B8" s="577" t="s">
        <v>42</v>
      </c>
      <c r="C8" s="25"/>
      <c r="D8" s="577" t="s">
        <v>45</v>
      </c>
      <c r="E8" s="573" t="s">
        <v>36</v>
      </c>
      <c r="F8" s="573"/>
      <c r="G8" s="573"/>
      <c r="H8" s="573"/>
      <c r="I8" s="573"/>
      <c r="J8" s="573" t="s">
        <v>127</v>
      </c>
      <c r="K8" s="573"/>
      <c r="L8" s="573"/>
      <c r="M8" s="573"/>
      <c r="N8" s="573"/>
      <c r="O8" s="22"/>
      <c r="P8" s="573" t="s">
        <v>35</v>
      </c>
    </row>
    <row r="9" spans="1:17" ht="255" customHeight="1">
      <c r="A9" s="578"/>
      <c r="B9" s="580"/>
      <c r="C9" s="29" t="s">
        <v>43</v>
      </c>
      <c r="D9" s="578"/>
      <c r="E9" s="575" t="s">
        <v>7</v>
      </c>
      <c r="F9" s="576" t="s">
        <v>128</v>
      </c>
      <c r="G9" s="575" t="s">
        <v>37</v>
      </c>
      <c r="H9" s="575"/>
      <c r="I9" s="576" t="s">
        <v>130</v>
      </c>
      <c r="J9" s="575" t="s">
        <v>7</v>
      </c>
      <c r="K9" s="576" t="s">
        <v>128</v>
      </c>
      <c r="L9" s="575" t="s">
        <v>37</v>
      </c>
      <c r="M9" s="575"/>
      <c r="N9" s="576" t="s">
        <v>130</v>
      </c>
      <c r="O9" s="1" t="s">
        <v>37</v>
      </c>
      <c r="P9" s="573"/>
    </row>
    <row r="10" spans="1:17" ht="137.25">
      <c r="A10" s="579"/>
      <c r="B10" s="579"/>
      <c r="C10" s="30"/>
      <c r="D10" s="579"/>
      <c r="E10" s="575"/>
      <c r="F10" s="576"/>
      <c r="G10" s="1" t="s">
        <v>129</v>
      </c>
      <c r="H10" s="1" t="s">
        <v>40</v>
      </c>
      <c r="I10" s="576"/>
      <c r="J10" s="575"/>
      <c r="K10" s="576"/>
      <c r="L10" s="1" t="s">
        <v>129</v>
      </c>
      <c r="M10" s="1" t="s">
        <v>40</v>
      </c>
      <c r="N10" s="576"/>
      <c r="O10" s="1" t="s">
        <v>32</v>
      </c>
      <c r="P10" s="573"/>
    </row>
    <row r="11" spans="1:17" s="3" customFormat="1" ht="45.75">
      <c r="A11" s="23" t="s">
        <v>9</v>
      </c>
      <c r="B11" s="23" t="s">
        <v>10</v>
      </c>
      <c r="C11" s="23" t="s">
        <v>39</v>
      </c>
      <c r="D11" s="23" t="s">
        <v>12</v>
      </c>
      <c r="E11" s="24">
        <v>5</v>
      </c>
      <c r="F11" s="538">
        <v>6</v>
      </c>
      <c r="G11" s="24">
        <v>7</v>
      </c>
      <c r="H11" s="24">
        <v>8</v>
      </c>
      <c r="I11" s="342">
        <v>9</v>
      </c>
      <c r="J11" s="24">
        <v>10</v>
      </c>
      <c r="K11" s="342">
        <v>11</v>
      </c>
      <c r="L11" s="24">
        <v>12</v>
      </c>
      <c r="M11" s="24">
        <v>13</v>
      </c>
      <c r="N11" s="342">
        <v>14</v>
      </c>
      <c r="O11" s="24">
        <v>15</v>
      </c>
      <c r="P11" s="24">
        <v>16</v>
      </c>
    </row>
    <row r="12" spans="1:17" s="3" customFormat="1" ht="135">
      <c r="A12" s="433" t="s">
        <v>310</v>
      </c>
      <c r="B12" s="433"/>
      <c r="C12" s="433"/>
      <c r="D12" s="449" t="s">
        <v>312</v>
      </c>
      <c r="E12" s="497">
        <f>E13</f>
        <v>123022548</v>
      </c>
      <c r="F12" s="497">
        <f t="shared" ref="F12:P12" si="0">F13</f>
        <v>123022548</v>
      </c>
      <c r="G12" s="497">
        <f t="shared" si="0"/>
        <v>80106000</v>
      </c>
      <c r="H12" s="497">
        <f t="shared" si="0"/>
        <v>3981700</v>
      </c>
      <c r="I12" s="497">
        <f t="shared" si="0"/>
        <v>0</v>
      </c>
      <c r="J12" s="497">
        <f t="shared" si="0"/>
        <v>15903756.620000001</v>
      </c>
      <c r="K12" s="497">
        <f t="shared" si="0"/>
        <v>3175620.62</v>
      </c>
      <c r="L12" s="497">
        <f t="shared" si="0"/>
        <v>0</v>
      </c>
      <c r="M12" s="497">
        <f t="shared" si="0"/>
        <v>0</v>
      </c>
      <c r="N12" s="497">
        <f t="shared" si="0"/>
        <v>12728136</v>
      </c>
      <c r="O12" s="498">
        <f t="shared" si="0"/>
        <v>11788136</v>
      </c>
      <c r="P12" s="497">
        <f t="shared" si="0"/>
        <v>138926304.62</v>
      </c>
    </row>
    <row r="13" spans="1:17" s="3" customFormat="1" ht="135">
      <c r="A13" s="434" t="s">
        <v>311</v>
      </c>
      <c r="B13" s="434"/>
      <c r="C13" s="434"/>
      <c r="D13" s="452" t="s">
        <v>313</v>
      </c>
      <c r="E13" s="435">
        <f>F13</f>
        <v>123022548</v>
      </c>
      <c r="F13" s="436">
        <f>F14+F15+F23+F17+F24+F16+F19+F18+F25</f>
        <v>123022548</v>
      </c>
      <c r="G13" s="436">
        <f>G14+G15+G23+G17+G24+G16</f>
        <v>80106000</v>
      </c>
      <c r="H13" s="436">
        <f>H14+H15+H23+H17+H24+H16</f>
        <v>3981700</v>
      </c>
      <c r="I13" s="436">
        <v>0</v>
      </c>
      <c r="J13" s="450">
        <f t="shared" ref="J13:J25" si="1">K13+N13</f>
        <v>15903756.620000001</v>
      </c>
      <c r="K13" s="436">
        <f>K14+K15+K23+K17+K24+K16+K20+K18+K25</f>
        <v>3175620.62</v>
      </c>
      <c r="L13" s="436">
        <f>L14+L15+L23+L17+L24+L16</f>
        <v>0</v>
      </c>
      <c r="M13" s="436">
        <f>M14+M15+M23+M17+M24+M16</f>
        <v>0</v>
      </c>
      <c r="N13" s="436">
        <f>N14+N15+N23+N17+N24+N16+N20+N18+N25</f>
        <v>12728136</v>
      </c>
      <c r="O13" s="436">
        <f>O14+O15+O23+O17+O24+O16+O20+O18+O25</f>
        <v>11788136</v>
      </c>
      <c r="P13" s="435">
        <f>J13+E13</f>
        <v>138926304.62</v>
      </c>
      <c r="Q13" s="229"/>
    </row>
    <row r="14" spans="1:17" ht="320.25">
      <c r="A14" s="248" t="s">
        <v>438</v>
      </c>
      <c r="B14" s="248" t="s">
        <v>439</v>
      </c>
      <c r="C14" s="248" t="s">
        <v>440</v>
      </c>
      <c r="D14" s="297" t="s">
        <v>437</v>
      </c>
      <c r="E14" s="57">
        <f t="shared" ref="E14:E24" si="2">F14</f>
        <v>62160100</v>
      </c>
      <c r="F14" s="62">
        <f>(61847000)+227100+86000</f>
        <v>62160100</v>
      </c>
      <c r="G14" s="213">
        <v>42799000</v>
      </c>
      <c r="H14" s="213">
        <v>2438200</v>
      </c>
      <c r="I14" s="62"/>
      <c r="J14" s="212">
        <f t="shared" si="1"/>
        <v>2246800</v>
      </c>
      <c r="K14" s="214"/>
      <c r="L14" s="215"/>
      <c r="M14" s="215"/>
      <c r="N14" s="303">
        <f t="shared" ref="N14:N24" si="3">O14</f>
        <v>2246800</v>
      </c>
      <c r="O14" s="298">
        <f>(525200)+1807600-86000</f>
        <v>2246800</v>
      </c>
      <c r="P14" s="57">
        <f>+J14+E14</f>
        <v>64406900</v>
      </c>
    </row>
    <row r="15" spans="1:17" ht="228.75">
      <c r="A15" s="248" t="s">
        <v>442</v>
      </c>
      <c r="B15" s="248" t="s">
        <v>443</v>
      </c>
      <c r="C15" s="248" t="s">
        <v>440</v>
      </c>
      <c r="D15" s="297" t="s">
        <v>441</v>
      </c>
      <c r="E15" s="57">
        <f t="shared" ref="E15:E21" si="4">F15</f>
        <v>50740284</v>
      </c>
      <c r="F15" s="303">
        <f>(49657100+750000+50000)+235184+40000+8000</f>
        <v>50740284</v>
      </c>
      <c r="G15" s="247">
        <v>37157000</v>
      </c>
      <c r="H15" s="247">
        <v>1543500</v>
      </c>
      <c r="I15" s="303"/>
      <c r="J15" s="57">
        <f t="shared" si="1"/>
        <v>444000</v>
      </c>
      <c r="K15" s="303"/>
      <c r="L15" s="247"/>
      <c r="M15" s="247"/>
      <c r="N15" s="303">
        <f t="shared" si="3"/>
        <v>444000</v>
      </c>
      <c r="O15" s="298">
        <f>(826000-750000+50000)+318000</f>
        <v>444000</v>
      </c>
      <c r="P15" s="57">
        <f>E15+J15</f>
        <v>51184284</v>
      </c>
    </row>
    <row r="16" spans="1:17" ht="91.5">
      <c r="A16" s="248" t="s">
        <v>455</v>
      </c>
      <c r="B16" s="248" t="s">
        <v>106</v>
      </c>
      <c r="C16" s="248" t="s">
        <v>105</v>
      </c>
      <c r="D16" s="297" t="s">
        <v>456</v>
      </c>
      <c r="E16" s="57">
        <f t="shared" si="4"/>
        <v>1023000</v>
      </c>
      <c r="F16" s="303">
        <f>1188000-165000</f>
        <v>1023000</v>
      </c>
      <c r="G16" s="247">
        <v>150000</v>
      </c>
      <c r="H16" s="247"/>
      <c r="I16" s="303"/>
      <c r="J16" s="57">
        <f t="shared" ref="J16:J21" si="5">K16+N16</f>
        <v>0</v>
      </c>
      <c r="K16" s="303"/>
      <c r="L16" s="247"/>
      <c r="M16" s="247"/>
      <c r="N16" s="303">
        <f>O16</f>
        <v>0</v>
      </c>
      <c r="O16" s="298"/>
      <c r="P16" s="57">
        <f>E16+J16</f>
        <v>1023000</v>
      </c>
    </row>
    <row r="17" spans="1:20" ht="91.5">
      <c r="A17" s="248" t="s">
        <v>445</v>
      </c>
      <c r="B17" s="248" t="s">
        <v>446</v>
      </c>
      <c r="C17" s="248" t="s">
        <v>447</v>
      </c>
      <c r="D17" s="297" t="s">
        <v>444</v>
      </c>
      <c r="E17" s="57">
        <f t="shared" si="4"/>
        <v>4100700</v>
      </c>
      <c r="F17" s="303">
        <f>(1750700)+2350000</f>
        <v>4100700</v>
      </c>
      <c r="G17" s="247"/>
      <c r="H17" s="247"/>
      <c r="I17" s="303"/>
      <c r="J17" s="57">
        <f t="shared" si="5"/>
        <v>0</v>
      </c>
      <c r="K17" s="303"/>
      <c r="L17" s="247"/>
      <c r="M17" s="247"/>
      <c r="N17" s="303">
        <f>O17</f>
        <v>0</v>
      </c>
      <c r="O17" s="298"/>
      <c r="P17" s="57">
        <f>+J17+E17</f>
        <v>4100700</v>
      </c>
    </row>
    <row r="18" spans="1:20" ht="91.5">
      <c r="A18" s="392" t="s">
        <v>658</v>
      </c>
      <c r="B18" s="222" t="s">
        <v>383</v>
      </c>
      <c r="C18" s="222" t="s">
        <v>334</v>
      </c>
      <c r="D18" s="392" t="s">
        <v>91</v>
      </c>
      <c r="E18" s="57">
        <f t="shared" ref="E18" si="6">F18</f>
        <v>0</v>
      </c>
      <c r="F18" s="303"/>
      <c r="G18" s="298"/>
      <c r="H18" s="298"/>
      <c r="I18" s="303"/>
      <c r="J18" s="57">
        <f t="shared" si="5"/>
        <v>2500000</v>
      </c>
      <c r="K18" s="303"/>
      <c r="L18" s="298"/>
      <c r="M18" s="298"/>
      <c r="N18" s="303">
        <f>O18</f>
        <v>2500000</v>
      </c>
      <c r="O18" s="298">
        <v>2500000</v>
      </c>
      <c r="P18" s="57">
        <f>+J18+E18</f>
        <v>2500000</v>
      </c>
    </row>
    <row r="19" spans="1:20" ht="91.5">
      <c r="A19" s="330" t="s">
        <v>577</v>
      </c>
      <c r="B19" s="330" t="s">
        <v>578</v>
      </c>
      <c r="C19" s="330" t="s">
        <v>334</v>
      </c>
      <c r="D19" s="329" t="s">
        <v>576</v>
      </c>
      <c r="E19" s="57">
        <f t="shared" si="4"/>
        <v>165000</v>
      </c>
      <c r="F19" s="303">
        <v>165000</v>
      </c>
      <c r="G19" s="298"/>
      <c r="H19" s="298"/>
      <c r="I19" s="303"/>
      <c r="J19" s="57">
        <f t="shared" si="5"/>
        <v>0</v>
      </c>
      <c r="K19" s="303"/>
      <c r="L19" s="298"/>
      <c r="M19" s="298"/>
      <c r="N19" s="303">
        <f>O19</f>
        <v>0</v>
      </c>
      <c r="O19" s="298"/>
      <c r="P19" s="57">
        <f>+J19+E19</f>
        <v>165000</v>
      </c>
    </row>
    <row r="20" spans="1:20" ht="46.5">
      <c r="A20" s="297" t="s">
        <v>458</v>
      </c>
      <c r="B20" s="297" t="s">
        <v>459</v>
      </c>
      <c r="C20" s="297"/>
      <c r="D20" s="308" t="s">
        <v>457</v>
      </c>
      <c r="E20" s="57">
        <f t="shared" si="4"/>
        <v>0</v>
      </c>
      <c r="F20" s="303"/>
      <c r="G20" s="298"/>
      <c r="H20" s="298"/>
      <c r="I20" s="303"/>
      <c r="J20" s="57">
        <f t="shared" si="5"/>
        <v>4115620.62</v>
      </c>
      <c r="K20" s="303">
        <f>K21</f>
        <v>3175620.62</v>
      </c>
      <c r="L20" s="298"/>
      <c r="M20" s="298"/>
      <c r="N20" s="303">
        <f>N21</f>
        <v>940000</v>
      </c>
      <c r="O20" s="298">
        <f>O21</f>
        <v>0</v>
      </c>
      <c r="P20" s="57">
        <f>+J20+E20</f>
        <v>4115620.62</v>
      </c>
    </row>
    <row r="21" spans="1:20" s="344" customFormat="1" ht="409.5">
      <c r="A21" s="585" t="s">
        <v>714</v>
      </c>
      <c r="B21" s="585" t="s">
        <v>713</v>
      </c>
      <c r="C21" s="585" t="s">
        <v>334</v>
      </c>
      <c r="D21" s="543" t="s">
        <v>743</v>
      </c>
      <c r="E21" s="569">
        <f t="shared" si="4"/>
        <v>0</v>
      </c>
      <c r="F21" s="569"/>
      <c r="G21" s="569"/>
      <c r="H21" s="569"/>
      <c r="I21" s="569"/>
      <c r="J21" s="569">
        <f t="shared" si="5"/>
        <v>4115620.62</v>
      </c>
      <c r="K21" s="569">
        <f>(2667000)+508620.62</f>
        <v>3175620.62</v>
      </c>
      <c r="L21" s="569"/>
      <c r="M21" s="569"/>
      <c r="N21" s="569">
        <f>(O21+740000)+200000</f>
        <v>940000</v>
      </c>
      <c r="O21" s="569"/>
      <c r="P21" s="569">
        <f>E21+J21</f>
        <v>4115620.62</v>
      </c>
    </row>
    <row r="22" spans="1:20" s="344" customFormat="1" ht="137.25">
      <c r="A22" s="564"/>
      <c r="B22" s="564"/>
      <c r="C22" s="564"/>
      <c r="D22" s="544" t="s">
        <v>744</v>
      </c>
      <c r="E22" s="586"/>
      <c r="F22" s="586"/>
      <c r="G22" s="570"/>
      <c r="H22" s="570"/>
      <c r="I22" s="570"/>
      <c r="J22" s="570"/>
      <c r="K22" s="570"/>
      <c r="L22" s="570"/>
      <c r="M22" s="570"/>
      <c r="N22" s="570"/>
      <c r="O22" s="570"/>
      <c r="P22" s="570"/>
    </row>
    <row r="23" spans="1:20" ht="91.5">
      <c r="A23" s="248" t="s">
        <v>448</v>
      </c>
      <c r="B23" s="248" t="s">
        <v>449</v>
      </c>
      <c r="C23" s="248" t="s">
        <v>450</v>
      </c>
      <c r="D23" s="296" t="s">
        <v>451</v>
      </c>
      <c r="E23" s="57">
        <f>F23</f>
        <v>3255800</v>
      </c>
      <c r="F23" s="303">
        <f>(2555000)+700800</f>
        <v>3255800</v>
      </c>
      <c r="G23" s="247"/>
      <c r="H23" s="247"/>
      <c r="I23" s="303"/>
      <c r="J23" s="57">
        <f t="shared" si="1"/>
        <v>1200000</v>
      </c>
      <c r="K23" s="303"/>
      <c r="L23" s="247"/>
      <c r="M23" s="247"/>
      <c r="N23" s="303">
        <f t="shared" si="3"/>
        <v>1200000</v>
      </c>
      <c r="O23" s="298">
        <v>1200000</v>
      </c>
      <c r="P23" s="57">
        <f t="shared" ref="P23:P24" si="7">E23+J23</f>
        <v>4455800</v>
      </c>
    </row>
    <row r="24" spans="1:20" ht="228.75">
      <c r="A24" s="248" t="s">
        <v>452</v>
      </c>
      <c r="B24" s="248" t="s">
        <v>453</v>
      </c>
      <c r="C24" s="248" t="s">
        <v>106</v>
      </c>
      <c r="D24" s="297" t="s">
        <v>454</v>
      </c>
      <c r="E24" s="57">
        <f t="shared" si="2"/>
        <v>160000</v>
      </c>
      <c r="F24" s="303">
        <v>160000</v>
      </c>
      <c r="G24" s="247"/>
      <c r="H24" s="247"/>
      <c r="I24" s="303"/>
      <c r="J24" s="57"/>
      <c r="K24" s="303"/>
      <c r="L24" s="247"/>
      <c r="M24" s="247"/>
      <c r="N24" s="303">
        <f t="shared" si="3"/>
        <v>0</v>
      </c>
      <c r="O24" s="298"/>
      <c r="P24" s="57">
        <f t="shared" si="7"/>
        <v>160000</v>
      </c>
    </row>
    <row r="25" spans="1:20" ht="183">
      <c r="A25" s="469" t="s">
        <v>844</v>
      </c>
      <c r="B25" s="469" t="s">
        <v>845</v>
      </c>
      <c r="C25" s="469" t="s">
        <v>106</v>
      </c>
      <c r="D25" s="469" t="s">
        <v>846</v>
      </c>
      <c r="E25" s="470">
        <f t="shared" ref="E25" si="8">F25</f>
        <v>1417664</v>
      </c>
      <c r="F25" s="303">
        <f>1317664+100000</f>
        <v>1417664</v>
      </c>
      <c r="G25" s="298"/>
      <c r="H25" s="298"/>
      <c r="I25" s="303"/>
      <c r="J25" s="470">
        <f t="shared" si="1"/>
        <v>5397336</v>
      </c>
      <c r="K25" s="303"/>
      <c r="L25" s="298"/>
      <c r="M25" s="298"/>
      <c r="N25" s="303">
        <f t="shared" ref="N25" si="9">O25</f>
        <v>5397336</v>
      </c>
      <c r="O25" s="298">
        <f>5497336-100000</f>
        <v>5397336</v>
      </c>
      <c r="P25" s="470">
        <f t="shared" ref="P25" si="10">E25+J25</f>
        <v>6815000</v>
      </c>
    </row>
    <row r="26" spans="1:20" ht="135">
      <c r="A26" s="433" t="s">
        <v>314</v>
      </c>
      <c r="B26" s="433"/>
      <c r="C26" s="433"/>
      <c r="D26" s="449" t="s">
        <v>1</v>
      </c>
      <c r="E26" s="436">
        <f>E27</f>
        <v>898767633</v>
      </c>
      <c r="F26" s="436">
        <f t="shared" ref="F26:P26" si="11">F27</f>
        <v>898767633</v>
      </c>
      <c r="G26" s="436">
        <f t="shared" si="11"/>
        <v>574703621</v>
      </c>
      <c r="H26" s="436">
        <f t="shared" si="11"/>
        <v>87998731</v>
      </c>
      <c r="I26" s="436">
        <f t="shared" si="11"/>
        <v>0</v>
      </c>
      <c r="J26" s="436">
        <f t="shared" si="11"/>
        <v>128681715</v>
      </c>
      <c r="K26" s="436">
        <f t="shared" si="11"/>
        <v>85224829</v>
      </c>
      <c r="L26" s="436">
        <f t="shared" si="11"/>
        <v>21540172</v>
      </c>
      <c r="M26" s="436">
        <f t="shared" si="11"/>
        <v>6128000</v>
      </c>
      <c r="N26" s="436">
        <f t="shared" si="11"/>
        <v>43456886</v>
      </c>
      <c r="O26" s="435">
        <f t="shared" si="11"/>
        <v>41599326</v>
      </c>
      <c r="P26" s="436">
        <f t="shared" si="11"/>
        <v>1027449348</v>
      </c>
    </row>
    <row r="27" spans="1:20" ht="135">
      <c r="A27" s="434" t="s">
        <v>315</v>
      </c>
      <c r="B27" s="434"/>
      <c r="C27" s="434"/>
      <c r="D27" s="452" t="s">
        <v>2</v>
      </c>
      <c r="E27" s="435">
        <f>E28+E29+E30+E31+E32+E34+E35+E33+E39+E38</f>
        <v>898767633</v>
      </c>
      <c r="F27" s="436">
        <f>F28+F29+F30+F31+F32+F34+F35+F33+F39+F387+F38</f>
        <v>898767633</v>
      </c>
      <c r="G27" s="435">
        <f>G28+G29+G30+G31+G32+G34+G35+G33+G39</f>
        <v>574703621</v>
      </c>
      <c r="H27" s="435">
        <f>H28+H29+H30+H31+H32+H34+H35+H33+H39</f>
        <v>87998731</v>
      </c>
      <c r="I27" s="436">
        <f>I28+I29+I30+I31+I32+I34+I35+I33</f>
        <v>0</v>
      </c>
      <c r="J27" s="435">
        <f t="shared" ref="J27:O27" si="12">J28+J29+J30+J31+J32+J34+J35+J33+J39</f>
        <v>128681715</v>
      </c>
      <c r="K27" s="436">
        <f t="shared" si="12"/>
        <v>85224829</v>
      </c>
      <c r="L27" s="435">
        <f t="shared" si="12"/>
        <v>21540172</v>
      </c>
      <c r="M27" s="435">
        <f t="shared" si="12"/>
        <v>6128000</v>
      </c>
      <c r="N27" s="436">
        <f t="shared" si="12"/>
        <v>43456886</v>
      </c>
      <c r="O27" s="435">
        <f t="shared" si="12"/>
        <v>41599326</v>
      </c>
      <c r="P27" s="435">
        <f t="shared" ref="P27:P37" si="13">E27+J27</f>
        <v>1027449348</v>
      </c>
    </row>
    <row r="28" spans="1:20" ht="67.5" customHeight="1">
      <c r="A28" s="249" t="s">
        <v>386</v>
      </c>
      <c r="B28" s="249" t="s">
        <v>387</v>
      </c>
      <c r="C28" s="249" t="s">
        <v>389</v>
      </c>
      <c r="D28" s="249" t="s">
        <v>390</v>
      </c>
      <c r="E28" s="57">
        <f>F28</f>
        <v>246953481</v>
      </c>
      <c r="F28" s="303">
        <f>(241481300+165502+120830)+707200+3213800+389000+834500+41349+100000-100000</f>
        <v>246953481</v>
      </c>
      <c r="G28" s="251">
        <f>(151576300)+3213800</f>
        <v>154790100</v>
      </c>
      <c r="H28" s="251">
        <v>27650500</v>
      </c>
      <c r="I28" s="303"/>
      <c r="J28" s="57">
        <f t="shared" ref="J28:J36" si="14">K28+N28</f>
        <v>42030993</v>
      </c>
      <c r="K28" s="303">
        <v>34398400</v>
      </c>
      <c r="L28" s="250">
        <v>6344700</v>
      </c>
      <c r="M28" s="250">
        <v>677200</v>
      </c>
      <c r="N28" s="303">
        <f>O28+525900</f>
        <v>7632593</v>
      </c>
      <c r="O28" s="250">
        <f>(2466200+2000000+60000+353242+55000+50000*2)+777000+1256600-41349+80000-100000+100000</f>
        <v>7106693</v>
      </c>
      <c r="P28" s="57">
        <f t="shared" si="13"/>
        <v>288984474</v>
      </c>
      <c r="Q28" s="28"/>
      <c r="R28" s="28"/>
    </row>
    <row r="29" spans="1:20" ht="389.25" customHeight="1">
      <c r="A29" s="249" t="s">
        <v>392</v>
      </c>
      <c r="B29" s="249" t="s">
        <v>388</v>
      </c>
      <c r="C29" s="249" t="s">
        <v>393</v>
      </c>
      <c r="D29" s="289" t="s">
        <v>391</v>
      </c>
      <c r="E29" s="57">
        <f t="shared" ref="E29:E37" si="15">F29</f>
        <v>485725921</v>
      </c>
      <c r="F29" s="303">
        <f>(448765400+1750000+318969+495888+5582500)+15670400+1239421+3447600+272674+4898800+375000+230505+2658152-25000+7000+86612-40000-8000</f>
        <v>485725921</v>
      </c>
      <c r="G29" s="251">
        <f>(302091800)+15670400+1239421</f>
        <v>319001621</v>
      </c>
      <c r="H29" s="251">
        <f>36896200+5582500</f>
        <v>42478700</v>
      </c>
      <c r="I29" s="303"/>
      <c r="J29" s="57">
        <f t="shared" si="14"/>
        <v>48343676</v>
      </c>
      <c r="K29" s="303">
        <f>(36530400)-1380110</f>
        <v>35150290</v>
      </c>
      <c r="L29" s="250">
        <f>(12782600)-1131270</f>
        <v>11651330</v>
      </c>
      <c r="M29" s="250">
        <v>912900</v>
      </c>
      <c r="N29" s="303">
        <f>O29+802800</f>
        <v>13193386</v>
      </c>
      <c r="O29" s="250">
        <f>(1348532+200000+500000+297437+100000+749800*2)+4419450+583700+666579+67900+2794000-86612</f>
        <v>12390586</v>
      </c>
      <c r="P29" s="57">
        <f t="shared" si="13"/>
        <v>534069597</v>
      </c>
      <c r="Q29" s="28"/>
      <c r="R29" s="28"/>
      <c r="T29" s="230"/>
    </row>
    <row r="30" spans="1:20" ht="137.25">
      <c r="A30" s="249" t="s">
        <v>394</v>
      </c>
      <c r="B30" s="249" t="s">
        <v>395</v>
      </c>
      <c r="C30" s="249" t="s">
        <v>393</v>
      </c>
      <c r="D30" s="290" t="s">
        <v>46</v>
      </c>
      <c r="E30" s="57">
        <f t="shared" si="15"/>
        <v>2531500</v>
      </c>
      <c r="F30" s="303">
        <f>(2337100+15700)+146500+32200</f>
        <v>2531500</v>
      </c>
      <c r="G30" s="250">
        <f>(1765400)+146500</f>
        <v>1911900</v>
      </c>
      <c r="H30" s="250">
        <f>93700+15700</f>
        <v>109400</v>
      </c>
      <c r="I30" s="303"/>
      <c r="J30" s="57">
        <f t="shared" si="14"/>
        <v>0</v>
      </c>
      <c r="K30" s="303"/>
      <c r="L30" s="250"/>
      <c r="M30" s="250"/>
      <c r="N30" s="303">
        <f t="shared" ref="N30:N34" si="16">O30</f>
        <v>0</v>
      </c>
      <c r="O30" s="250"/>
      <c r="P30" s="57">
        <f t="shared" si="13"/>
        <v>2531500</v>
      </c>
    </row>
    <row r="31" spans="1:20" ht="409.6" customHeight="1">
      <c r="A31" s="249" t="s">
        <v>397</v>
      </c>
      <c r="B31" s="249" t="s">
        <v>396</v>
      </c>
      <c r="C31" s="249" t="s">
        <v>398</v>
      </c>
      <c r="D31" s="290" t="s">
        <v>47</v>
      </c>
      <c r="E31" s="57">
        <f t="shared" si="15"/>
        <v>15424000</v>
      </c>
      <c r="F31" s="303">
        <f>(13802000+388300)+691500+152100+82500+307600</f>
        <v>15424000</v>
      </c>
      <c r="G31" s="250">
        <f>(9727200)+691500</f>
        <v>10418700</v>
      </c>
      <c r="H31" s="250">
        <f>941200+388300</f>
        <v>1329500</v>
      </c>
      <c r="I31" s="303"/>
      <c r="J31" s="57">
        <f t="shared" si="14"/>
        <v>480449</v>
      </c>
      <c r="K31" s="303">
        <v>35600</v>
      </c>
      <c r="L31" s="250"/>
      <c r="M31" s="250">
        <v>24400</v>
      </c>
      <c r="N31" s="303">
        <f t="shared" si="16"/>
        <v>444849</v>
      </c>
      <c r="O31" s="250">
        <f>(300000)+138200+6849-200</f>
        <v>444849</v>
      </c>
      <c r="P31" s="57">
        <f t="shared" si="13"/>
        <v>15904449</v>
      </c>
    </row>
    <row r="32" spans="1:20" ht="183">
      <c r="A32" s="381" t="s">
        <v>399</v>
      </c>
      <c r="B32" s="381" t="s">
        <v>373</v>
      </c>
      <c r="C32" s="381" t="s">
        <v>354</v>
      </c>
      <c r="D32" s="381" t="s">
        <v>48</v>
      </c>
      <c r="E32" s="57">
        <f t="shared" si="15"/>
        <v>27938600</v>
      </c>
      <c r="F32" s="303">
        <f>(27524100)+334800+73700+6000</f>
        <v>27938600</v>
      </c>
      <c r="G32" s="298">
        <f>(19443400)+334800</f>
        <v>19778200</v>
      </c>
      <c r="H32" s="298">
        <v>2247200</v>
      </c>
      <c r="I32" s="303"/>
      <c r="J32" s="57">
        <f t="shared" si="14"/>
        <v>9728200</v>
      </c>
      <c r="K32" s="303">
        <v>4499900</v>
      </c>
      <c r="L32" s="250">
        <v>928200</v>
      </c>
      <c r="M32" s="250">
        <v>324500</v>
      </c>
      <c r="N32" s="303">
        <f>O32+153300</f>
        <v>5228300</v>
      </c>
      <c r="O32" s="250">
        <f>(4000000)+605000+470000</f>
        <v>5075000</v>
      </c>
      <c r="P32" s="57">
        <f t="shared" si="13"/>
        <v>37666800</v>
      </c>
    </row>
    <row r="33" spans="1:16" ht="155.25" customHeight="1">
      <c r="A33" s="381" t="s">
        <v>400</v>
      </c>
      <c r="B33" s="381" t="s">
        <v>401</v>
      </c>
      <c r="C33" s="381" t="s">
        <v>402</v>
      </c>
      <c r="D33" s="381" t="s">
        <v>403</v>
      </c>
      <c r="E33" s="57">
        <f t="shared" si="15"/>
        <v>101395431</v>
      </c>
      <c r="F33" s="303">
        <f>(96795900-6000000+6264431)+3553400+781700</f>
        <v>101395431</v>
      </c>
      <c r="G33" s="298">
        <f>(52131100)+3553400</f>
        <v>55684500</v>
      </c>
      <c r="H33" s="298">
        <f>10956900-4000000+6264431</f>
        <v>13221331</v>
      </c>
      <c r="I33" s="303"/>
      <c r="J33" s="57">
        <f t="shared" si="14"/>
        <v>10939399</v>
      </c>
      <c r="K33" s="303">
        <f>(8084200)+2479639</f>
        <v>10563839</v>
      </c>
      <c r="L33" s="250">
        <f>(1501800)+823942</f>
        <v>2325742</v>
      </c>
      <c r="M33" s="250">
        <v>4165000</v>
      </c>
      <c r="N33" s="303">
        <f>(O33+245800)+129760</f>
        <v>375560</v>
      </c>
      <c r="O33" s="250"/>
      <c r="P33" s="57">
        <f t="shared" si="13"/>
        <v>112334830</v>
      </c>
    </row>
    <row r="34" spans="1:16" ht="130.5" customHeight="1">
      <c r="A34" s="394" t="s">
        <v>405</v>
      </c>
      <c r="B34" s="394" t="s">
        <v>406</v>
      </c>
      <c r="C34" s="394" t="s">
        <v>407</v>
      </c>
      <c r="D34" s="394" t="s">
        <v>404</v>
      </c>
      <c r="E34" s="57">
        <f t="shared" si="15"/>
        <v>4242400</v>
      </c>
      <c r="F34" s="303">
        <f>(3952900)+63500+14000+65000+147000</f>
        <v>4242400</v>
      </c>
      <c r="G34" s="298">
        <f>(2696100)+63500</f>
        <v>2759600</v>
      </c>
      <c r="H34" s="298">
        <v>197300</v>
      </c>
      <c r="I34" s="303"/>
      <c r="J34" s="57">
        <f t="shared" si="14"/>
        <v>176450</v>
      </c>
      <c r="K34" s="303">
        <v>76000</v>
      </c>
      <c r="L34" s="298"/>
      <c r="M34" s="298"/>
      <c r="N34" s="303">
        <f t="shared" si="16"/>
        <v>100450</v>
      </c>
      <c r="O34" s="298">
        <f>(0)+100450</f>
        <v>100450</v>
      </c>
      <c r="P34" s="57">
        <f t="shared" si="13"/>
        <v>4418850</v>
      </c>
    </row>
    <row r="35" spans="1:16" ht="112.5" customHeight="1">
      <c r="A35" s="394" t="s">
        <v>409</v>
      </c>
      <c r="B35" s="394" t="s">
        <v>410</v>
      </c>
      <c r="C35" s="394"/>
      <c r="D35" s="329" t="s">
        <v>408</v>
      </c>
      <c r="E35" s="57">
        <f t="shared" si="15"/>
        <v>14423100</v>
      </c>
      <c r="F35" s="303">
        <f>F36+F37</f>
        <v>14423100</v>
      </c>
      <c r="G35" s="298">
        <f>G36+G37</f>
        <v>10359000</v>
      </c>
      <c r="H35" s="298">
        <f t="shared" ref="H35" si="17">H36</f>
        <v>764800</v>
      </c>
      <c r="I35" s="303"/>
      <c r="J35" s="57">
        <f t="shared" si="14"/>
        <v>548800</v>
      </c>
      <c r="K35" s="303">
        <f>K36</f>
        <v>500800</v>
      </c>
      <c r="L35" s="298">
        <f t="shared" ref="L35" si="18">L36</f>
        <v>290200</v>
      </c>
      <c r="M35" s="298">
        <f t="shared" ref="M35" si="19">M36</f>
        <v>24000</v>
      </c>
      <c r="N35" s="303">
        <f>N36</f>
        <v>48000</v>
      </c>
      <c r="O35" s="298">
        <f>O36</f>
        <v>48000</v>
      </c>
      <c r="P35" s="57">
        <f t="shared" si="13"/>
        <v>14971900</v>
      </c>
    </row>
    <row r="36" spans="1:16" s="344" customFormat="1" ht="139.5" customHeight="1">
      <c r="A36" s="325" t="s">
        <v>670</v>
      </c>
      <c r="B36" s="325" t="s">
        <v>671</v>
      </c>
      <c r="C36" s="325" t="s">
        <v>407</v>
      </c>
      <c r="D36" s="325" t="s">
        <v>669</v>
      </c>
      <c r="E36" s="303">
        <f t="shared" si="15"/>
        <v>14283100</v>
      </c>
      <c r="F36" s="303">
        <f>(13719600)+342300+75300+20000+125900</f>
        <v>14283100</v>
      </c>
      <c r="G36" s="303">
        <f>(10016700)+342300</f>
        <v>10359000</v>
      </c>
      <c r="H36" s="303">
        <v>764800</v>
      </c>
      <c r="I36" s="536"/>
      <c r="J36" s="303">
        <f t="shared" si="14"/>
        <v>548800</v>
      </c>
      <c r="K36" s="303">
        <v>500800</v>
      </c>
      <c r="L36" s="303">
        <v>290200</v>
      </c>
      <c r="M36" s="303">
        <v>24000</v>
      </c>
      <c r="N36" s="303">
        <f t="shared" ref="N36" si="20">O36</f>
        <v>48000</v>
      </c>
      <c r="O36" s="536">
        <v>48000</v>
      </c>
      <c r="P36" s="303">
        <f t="shared" si="13"/>
        <v>14831900</v>
      </c>
    </row>
    <row r="37" spans="1:16" s="344" customFormat="1" ht="124.5" customHeight="1">
      <c r="A37" s="325" t="s">
        <v>711</v>
      </c>
      <c r="B37" s="325" t="s">
        <v>712</v>
      </c>
      <c r="C37" s="325" t="s">
        <v>407</v>
      </c>
      <c r="D37" s="217" t="s">
        <v>710</v>
      </c>
      <c r="E37" s="536">
        <f t="shared" si="15"/>
        <v>140000</v>
      </c>
      <c r="F37" s="536">
        <f>140000+27200-27200</f>
        <v>140000</v>
      </c>
      <c r="G37" s="536"/>
      <c r="H37" s="536"/>
      <c r="I37" s="536"/>
      <c r="J37" s="303">
        <f t="shared" ref="J37:J38" si="21">K37+N37</f>
        <v>0</v>
      </c>
      <c r="K37" s="536"/>
      <c r="L37" s="536"/>
      <c r="M37" s="536"/>
      <c r="N37" s="536"/>
      <c r="O37" s="536"/>
      <c r="P37" s="216">
        <f t="shared" si="13"/>
        <v>140000</v>
      </c>
    </row>
    <row r="38" spans="1:16" ht="183">
      <c r="A38" s="409" t="s">
        <v>745</v>
      </c>
      <c r="B38" s="409" t="s">
        <v>746</v>
      </c>
      <c r="C38" s="409" t="s">
        <v>407</v>
      </c>
      <c r="D38" s="394" t="s">
        <v>747</v>
      </c>
      <c r="E38" s="57">
        <f t="shared" ref="E38" si="22">F38</f>
        <v>27200</v>
      </c>
      <c r="F38" s="303">
        <v>27200</v>
      </c>
      <c r="G38" s="298"/>
      <c r="H38" s="298"/>
      <c r="I38" s="303"/>
      <c r="J38" s="57">
        <f t="shared" si="21"/>
        <v>0</v>
      </c>
      <c r="K38" s="303"/>
      <c r="L38" s="298"/>
      <c r="M38" s="298"/>
      <c r="N38" s="303">
        <f t="shared" ref="N38" si="23">O38</f>
        <v>0</v>
      </c>
      <c r="O38" s="298"/>
      <c r="P38" s="57">
        <f t="shared" ref="P38" si="24">E38+J38</f>
        <v>27200</v>
      </c>
    </row>
    <row r="39" spans="1:16" ht="46.5">
      <c r="A39" s="249" t="s">
        <v>412</v>
      </c>
      <c r="B39" s="249" t="s">
        <v>413</v>
      </c>
      <c r="C39" s="249" t="s">
        <v>414</v>
      </c>
      <c r="D39" s="394" t="s">
        <v>102</v>
      </c>
      <c r="E39" s="57">
        <f>F39</f>
        <v>106000</v>
      </c>
      <c r="F39" s="303">
        <v>106000</v>
      </c>
      <c r="G39" s="250"/>
      <c r="H39" s="250"/>
      <c r="I39" s="303"/>
      <c r="J39" s="57">
        <f>K39+N39</f>
        <v>16433748</v>
      </c>
      <c r="K39" s="303"/>
      <c r="L39" s="250"/>
      <c r="M39" s="250"/>
      <c r="N39" s="303">
        <f>O39</f>
        <v>16433748</v>
      </c>
      <c r="O39" s="250">
        <f>(1191000+8287748-106000)+7061000</f>
        <v>16433748</v>
      </c>
      <c r="P39" s="57">
        <f>E39+J39</f>
        <v>16539748</v>
      </c>
    </row>
    <row r="40" spans="1:16" ht="135">
      <c r="A40" s="447" t="s">
        <v>316</v>
      </c>
      <c r="B40" s="448"/>
      <c r="C40" s="448"/>
      <c r="D40" s="449" t="s">
        <v>53</v>
      </c>
      <c r="E40" s="450">
        <f>E41</f>
        <v>342562641</v>
      </c>
      <c r="F40" s="451">
        <f t="shared" ref="F40:P40" si="25">F41</f>
        <v>342562641</v>
      </c>
      <c r="G40" s="450">
        <f t="shared" si="25"/>
        <v>1567600</v>
      </c>
      <c r="H40" s="450">
        <f t="shared" si="25"/>
        <v>99700</v>
      </c>
      <c r="I40" s="451">
        <f t="shared" si="25"/>
        <v>0</v>
      </c>
      <c r="J40" s="450">
        <f t="shared" si="25"/>
        <v>39093371</v>
      </c>
      <c r="K40" s="451">
        <f t="shared" si="25"/>
        <v>16728718</v>
      </c>
      <c r="L40" s="450">
        <f t="shared" si="25"/>
        <v>0</v>
      </c>
      <c r="M40" s="450">
        <f t="shared" si="25"/>
        <v>0</v>
      </c>
      <c r="N40" s="451">
        <f t="shared" si="25"/>
        <v>22364653</v>
      </c>
      <c r="O40" s="450">
        <f t="shared" si="25"/>
        <v>22015653</v>
      </c>
      <c r="P40" s="450">
        <f t="shared" si="25"/>
        <v>381656012</v>
      </c>
    </row>
    <row r="41" spans="1:16" ht="135">
      <c r="A41" s="433" t="s">
        <v>317</v>
      </c>
      <c r="B41" s="433"/>
      <c r="C41" s="433"/>
      <c r="D41" s="452" t="s">
        <v>93</v>
      </c>
      <c r="E41" s="435">
        <f>E42+E43+E44+E45+E51+E46+E48+E54</f>
        <v>342562641</v>
      </c>
      <c r="F41" s="436">
        <f>F42+F43+F44+F45+F51+F46+F48</f>
        <v>342562641</v>
      </c>
      <c r="G41" s="435">
        <f>G42+G43+G44+G45+G51+G46+G48</f>
        <v>1567600</v>
      </c>
      <c r="H41" s="435">
        <f>H42+H43+H44+H45+H51+H46+H48</f>
        <v>99700</v>
      </c>
      <c r="I41" s="436">
        <v>0</v>
      </c>
      <c r="J41" s="435">
        <f t="shared" ref="J41:J51" si="26">K41+N41</f>
        <v>39093371</v>
      </c>
      <c r="K41" s="436">
        <f>K42+K43+K44+K45+K51+K46+K48+K54</f>
        <v>16728718</v>
      </c>
      <c r="L41" s="435">
        <f>L42+L43+L44+L45+L51+L46+L48</f>
        <v>0</v>
      </c>
      <c r="M41" s="435">
        <f>M42+M43+M44+M45+M51+M46+M48</f>
        <v>0</v>
      </c>
      <c r="N41" s="436">
        <f>N42+N43+N44+N45+N51+N46+N48+N54</f>
        <v>22364653</v>
      </c>
      <c r="O41" s="435">
        <f>O42+O43+O44+O45+O51+O46+O54</f>
        <v>22015653</v>
      </c>
      <c r="P41" s="435">
        <f t="shared" ref="P41:P51" si="27">E41+J41</f>
        <v>381656012</v>
      </c>
    </row>
    <row r="42" spans="1:16" ht="91.5">
      <c r="A42" s="252" t="s">
        <v>415</v>
      </c>
      <c r="B42" s="252" t="s">
        <v>411</v>
      </c>
      <c r="C42" s="252" t="s">
        <v>416</v>
      </c>
      <c r="D42" s="290" t="s">
        <v>55</v>
      </c>
      <c r="E42" s="57">
        <f>F42</f>
        <v>176494541</v>
      </c>
      <c r="F42" s="303">
        <f>(169809941+1000000+714000+50000)-714000+2474600-360000+3000000+160000+360000</f>
        <v>176494541</v>
      </c>
      <c r="G42" s="251"/>
      <c r="H42" s="251"/>
      <c r="I42" s="303"/>
      <c r="J42" s="57">
        <f t="shared" si="26"/>
        <v>22756345</v>
      </c>
      <c r="K42" s="303">
        <v>5806250</v>
      </c>
      <c r="L42" s="251"/>
      <c r="M42" s="251"/>
      <c r="N42" s="303">
        <f>O42</f>
        <v>16950095</v>
      </c>
      <c r="O42" s="251">
        <f>(4250000+1000000)+11650768-113-25620-12940+88000</f>
        <v>16950095</v>
      </c>
      <c r="P42" s="57">
        <f t="shared" si="27"/>
        <v>199250886</v>
      </c>
    </row>
    <row r="43" spans="1:16" ht="137.25">
      <c r="A43" s="252" t="s">
        <v>417</v>
      </c>
      <c r="B43" s="252" t="s">
        <v>418</v>
      </c>
      <c r="C43" s="252" t="s">
        <v>419</v>
      </c>
      <c r="D43" s="292" t="s">
        <v>420</v>
      </c>
      <c r="E43" s="57">
        <f t="shared" ref="E43:E51" si="28">F43</f>
        <v>53801300</v>
      </c>
      <c r="F43" s="303">
        <f>(53366300+320000)+115000</f>
        <v>53801300</v>
      </c>
      <c r="G43" s="251"/>
      <c r="H43" s="251"/>
      <c r="I43" s="303"/>
      <c r="J43" s="57">
        <f t="shared" si="26"/>
        <v>1449150</v>
      </c>
      <c r="K43" s="303">
        <f>(852000)-30000</f>
        <v>822000</v>
      </c>
      <c r="L43" s="251"/>
      <c r="M43" s="251"/>
      <c r="N43" s="303">
        <f>(O43)+30000</f>
        <v>627150</v>
      </c>
      <c r="O43" s="251">
        <v>597150</v>
      </c>
      <c r="P43" s="57">
        <f t="shared" si="27"/>
        <v>55250450</v>
      </c>
    </row>
    <row r="44" spans="1:16" ht="137.25">
      <c r="A44" s="252" t="s">
        <v>421</v>
      </c>
      <c r="B44" s="394" t="s">
        <v>422</v>
      </c>
      <c r="C44" s="394" t="s">
        <v>423</v>
      </c>
      <c r="D44" s="394" t="s">
        <v>748</v>
      </c>
      <c r="E44" s="57">
        <f t="shared" si="28"/>
        <v>53724500</v>
      </c>
      <c r="F44" s="303">
        <f>(53234500+5881200)-5881200+502148-12148</f>
        <v>53724500</v>
      </c>
      <c r="G44" s="251"/>
      <c r="H44" s="251"/>
      <c r="I44" s="303"/>
      <c r="J44" s="57">
        <f t="shared" si="26"/>
        <v>6963776</v>
      </c>
      <c r="K44" s="303">
        <f>(5312168)-249000</f>
        <v>5063168</v>
      </c>
      <c r="L44" s="251"/>
      <c r="M44" s="251"/>
      <c r="N44" s="303">
        <f>(O44)+249000</f>
        <v>1900608</v>
      </c>
      <c r="O44" s="251">
        <f>1617460+12148+22000</f>
        <v>1651608</v>
      </c>
      <c r="P44" s="57">
        <f t="shared" si="27"/>
        <v>60688276</v>
      </c>
    </row>
    <row r="45" spans="1:16" ht="91.5">
      <c r="A45" s="252" t="s">
        <v>424</v>
      </c>
      <c r="B45" s="394" t="s">
        <v>425</v>
      </c>
      <c r="C45" s="394" t="s">
        <v>426</v>
      </c>
      <c r="D45" s="394" t="s">
        <v>427</v>
      </c>
      <c r="E45" s="57">
        <f t="shared" si="28"/>
        <v>8870400</v>
      </c>
      <c r="F45" s="303">
        <f>(9008400+22000)-160000</f>
        <v>8870400</v>
      </c>
      <c r="G45" s="251"/>
      <c r="H45" s="251"/>
      <c r="I45" s="303"/>
      <c r="J45" s="57">
        <f t="shared" si="26"/>
        <v>5089400</v>
      </c>
      <c r="K45" s="303">
        <f>(5000400)-70000</f>
        <v>4930400</v>
      </c>
      <c r="L45" s="251"/>
      <c r="M45" s="251"/>
      <c r="N45" s="303">
        <f>O45+70000</f>
        <v>159000</v>
      </c>
      <c r="O45" s="251">
        <v>89000</v>
      </c>
      <c r="P45" s="57">
        <f t="shared" si="27"/>
        <v>13959800</v>
      </c>
    </row>
    <row r="46" spans="1:16" ht="91.5">
      <c r="A46" s="252" t="s">
        <v>428</v>
      </c>
      <c r="B46" s="394" t="s">
        <v>429</v>
      </c>
      <c r="C46" s="394"/>
      <c r="D46" s="394" t="s">
        <v>749</v>
      </c>
      <c r="E46" s="57">
        <f t="shared" si="28"/>
        <v>37760900</v>
      </c>
      <c r="F46" s="303">
        <f>F47</f>
        <v>37760900</v>
      </c>
      <c r="G46" s="251"/>
      <c r="H46" s="251"/>
      <c r="I46" s="303"/>
      <c r="J46" s="57">
        <f t="shared" si="26"/>
        <v>2341500</v>
      </c>
      <c r="K46" s="303">
        <f>K47</f>
        <v>86500</v>
      </c>
      <c r="L46" s="251"/>
      <c r="M46" s="251"/>
      <c r="N46" s="303">
        <f t="shared" ref="N46:N47" si="29">O46</f>
        <v>2255000</v>
      </c>
      <c r="O46" s="251">
        <f>O47</f>
        <v>2255000</v>
      </c>
      <c r="P46" s="57">
        <f t="shared" si="27"/>
        <v>40102400</v>
      </c>
    </row>
    <row r="47" spans="1:16" ht="183">
      <c r="A47" s="217" t="s">
        <v>430</v>
      </c>
      <c r="B47" s="325" t="s">
        <v>431</v>
      </c>
      <c r="C47" s="325" t="s">
        <v>750</v>
      </c>
      <c r="D47" s="217" t="s">
        <v>432</v>
      </c>
      <c r="E47" s="303">
        <f t="shared" si="28"/>
        <v>37760900</v>
      </c>
      <c r="F47" s="303">
        <f>(6889600+25900000+340000+4561100+2835500)-2835500+70200</f>
        <v>37760900</v>
      </c>
      <c r="G47" s="293"/>
      <c r="H47" s="293"/>
      <c r="I47" s="303"/>
      <c r="J47" s="293">
        <f t="shared" si="26"/>
        <v>2341500</v>
      </c>
      <c r="K47" s="303">
        <v>86500</v>
      </c>
      <c r="L47" s="293"/>
      <c r="M47" s="293"/>
      <c r="N47" s="303">
        <f t="shared" si="29"/>
        <v>2255000</v>
      </c>
      <c r="O47" s="294">
        <f>(540000+1000000)+715000</f>
        <v>2255000</v>
      </c>
      <c r="P47" s="293">
        <f t="shared" si="27"/>
        <v>40102400</v>
      </c>
    </row>
    <row r="48" spans="1:16" ht="91.5">
      <c r="A48" s="431" t="s">
        <v>802</v>
      </c>
      <c r="B48" s="422" t="s">
        <v>803</v>
      </c>
      <c r="C48" s="422"/>
      <c r="D48" s="422" t="s">
        <v>804</v>
      </c>
      <c r="E48" s="432">
        <f t="shared" ref="E48:E50" si="30">F48</f>
        <v>9430700</v>
      </c>
      <c r="F48" s="303">
        <f>SUM(F49:F50)</f>
        <v>9430700</v>
      </c>
      <c r="G48" s="298">
        <f t="shared" ref="G48:H48" si="31">SUM(G49:G50)</f>
        <v>0</v>
      </c>
      <c r="H48" s="298">
        <f t="shared" si="31"/>
        <v>0</v>
      </c>
      <c r="I48" s="303"/>
      <c r="J48" s="432">
        <f t="shared" ref="J48:J50" si="32">K48+N48</f>
        <v>0</v>
      </c>
      <c r="K48" s="303">
        <f>SUM(K49:K50)</f>
        <v>0</v>
      </c>
      <c r="L48" s="298">
        <f t="shared" ref="L48:M48" si="33">SUM(L49:L50)</f>
        <v>0</v>
      </c>
      <c r="M48" s="298">
        <f t="shared" si="33"/>
        <v>0</v>
      </c>
      <c r="N48" s="303">
        <f>SUM(N49:N50)</f>
        <v>0</v>
      </c>
      <c r="O48" s="298"/>
      <c r="P48" s="432">
        <f t="shared" ref="P48:P50" si="34">E48+J48</f>
        <v>9430700</v>
      </c>
    </row>
    <row r="49" spans="1:16" ht="137.25">
      <c r="A49" s="217" t="s">
        <v>805</v>
      </c>
      <c r="B49" s="217" t="s">
        <v>806</v>
      </c>
      <c r="C49" s="422" t="s">
        <v>435</v>
      </c>
      <c r="D49" s="401" t="s">
        <v>807</v>
      </c>
      <c r="E49" s="303">
        <f t="shared" si="30"/>
        <v>6595200</v>
      </c>
      <c r="F49" s="303">
        <v>6595200</v>
      </c>
      <c r="G49" s="303"/>
      <c r="H49" s="303"/>
      <c r="I49" s="303"/>
      <c r="J49" s="303">
        <f t="shared" si="32"/>
        <v>0</v>
      </c>
      <c r="K49" s="303"/>
      <c r="L49" s="303"/>
      <c r="M49" s="303"/>
      <c r="N49" s="303">
        <f t="shared" ref="N49:N50" si="35">O49</f>
        <v>0</v>
      </c>
      <c r="O49" s="303"/>
      <c r="P49" s="303">
        <f t="shared" si="34"/>
        <v>6595200</v>
      </c>
    </row>
    <row r="50" spans="1:16" ht="137.25">
      <c r="A50" s="217" t="s">
        <v>810</v>
      </c>
      <c r="B50" s="217" t="s">
        <v>809</v>
      </c>
      <c r="C50" s="422" t="s">
        <v>435</v>
      </c>
      <c r="D50" s="401" t="s">
        <v>808</v>
      </c>
      <c r="E50" s="303">
        <f t="shared" si="30"/>
        <v>2835500</v>
      </c>
      <c r="F50" s="303">
        <v>2835500</v>
      </c>
      <c r="G50" s="303"/>
      <c r="H50" s="303"/>
      <c r="I50" s="303"/>
      <c r="J50" s="303">
        <f t="shared" si="32"/>
        <v>0</v>
      </c>
      <c r="K50" s="303"/>
      <c r="L50" s="303"/>
      <c r="M50" s="303"/>
      <c r="N50" s="303">
        <f t="shared" si="35"/>
        <v>0</v>
      </c>
      <c r="O50" s="303"/>
      <c r="P50" s="303">
        <f t="shared" si="34"/>
        <v>2835500</v>
      </c>
    </row>
    <row r="51" spans="1:16" ht="91.5" customHeight="1">
      <c r="A51" s="394" t="s">
        <v>433</v>
      </c>
      <c r="B51" s="409" t="s">
        <v>434</v>
      </c>
      <c r="C51" s="409"/>
      <c r="D51" s="409" t="s">
        <v>436</v>
      </c>
      <c r="E51" s="57">
        <f t="shared" si="28"/>
        <v>2480300</v>
      </c>
      <c r="F51" s="303">
        <f>SUM(F52:F53)</f>
        <v>2480300</v>
      </c>
      <c r="G51" s="298">
        <f t="shared" ref="G51:H51" si="36">SUM(G52:G53)</f>
        <v>1567600</v>
      </c>
      <c r="H51" s="298">
        <f t="shared" si="36"/>
        <v>99700</v>
      </c>
      <c r="I51" s="303"/>
      <c r="J51" s="57">
        <f t="shared" si="26"/>
        <v>40400</v>
      </c>
      <c r="K51" s="303">
        <f>SUM(K52:K53)</f>
        <v>20400</v>
      </c>
      <c r="L51" s="298">
        <f t="shared" ref="L51" si="37">SUM(L52:L53)</f>
        <v>0</v>
      </c>
      <c r="M51" s="298">
        <f t="shared" ref="M51" si="38">SUM(M52:M53)</f>
        <v>0</v>
      </c>
      <c r="N51" s="303">
        <f>SUM(N52:N53)</f>
        <v>20000</v>
      </c>
      <c r="O51" s="303">
        <f>SUM(O52:O53)</f>
        <v>20000</v>
      </c>
      <c r="P51" s="57">
        <f t="shared" si="27"/>
        <v>2520700</v>
      </c>
    </row>
    <row r="52" spans="1:16" s="344" customFormat="1" ht="91.5">
      <c r="A52" s="217" t="s">
        <v>674</v>
      </c>
      <c r="B52" s="217" t="s">
        <v>676</v>
      </c>
      <c r="C52" s="325" t="s">
        <v>435</v>
      </c>
      <c r="D52" s="401" t="s">
        <v>672</v>
      </c>
      <c r="E52" s="303">
        <f t="shared" ref="E52:E54" si="39">F52</f>
        <v>2180300</v>
      </c>
      <c r="F52" s="303">
        <f>(2459300-300000)+11000+10000</f>
        <v>2180300</v>
      </c>
      <c r="G52" s="303">
        <v>1567600</v>
      </c>
      <c r="H52" s="303">
        <v>99700</v>
      </c>
      <c r="I52" s="303"/>
      <c r="J52" s="303">
        <f t="shared" ref="J52:J54" si="40">K52+N52</f>
        <v>40400</v>
      </c>
      <c r="K52" s="303">
        <v>20400</v>
      </c>
      <c r="L52" s="303"/>
      <c r="M52" s="303"/>
      <c r="N52" s="303">
        <f t="shared" ref="N52:N53" si="41">O52</f>
        <v>20000</v>
      </c>
      <c r="O52" s="303">
        <f>30000-10000</f>
        <v>20000</v>
      </c>
      <c r="P52" s="303">
        <f t="shared" ref="P52:P54" si="42">E52+J52</f>
        <v>2220700</v>
      </c>
    </row>
    <row r="53" spans="1:16" s="344" customFormat="1" ht="91.5">
      <c r="A53" s="217" t="s">
        <v>675</v>
      </c>
      <c r="B53" s="217" t="s">
        <v>677</v>
      </c>
      <c r="C53" s="325" t="s">
        <v>435</v>
      </c>
      <c r="D53" s="401" t="s">
        <v>673</v>
      </c>
      <c r="E53" s="303">
        <f t="shared" si="39"/>
        <v>300000</v>
      </c>
      <c r="F53" s="303">
        <v>300000</v>
      </c>
      <c r="G53" s="303"/>
      <c r="H53" s="303"/>
      <c r="I53" s="303"/>
      <c r="J53" s="303">
        <f t="shared" si="40"/>
        <v>0</v>
      </c>
      <c r="K53" s="303"/>
      <c r="L53" s="303"/>
      <c r="M53" s="303"/>
      <c r="N53" s="303">
        <f t="shared" si="41"/>
        <v>0</v>
      </c>
      <c r="O53" s="303"/>
      <c r="P53" s="303">
        <f t="shared" si="42"/>
        <v>300000</v>
      </c>
    </row>
    <row r="54" spans="1:16" ht="91.5">
      <c r="A54" s="438" t="s">
        <v>818</v>
      </c>
      <c r="B54" s="437" t="s">
        <v>819</v>
      </c>
      <c r="C54" s="437" t="s">
        <v>106</v>
      </c>
      <c r="D54" s="437" t="s">
        <v>820</v>
      </c>
      <c r="E54" s="439">
        <f t="shared" si="39"/>
        <v>0</v>
      </c>
      <c r="F54" s="303"/>
      <c r="G54" s="298"/>
      <c r="H54" s="298"/>
      <c r="I54" s="303"/>
      <c r="J54" s="439">
        <f t="shared" si="40"/>
        <v>452800</v>
      </c>
      <c r="K54" s="303"/>
      <c r="L54" s="298"/>
      <c r="M54" s="298"/>
      <c r="N54" s="303">
        <f>O54</f>
        <v>452800</v>
      </c>
      <c r="O54" s="298">
        <v>452800</v>
      </c>
      <c r="P54" s="439">
        <f t="shared" si="42"/>
        <v>452800</v>
      </c>
    </row>
    <row r="55" spans="1:16" ht="180">
      <c r="A55" s="433" t="s">
        <v>318</v>
      </c>
      <c r="B55" s="433"/>
      <c r="C55" s="433"/>
      <c r="D55" s="449" t="s">
        <v>94</v>
      </c>
      <c r="E55" s="436">
        <f>E56</f>
        <v>982232989</v>
      </c>
      <c r="F55" s="436">
        <f>F56</f>
        <v>982232989</v>
      </c>
      <c r="G55" s="436">
        <f>G56</f>
        <v>14083300</v>
      </c>
      <c r="H55" s="436">
        <f t="shared" ref="H55:O55" si="43">H56</f>
        <v>861100</v>
      </c>
      <c r="I55" s="436">
        <f t="shared" si="43"/>
        <v>0</v>
      </c>
      <c r="J55" s="436">
        <f t="shared" si="43"/>
        <v>3774000</v>
      </c>
      <c r="K55" s="436">
        <f t="shared" si="43"/>
        <v>94000</v>
      </c>
      <c r="L55" s="436">
        <f t="shared" si="43"/>
        <v>50000</v>
      </c>
      <c r="M55" s="436">
        <f t="shared" si="43"/>
        <v>4000</v>
      </c>
      <c r="N55" s="436">
        <f t="shared" si="43"/>
        <v>3680000</v>
      </c>
      <c r="O55" s="435">
        <f t="shared" si="43"/>
        <v>3680000</v>
      </c>
      <c r="P55" s="435">
        <f>P56</f>
        <v>986006989</v>
      </c>
    </row>
    <row r="56" spans="1:16" ht="180">
      <c r="A56" s="434" t="s">
        <v>319</v>
      </c>
      <c r="B56" s="434"/>
      <c r="C56" s="434"/>
      <c r="D56" s="452" t="s">
        <v>95</v>
      </c>
      <c r="E56" s="435">
        <f>E94+E86+E98+E89+E69+E78+E63+E57+E60+E96+E77+E85+E90+E93</f>
        <v>982232989</v>
      </c>
      <c r="F56" s="436">
        <f>F94+F86+F98+F89+F69+F78+F63+F57+F60+F96+F77+F85+F90+F93</f>
        <v>982232989</v>
      </c>
      <c r="G56" s="435">
        <f>G94+G86+G98+G89+G69+G78+G63+G57+G60+G96+G77+G85</f>
        <v>14083300</v>
      </c>
      <c r="H56" s="435">
        <f>H94+H86+H98+H89+H69+H78+H63+H57+H60+H96+H77+H85</f>
        <v>861100</v>
      </c>
      <c r="I56" s="436">
        <v>0</v>
      </c>
      <c r="J56" s="435">
        <f t="shared" ref="J56:J63" si="44">K56+N56</f>
        <v>3774000</v>
      </c>
      <c r="K56" s="436">
        <f>K94+K86+K98+K89+K69+K78+K63+K57+K60+K96+K77+K85+K101</f>
        <v>94000</v>
      </c>
      <c r="L56" s="435">
        <f>L94+L86+L98+L89+L69+L78+L63+L57+L60+L96+L77+L85</f>
        <v>50000</v>
      </c>
      <c r="M56" s="435">
        <f>M94+M86+M98+M89+M69+M78+M63+M57+M60+M96+M77+M85</f>
        <v>4000</v>
      </c>
      <c r="N56" s="436">
        <f>N94+N86+N98+N89+N69+N78+N63+N57+N60+N96+N77+N85+N101</f>
        <v>3680000</v>
      </c>
      <c r="O56" s="435">
        <f>O94+O86+O98+O89+O69+O78+O63+O57+O60+O96+O77+O85+O101</f>
        <v>3680000</v>
      </c>
      <c r="P56" s="435">
        <f t="shared" ref="P56:P63" si="45">E56+J56</f>
        <v>986006989</v>
      </c>
    </row>
    <row r="57" spans="1:16" ht="320.25">
      <c r="A57" s="324" t="s">
        <v>461</v>
      </c>
      <c r="B57" s="324" t="s">
        <v>462</v>
      </c>
      <c r="C57" s="324"/>
      <c r="D57" s="324" t="s">
        <v>14</v>
      </c>
      <c r="E57" s="57">
        <f t="shared" ref="E57:E63" si="46">F57</f>
        <v>523967300</v>
      </c>
      <c r="F57" s="303">
        <f>F58+F59</f>
        <v>523967300</v>
      </c>
      <c r="G57" s="298">
        <f>G58+G59</f>
        <v>0</v>
      </c>
      <c r="H57" s="247">
        <f>H58+H59</f>
        <v>0</v>
      </c>
      <c r="I57" s="303">
        <f>I58+I59</f>
        <v>0</v>
      </c>
      <c r="J57" s="57">
        <f t="shared" si="44"/>
        <v>0</v>
      </c>
      <c r="K57" s="303">
        <f>K58+K59</f>
        <v>0</v>
      </c>
      <c r="L57" s="247">
        <f>L58+L59</f>
        <v>0</v>
      </c>
      <c r="M57" s="247">
        <f>M58+M59</f>
        <v>0</v>
      </c>
      <c r="N57" s="303">
        <f>N58+N59</f>
        <v>0</v>
      </c>
      <c r="O57" s="247">
        <f>O58+O59</f>
        <v>0</v>
      </c>
      <c r="P57" s="57">
        <f t="shared" si="45"/>
        <v>523967300</v>
      </c>
    </row>
    <row r="58" spans="1:16" ht="183">
      <c r="A58" s="325" t="s">
        <v>463</v>
      </c>
      <c r="B58" s="325" t="s">
        <v>464</v>
      </c>
      <c r="C58" s="325" t="s">
        <v>395</v>
      </c>
      <c r="D58" s="223" t="s">
        <v>460</v>
      </c>
      <c r="E58" s="326">
        <f t="shared" si="46"/>
        <v>57500000</v>
      </c>
      <c r="F58" s="536">
        <v>57500000</v>
      </c>
      <c r="G58" s="326"/>
      <c r="H58" s="301"/>
      <c r="I58" s="536"/>
      <c r="J58" s="301">
        <f t="shared" si="44"/>
        <v>0</v>
      </c>
      <c r="K58" s="536"/>
      <c r="L58" s="301"/>
      <c r="M58" s="301"/>
      <c r="N58" s="536">
        <f>O58</f>
        <v>0</v>
      </c>
      <c r="O58" s="302"/>
      <c r="P58" s="301">
        <f t="shared" si="45"/>
        <v>57500000</v>
      </c>
    </row>
    <row r="59" spans="1:16" ht="183">
      <c r="A59" s="318" t="s">
        <v>486</v>
      </c>
      <c r="B59" s="304" t="s">
        <v>487</v>
      </c>
      <c r="C59" s="304" t="s">
        <v>120</v>
      </c>
      <c r="D59" s="217" t="s">
        <v>15</v>
      </c>
      <c r="E59" s="305">
        <f t="shared" si="46"/>
        <v>466467300</v>
      </c>
      <c r="F59" s="303">
        <v>466467300</v>
      </c>
      <c r="G59" s="303"/>
      <c r="H59" s="303"/>
      <c r="I59" s="303"/>
      <c r="J59" s="301">
        <f t="shared" si="44"/>
        <v>0</v>
      </c>
      <c r="K59" s="303"/>
      <c r="L59" s="303"/>
      <c r="M59" s="303"/>
      <c r="N59" s="303">
        <f>O59</f>
        <v>0</v>
      </c>
      <c r="O59" s="303"/>
      <c r="P59" s="303">
        <f t="shared" si="45"/>
        <v>466467300</v>
      </c>
    </row>
    <row r="60" spans="1:16" ht="228.75">
      <c r="A60" s="248" t="s">
        <v>488</v>
      </c>
      <c r="B60" s="248" t="s">
        <v>489</v>
      </c>
      <c r="C60" s="217"/>
      <c r="D60" s="306" t="s">
        <v>16</v>
      </c>
      <c r="E60" s="537">
        <f t="shared" si="46"/>
        <v>60000</v>
      </c>
      <c r="F60" s="537">
        <f>F61+F62</f>
        <v>60000</v>
      </c>
      <c r="G60" s="541">
        <f>G61+G62</f>
        <v>0</v>
      </c>
      <c r="H60" s="541">
        <f>H61+H62</f>
        <v>0</v>
      </c>
      <c r="I60" s="541">
        <f>I61+I62</f>
        <v>0</v>
      </c>
      <c r="J60" s="537">
        <f t="shared" si="44"/>
        <v>0</v>
      </c>
      <c r="K60" s="541">
        <f>K61+K62</f>
        <v>0</v>
      </c>
      <c r="L60" s="541">
        <f>L61+L62</f>
        <v>0</v>
      </c>
      <c r="M60" s="541">
        <f>M61+M62</f>
        <v>0</v>
      </c>
      <c r="N60" s="541">
        <f>N61+N62</f>
        <v>0</v>
      </c>
      <c r="O60" s="541">
        <f>O61+O62</f>
        <v>0</v>
      </c>
      <c r="P60" s="537">
        <f t="shared" si="45"/>
        <v>60000</v>
      </c>
    </row>
    <row r="61" spans="1:16" ht="274.5">
      <c r="A61" s="217" t="s">
        <v>491</v>
      </c>
      <c r="B61" s="217" t="s">
        <v>492</v>
      </c>
      <c r="C61" s="217" t="s">
        <v>395</v>
      </c>
      <c r="D61" s="224" t="s">
        <v>490</v>
      </c>
      <c r="E61" s="301">
        <f t="shared" si="46"/>
        <v>2000</v>
      </c>
      <c r="F61" s="536">
        <v>2000</v>
      </c>
      <c r="G61" s="301"/>
      <c r="H61" s="301"/>
      <c r="I61" s="536"/>
      <c r="J61" s="301">
        <f t="shared" si="44"/>
        <v>0</v>
      </c>
      <c r="K61" s="536"/>
      <c r="L61" s="301"/>
      <c r="M61" s="301"/>
      <c r="N61" s="536">
        <f>O61</f>
        <v>0</v>
      </c>
      <c r="O61" s="302"/>
      <c r="P61" s="301">
        <f t="shared" si="45"/>
        <v>2000</v>
      </c>
    </row>
    <row r="62" spans="1:16" ht="228.75">
      <c r="A62" s="217" t="s">
        <v>493</v>
      </c>
      <c r="B62" s="217" t="s">
        <v>494</v>
      </c>
      <c r="C62" s="224">
        <v>1060</v>
      </c>
      <c r="D62" s="319" t="s">
        <v>27</v>
      </c>
      <c r="E62" s="246">
        <f t="shared" si="46"/>
        <v>58000</v>
      </c>
      <c r="F62" s="303">
        <f>56400+1600</f>
        <v>58000</v>
      </c>
      <c r="G62" s="246"/>
      <c r="H62" s="246"/>
      <c r="I62" s="303"/>
      <c r="J62" s="246">
        <f t="shared" si="44"/>
        <v>0</v>
      </c>
      <c r="K62" s="303"/>
      <c r="L62" s="246"/>
      <c r="M62" s="246"/>
      <c r="N62" s="303">
        <f>O62</f>
        <v>0</v>
      </c>
      <c r="O62" s="247"/>
      <c r="P62" s="246">
        <f t="shared" si="45"/>
        <v>58000</v>
      </c>
    </row>
    <row r="63" spans="1:16" ht="274.5">
      <c r="A63" s="313" t="s">
        <v>524</v>
      </c>
      <c r="B63" s="313" t="s">
        <v>525</v>
      </c>
      <c r="C63" s="313"/>
      <c r="D63" s="226" t="s">
        <v>523</v>
      </c>
      <c r="E63" s="315">
        <f t="shared" si="46"/>
        <v>66662930</v>
      </c>
      <c r="F63" s="536">
        <f>F64+F65+F66+F67+F68</f>
        <v>66662930</v>
      </c>
      <c r="G63" s="314">
        <f>G64+G65+G66+G67+G68</f>
        <v>0</v>
      </c>
      <c r="H63" s="314">
        <f>H64+H65+H66+H67+H68</f>
        <v>0</v>
      </c>
      <c r="I63" s="536">
        <f>I64+I65+I66+I67+I68</f>
        <v>0</v>
      </c>
      <c r="J63" s="315">
        <f t="shared" si="44"/>
        <v>100000</v>
      </c>
      <c r="K63" s="536">
        <f>K64+K65+K66+K67+K68</f>
        <v>0</v>
      </c>
      <c r="L63" s="314">
        <f>L64+L65+L66+L67+L68</f>
        <v>0</v>
      </c>
      <c r="M63" s="314">
        <f>M64+M65+M66+M67+M68</f>
        <v>0</v>
      </c>
      <c r="N63" s="536">
        <f>N64+N65+N66+N67+N68</f>
        <v>100000</v>
      </c>
      <c r="O63" s="314">
        <f>O64+O65+O66+O67+O68</f>
        <v>100000</v>
      </c>
      <c r="P63" s="315">
        <f t="shared" si="45"/>
        <v>66762930</v>
      </c>
    </row>
    <row r="64" spans="1:16" s="344" customFormat="1" ht="137.25">
      <c r="A64" s="325" t="s">
        <v>526</v>
      </c>
      <c r="B64" s="325" t="s">
        <v>527</v>
      </c>
      <c r="C64" s="325" t="s">
        <v>395</v>
      </c>
      <c r="D64" s="225" t="s">
        <v>528</v>
      </c>
      <c r="E64" s="536">
        <f>F64</f>
        <v>315130</v>
      </c>
      <c r="F64" s="536">
        <v>315130</v>
      </c>
      <c r="G64" s="536"/>
      <c r="H64" s="536"/>
      <c r="I64" s="536"/>
      <c r="J64" s="536">
        <f>K64+N64</f>
        <v>100000</v>
      </c>
      <c r="K64" s="536"/>
      <c r="L64" s="536"/>
      <c r="M64" s="536"/>
      <c r="N64" s="536">
        <f>O64</f>
        <v>100000</v>
      </c>
      <c r="O64" s="536">
        <v>100000</v>
      </c>
      <c r="P64" s="536">
        <f>E64+J64</f>
        <v>415130</v>
      </c>
    </row>
    <row r="65" spans="1:16" s="344" customFormat="1" ht="137.25">
      <c r="A65" s="217" t="s">
        <v>529</v>
      </c>
      <c r="B65" s="217" t="s">
        <v>530</v>
      </c>
      <c r="C65" s="217" t="s">
        <v>396</v>
      </c>
      <c r="D65" s="217" t="s">
        <v>24</v>
      </c>
      <c r="E65" s="303">
        <f t="shared" ref="E65:E94" si="47">F65</f>
        <v>1750000</v>
      </c>
      <c r="F65" s="303">
        <v>1750000</v>
      </c>
      <c r="G65" s="303"/>
      <c r="H65" s="303"/>
      <c r="I65" s="303"/>
      <c r="J65" s="303">
        <f t="shared" ref="J65:J94" si="48">K65+N65</f>
        <v>0</v>
      </c>
      <c r="K65" s="303"/>
      <c r="L65" s="303"/>
      <c r="M65" s="303"/>
      <c r="N65" s="303">
        <f>O65</f>
        <v>0</v>
      </c>
      <c r="O65" s="303"/>
      <c r="P65" s="303">
        <f t="shared" ref="P65:P88" si="49">E65+J65</f>
        <v>1750000</v>
      </c>
    </row>
    <row r="66" spans="1:16" s="344" customFormat="1" ht="183">
      <c r="A66" s="217" t="s">
        <v>532</v>
      </c>
      <c r="B66" s="217" t="s">
        <v>533</v>
      </c>
      <c r="C66" s="217" t="s">
        <v>396</v>
      </c>
      <c r="D66" s="325" t="s">
        <v>25</v>
      </c>
      <c r="E66" s="303">
        <f t="shared" si="47"/>
        <v>5000000</v>
      </c>
      <c r="F66" s="303">
        <v>5000000</v>
      </c>
      <c r="G66" s="303"/>
      <c r="H66" s="303"/>
      <c r="I66" s="303"/>
      <c r="J66" s="303">
        <f t="shared" si="48"/>
        <v>0</v>
      </c>
      <c r="K66" s="303"/>
      <c r="L66" s="303"/>
      <c r="M66" s="303"/>
      <c r="N66" s="303">
        <f>O66</f>
        <v>0</v>
      </c>
      <c r="O66" s="303"/>
      <c r="P66" s="303">
        <f t="shared" si="49"/>
        <v>5000000</v>
      </c>
    </row>
    <row r="67" spans="1:16" s="344" customFormat="1" ht="183">
      <c r="A67" s="325" t="s">
        <v>534</v>
      </c>
      <c r="B67" s="325" t="s">
        <v>531</v>
      </c>
      <c r="C67" s="325" t="s">
        <v>396</v>
      </c>
      <c r="D67" s="325" t="s">
        <v>26</v>
      </c>
      <c r="E67" s="303">
        <f t="shared" si="47"/>
        <v>400000</v>
      </c>
      <c r="F67" s="303">
        <v>400000</v>
      </c>
      <c r="G67" s="303"/>
      <c r="H67" s="303"/>
      <c r="I67" s="303"/>
      <c r="J67" s="303">
        <f t="shared" si="48"/>
        <v>0</v>
      </c>
      <c r="K67" s="303"/>
      <c r="L67" s="303"/>
      <c r="M67" s="303"/>
      <c r="N67" s="303">
        <f>O67</f>
        <v>0</v>
      </c>
      <c r="O67" s="303"/>
      <c r="P67" s="303">
        <f t="shared" si="49"/>
        <v>400000</v>
      </c>
    </row>
    <row r="68" spans="1:16" s="344" customFormat="1" ht="183">
      <c r="A68" s="325" t="s">
        <v>535</v>
      </c>
      <c r="B68" s="325" t="s">
        <v>536</v>
      </c>
      <c r="C68" s="325" t="s">
        <v>396</v>
      </c>
      <c r="D68" s="325" t="s">
        <v>31</v>
      </c>
      <c r="E68" s="303">
        <f t="shared" si="47"/>
        <v>59197800</v>
      </c>
      <c r="F68" s="303">
        <v>59197800</v>
      </c>
      <c r="G68" s="303"/>
      <c r="H68" s="303"/>
      <c r="I68" s="303"/>
      <c r="J68" s="303">
        <f t="shared" si="48"/>
        <v>0</v>
      </c>
      <c r="K68" s="303"/>
      <c r="L68" s="303"/>
      <c r="M68" s="303"/>
      <c r="N68" s="303">
        <f>O68</f>
        <v>0</v>
      </c>
      <c r="O68" s="303"/>
      <c r="P68" s="303">
        <f t="shared" si="49"/>
        <v>59197800</v>
      </c>
    </row>
    <row r="69" spans="1:16" ht="137.25">
      <c r="A69" s="394" t="s">
        <v>465</v>
      </c>
      <c r="B69" s="394" t="s">
        <v>466</v>
      </c>
      <c r="C69" s="394"/>
      <c r="D69" s="394" t="s">
        <v>751</v>
      </c>
      <c r="E69" s="57">
        <f t="shared" si="47"/>
        <v>238448900</v>
      </c>
      <c r="F69" s="303">
        <f>SUM(F70:F76)</f>
        <v>238448900</v>
      </c>
      <c r="G69" s="298">
        <f>SUM(G70:G76)</f>
        <v>0</v>
      </c>
      <c r="H69" s="298">
        <f>SUM(H70:H76)</f>
        <v>0</v>
      </c>
      <c r="I69" s="303">
        <f>SUM(I70:I76)</f>
        <v>0</v>
      </c>
      <c r="J69" s="57">
        <f t="shared" si="48"/>
        <v>0</v>
      </c>
      <c r="K69" s="303">
        <f>SUM(K70:K76)</f>
        <v>0</v>
      </c>
      <c r="L69" s="298">
        <f>SUM(L70:L76)</f>
        <v>0</v>
      </c>
      <c r="M69" s="298">
        <f>SUM(M70:M76)</f>
        <v>0</v>
      </c>
      <c r="N69" s="303">
        <f>SUM(N70:N76)</f>
        <v>0</v>
      </c>
      <c r="O69" s="298">
        <f>SUM(O70:O76)</f>
        <v>0</v>
      </c>
      <c r="P69" s="57">
        <f t="shared" si="49"/>
        <v>238448900</v>
      </c>
    </row>
    <row r="70" spans="1:16" s="344" customFormat="1" ht="91.5">
      <c r="A70" s="217" t="s">
        <v>475</v>
      </c>
      <c r="B70" s="217" t="s">
        <v>467</v>
      </c>
      <c r="C70" s="217" t="s">
        <v>363</v>
      </c>
      <c r="D70" s="217" t="s">
        <v>18</v>
      </c>
      <c r="E70" s="303">
        <f t="shared" si="47"/>
        <v>2853000</v>
      </c>
      <c r="F70" s="303">
        <v>2853000</v>
      </c>
      <c r="G70" s="303"/>
      <c r="H70" s="303"/>
      <c r="I70" s="303"/>
      <c r="J70" s="303">
        <f t="shared" si="48"/>
        <v>0</v>
      </c>
      <c r="K70" s="303"/>
      <c r="L70" s="303"/>
      <c r="M70" s="303"/>
      <c r="N70" s="303">
        <f t="shared" ref="N70:N85" si="50">O70</f>
        <v>0</v>
      </c>
      <c r="O70" s="303"/>
      <c r="P70" s="303">
        <f t="shared" si="49"/>
        <v>2853000</v>
      </c>
    </row>
    <row r="71" spans="1:16" s="344" customFormat="1" ht="91.5">
      <c r="A71" s="217" t="s">
        <v>476</v>
      </c>
      <c r="B71" s="217" t="s">
        <v>468</v>
      </c>
      <c r="C71" s="217" t="s">
        <v>363</v>
      </c>
      <c r="D71" s="217" t="s">
        <v>474</v>
      </c>
      <c r="E71" s="303">
        <f>F71</f>
        <v>305000</v>
      </c>
      <c r="F71" s="303">
        <v>305000</v>
      </c>
      <c r="G71" s="303"/>
      <c r="H71" s="303"/>
      <c r="I71" s="303"/>
      <c r="J71" s="303">
        <f>K71+N71</f>
        <v>0</v>
      </c>
      <c r="K71" s="303"/>
      <c r="L71" s="303"/>
      <c r="M71" s="303"/>
      <c r="N71" s="303">
        <f>O71</f>
        <v>0</v>
      </c>
      <c r="O71" s="303"/>
      <c r="P71" s="303">
        <f>E71+J71</f>
        <v>305000</v>
      </c>
    </row>
    <row r="72" spans="1:16" s="344" customFormat="1" ht="91.5">
      <c r="A72" s="217" t="s">
        <v>477</v>
      </c>
      <c r="B72" s="217" t="s">
        <v>469</v>
      </c>
      <c r="C72" s="217" t="s">
        <v>363</v>
      </c>
      <c r="D72" s="217" t="s">
        <v>19</v>
      </c>
      <c r="E72" s="303">
        <f t="shared" si="47"/>
        <v>161903900</v>
      </c>
      <c r="F72" s="303">
        <f>155000000+6123900+780000</f>
        <v>161903900</v>
      </c>
      <c r="G72" s="303"/>
      <c r="H72" s="303"/>
      <c r="I72" s="303"/>
      <c r="J72" s="303">
        <f t="shared" si="48"/>
        <v>0</v>
      </c>
      <c r="K72" s="303"/>
      <c r="L72" s="303"/>
      <c r="M72" s="303"/>
      <c r="N72" s="303">
        <f t="shared" si="50"/>
        <v>0</v>
      </c>
      <c r="O72" s="303"/>
      <c r="P72" s="303">
        <f t="shared" si="49"/>
        <v>161903900</v>
      </c>
    </row>
    <row r="73" spans="1:16" s="344" customFormat="1" ht="137.25">
      <c r="A73" s="217" t="s">
        <v>478</v>
      </c>
      <c r="B73" s="217" t="s">
        <v>470</v>
      </c>
      <c r="C73" s="217" t="s">
        <v>363</v>
      </c>
      <c r="D73" s="217" t="s">
        <v>20</v>
      </c>
      <c r="E73" s="303">
        <f t="shared" si="47"/>
        <v>4390000</v>
      </c>
      <c r="F73" s="303">
        <v>4390000</v>
      </c>
      <c r="G73" s="303"/>
      <c r="H73" s="303"/>
      <c r="I73" s="303"/>
      <c r="J73" s="303">
        <f t="shared" si="48"/>
        <v>0</v>
      </c>
      <c r="K73" s="303"/>
      <c r="L73" s="303"/>
      <c r="M73" s="303"/>
      <c r="N73" s="303">
        <f t="shared" si="50"/>
        <v>0</v>
      </c>
      <c r="O73" s="303"/>
      <c r="P73" s="303">
        <f t="shared" si="49"/>
        <v>4390000</v>
      </c>
    </row>
    <row r="74" spans="1:16" s="344" customFormat="1" ht="91.5">
      <c r="A74" s="217" t="s">
        <v>479</v>
      </c>
      <c r="B74" s="217" t="s">
        <v>471</v>
      </c>
      <c r="C74" s="217" t="s">
        <v>363</v>
      </c>
      <c r="D74" s="217" t="s">
        <v>21</v>
      </c>
      <c r="E74" s="303">
        <f t="shared" si="47"/>
        <v>24267000</v>
      </c>
      <c r="F74" s="303">
        <v>24267000</v>
      </c>
      <c r="G74" s="303"/>
      <c r="H74" s="303"/>
      <c r="I74" s="303"/>
      <c r="J74" s="303">
        <f t="shared" si="48"/>
        <v>0</v>
      </c>
      <c r="K74" s="303"/>
      <c r="L74" s="303"/>
      <c r="M74" s="303"/>
      <c r="N74" s="303">
        <f t="shared" si="50"/>
        <v>0</v>
      </c>
      <c r="O74" s="303"/>
      <c r="P74" s="303">
        <f t="shared" si="49"/>
        <v>24267000</v>
      </c>
    </row>
    <row r="75" spans="1:16" s="344" customFormat="1" ht="91.5">
      <c r="A75" s="217" t="s">
        <v>480</v>
      </c>
      <c r="B75" s="217" t="s">
        <v>472</v>
      </c>
      <c r="C75" s="217" t="s">
        <v>363</v>
      </c>
      <c r="D75" s="217" t="s">
        <v>22</v>
      </c>
      <c r="E75" s="303">
        <f t="shared" si="47"/>
        <v>3330000</v>
      </c>
      <c r="F75" s="303">
        <v>3330000</v>
      </c>
      <c r="G75" s="303"/>
      <c r="H75" s="303"/>
      <c r="I75" s="303"/>
      <c r="J75" s="303">
        <f t="shared" si="48"/>
        <v>0</v>
      </c>
      <c r="K75" s="303"/>
      <c r="L75" s="303"/>
      <c r="M75" s="303"/>
      <c r="N75" s="303">
        <f t="shared" si="50"/>
        <v>0</v>
      </c>
      <c r="O75" s="303"/>
      <c r="P75" s="303">
        <f t="shared" si="49"/>
        <v>3330000</v>
      </c>
    </row>
    <row r="76" spans="1:16" s="344" customFormat="1" ht="137.25">
      <c r="A76" s="217" t="s">
        <v>481</v>
      </c>
      <c r="B76" s="217" t="s">
        <v>473</v>
      </c>
      <c r="C76" s="217" t="s">
        <v>363</v>
      </c>
      <c r="D76" s="217" t="s">
        <v>23</v>
      </c>
      <c r="E76" s="303">
        <f t="shared" si="47"/>
        <v>41400000</v>
      </c>
      <c r="F76" s="303">
        <v>41400000</v>
      </c>
      <c r="G76" s="303"/>
      <c r="H76" s="303"/>
      <c r="I76" s="303"/>
      <c r="J76" s="303">
        <f t="shared" si="48"/>
        <v>0</v>
      </c>
      <c r="K76" s="303"/>
      <c r="L76" s="303"/>
      <c r="M76" s="303"/>
      <c r="N76" s="303">
        <f t="shared" si="50"/>
        <v>0</v>
      </c>
      <c r="O76" s="303"/>
      <c r="P76" s="303">
        <f t="shared" si="49"/>
        <v>41400000</v>
      </c>
    </row>
    <row r="77" spans="1:16" ht="183">
      <c r="A77" s="394" t="s">
        <v>495</v>
      </c>
      <c r="B77" s="394" t="s">
        <v>482</v>
      </c>
      <c r="C77" s="394" t="s">
        <v>396</v>
      </c>
      <c r="D77" s="394" t="s">
        <v>17</v>
      </c>
      <c r="E77" s="57">
        <f t="shared" si="47"/>
        <v>174859</v>
      </c>
      <c r="F77" s="303">
        <v>174859</v>
      </c>
      <c r="G77" s="298"/>
      <c r="H77" s="298"/>
      <c r="I77" s="303"/>
      <c r="J77" s="57">
        <f t="shared" si="48"/>
        <v>0</v>
      </c>
      <c r="K77" s="303"/>
      <c r="L77" s="298"/>
      <c r="M77" s="298"/>
      <c r="N77" s="303">
        <f t="shared" si="50"/>
        <v>0</v>
      </c>
      <c r="O77" s="298"/>
      <c r="P77" s="57">
        <f t="shared" si="49"/>
        <v>174859</v>
      </c>
    </row>
    <row r="78" spans="1:16" ht="361.5" customHeight="1">
      <c r="A78" s="565" t="s">
        <v>485</v>
      </c>
      <c r="B78" s="566" t="s">
        <v>483</v>
      </c>
      <c r="C78" s="566"/>
      <c r="D78" s="412" t="s">
        <v>755</v>
      </c>
      <c r="E78" s="568">
        <f t="shared" si="47"/>
        <v>105286800</v>
      </c>
      <c r="F78" s="563">
        <f>SUM(F80:F84)</f>
        <v>105286800</v>
      </c>
      <c r="G78" s="563"/>
      <c r="H78" s="563"/>
      <c r="I78" s="563"/>
      <c r="J78" s="561">
        <f t="shared" si="48"/>
        <v>0</v>
      </c>
      <c r="K78" s="563"/>
      <c r="L78" s="563"/>
      <c r="M78" s="563"/>
      <c r="N78" s="563">
        <f t="shared" si="50"/>
        <v>0</v>
      </c>
      <c r="O78" s="563"/>
      <c r="P78" s="561">
        <f t="shared" si="49"/>
        <v>105286800</v>
      </c>
    </row>
    <row r="79" spans="1:16" ht="336" customHeight="1">
      <c r="A79" s="562"/>
      <c r="B79" s="567"/>
      <c r="C79" s="567"/>
      <c r="D79" s="398" t="s">
        <v>756</v>
      </c>
      <c r="E79" s="567"/>
      <c r="F79" s="564"/>
      <c r="G79" s="562"/>
      <c r="H79" s="562"/>
      <c r="I79" s="564"/>
      <c r="J79" s="562"/>
      <c r="K79" s="564"/>
      <c r="L79" s="562"/>
      <c r="M79" s="562"/>
      <c r="N79" s="564"/>
      <c r="O79" s="562"/>
      <c r="P79" s="562"/>
    </row>
    <row r="80" spans="1:16" s="344" customFormat="1" ht="183">
      <c r="A80" s="217" t="s">
        <v>757</v>
      </c>
      <c r="B80" s="217" t="s">
        <v>758</v>
      </c>
      <c r="C80" s="217" t="s">
        <v>387</v>
      </c>
      <c r="D80" s="217" t="s">
        <v>754</v>
      </c>
      <c r="E80" s="303">
        <f t="shared" ref="E80:E84" si="51">F80</f>
        <v>62560700</v>
      </c>
      <c r="F80" s="303">
        <v>62560700</v>
      </c>
      <c r="G80" s="303"/>
      <c r="H80" s="303"/>
      <c r="I80" s="303"/>
      <c r="J80" s="303">
        <f t="shared" ref="J80" si="52">K80+N80</f>
        <v>0</v>
      </c>
      <c r="K80" s="303"/>
      <c r="L80" s="303"/>
      <c r="M80" s="303"/>
      <c r="N80" s="303">
        <f t="shared" ref="N80" si="53">O80</f>
        <v>0</v>
      </c>
      <c r="O80" s="303"/>
      <c r="P80" s="303">
        <f t="shared" ref="P80:P84" si="54">E80+J80</f>
        <v>62560700</v>
      </c>
    </row>
    <row r="81" spans="1:16" s="344" customFormat="1" ht="228.75">
      <c r="A81" s="217" t="s">
        <v>872</v>
      </c>
      <c r="B81" s="217" t="s">
        <v>873</v>
      </c>
      <c r="C81" s="217" t="s">
        <v>387</v>
      </c>
      <c r="D81" s="217" t="s">
        <v>874</v>
      </c>
      <c r="E81" s="303">
        <f t="shared" ref="E81" si="55">F81</f>
        <v>10763396.4</v>
      </c>
      <c r="F81" s="303">
        <f>10757096.4+6300</f>
        <v>10763396.4</v>
      </c>
      <c r="G81" s="303"/>
      <c r="H81" s="303"/>
      <c r="I81" s="303"/>
      <c r="J81" s="303">
        <f t="shared" ref="J81" si="56">K81+N81</f>
        <v>0</v>
      </c>
      <c r="K81" s="303"/>
      <c r="L81" s="303"/>
      <c r="M81" s="303"/>
      <c r="N81" s="303">
        <f t="shared" ref="N81" si="57">O81</f>
        <v>0</v>
      </c>
      <c r="O81" s="303"/>
      <c r="P81" s="303">
        <f t="shared" ref="P81" si="58">E81+J81</f>
        <v>10763396.4</v>
      </c>
    </row>
    <row r="82" spans="1:16" s="344" customFormat="1" ht="183">
      <c r="A82" s="217" t="s">
        <v>752</v>
      </c>
      <c r="B82" s="217" t="s">
        <v>753</v>
      </c>
      <c r="C82" s="217" t="s">
        <v>387</v>
      </c>
      <c r="D82" s="217" t="s">
        <v>678</v>
      </c>
      <c r="E82" s="303">
        <f t="shared" ref="E82:E83" si="59">F82</f>
        <v>30200800</v>
      </c>
      <c r="F82" s="303">
        <f>11605800+18595000</f>
        <v>30200800</v>
      </c>
      <c r="G82" s="303"/>
      <c r="H82" s="303"/>
      <c r="I82" s="303"/>
      <c r="J82" s="303">
        <f>K82+N82</f>
        <v>0</v>
      </c>
      <c r="K82" s="303"/>
      <c r="L82" s="303"/>
      <c r="M82" s="303"/>
      <c r="N82" s="303"/>
      <c r="O82" s="303"/>
      <c r="P82" s="303">
        <f t="shared" ref="P82:P83" si="60">E82+J82</f>
        <v>30200800</v>
      </c>
    </row>
    <row r="83" spans="1:16" s="344" customFormat="1" ht="228.75">
      <c r="A83" s="217" t="s">
        <v>761</v>
      </c>
      <c r="B83" s="217" t="s">
        <v>762</v>
      </c>
      <c r="C83" s="217" t="s">
        <v>387</v>
      </c>
      <c r="D83" s="217" t="s">
        <v>763</v>
      </c>
      <c r="E83" s="303">
        <f t="shared" si="59"/>
        <v>1521903.5999999996</v>
      </c>
      <c r="F83" s="303">
        <f>(12285300)-10757096.4-6300</f>
        <v>1521903.5999999996</v>
      </c>
      <c r="G83" s="303"/>
      <c r="H83" s="303"/>
      <c r="I83" s="303"/>
      <c r="J83" s="303">
        <f>K83+N83</f>
        <v>0</v>
      </c>
      <c r="K83" s="303"/>
      <c r="L83" s="303"/>
      <c r="M83" s="303"/>
      <c r="N83" s="303"/>
      <c r="O83" s="303"/>
      <c r="P83" s="303">
        <f t="shared" si="60"/>
        <v>1521903.5999999996</v>
      </c>
    </row>
    <row r="84" spans="1:16" s="344" customFormat="1" ht="320.25">
      <c r="A84" s="217" t="s">
        <v>759</v>
      </c>
      <c r="B84" s="217" t="s">
        <v>760</v>
      </c>
      <c r="C84" s="217" t="s">
        <v>387</v>
      </c>
      <c r="D84" s="217" t="s">
        <v>764</v>
      </c>
      <c r="E84" s="303">
        <f t="shared" si="51"/>
        <v>240000</v>
      </c>
      <c r="F84" s="303">
        <v>240000</v>
      </c>
      <c r="G84" s="303"/>
      <c r="H84" s="303"/>
      <c r="I84" s="303"/>
      <c r="J84" s="303">
        <f>K84+N84</f>
        <v>0</v>
      </c>
      <c r="K84" s="303"/>
      <c r="L84" s="303"/>
      <c r="M84" s="303"/>
      <c r="N84" s="303"/>
      <c r="O84" s="303"/>
      <c r="P84" s="303">
        <f t="shared" si="54"/>
        <v>240000</v>
      </c>
    </row>
    <row r="85" spans="1:16" ht="163.5" customHeight="1">
      <c r="A85" s="394" t="s">
        <v>496</v>
      </c>
      <c r="B85" s="394" t="s">
        <v>484</v>
      </c>
      <c r="C85" s="394" t="s">
        <v>395</v>
      </c>
      <c r="D85" s="394" t="s">
        <v>679</v>
      </c>
      <c r="E85" s="57">
        <f t="shared" si="47"/>
        <v>188940</v>
      </c>
      <c r="F85" s="303">
        <v>188940</v>
      </c>
      <c r="G85" s="298"/>
      <c r="H85" s="298"/>
      <c r="I85" s="303"/>
      <c r="J85" s="57">
        <f t="shared" si="48"/>
        <v>0</v>
      </c>
      <c r="K85" s="303"/>
      <c r="L85" s="298"/>
      <c r="M85" s="298"/>
      <c r="N85" s="303">
        <f t="shared" si="50"/>
        <v>0</v>
      </c>
      <c r="O85" s="298"/>
      <c r="P85" s="57">
        <f t="shared" si="49"/>
        <v>188940</v>
      </c>
    </row>
    <row r="86" spans="1:16" ht="274.5">
      <c r="A86" s="394" t="s">
        <v>517</v>
      </c>
      <c r="B86" s="394" t="s">
        <v>518</v>
      </c>
      <c r="C86" s="394"/>
      <c r="D86" s="394" t="s">
        <v>680</v>
      </c>
      <c r="E86" s="57">
        <f>F86</f>
        <v>18306443</v>
      </c>
      <c r="F86" s="216">
        <f>F87+F88</f>
        <v>18306443</v>
      </c>
      <c r="G86" s="298">
        <f>G87+G88</f>
        <v>12047900</v>
      </c>
      <c r="H86" s="298">
        <f>H87+H88</f>
        <v>530900</v>
      </c>
      <c r="I86" s="303">
        <f>I87+I88</f>
        <v>0</v>
      </c>
      <c r="J86" s="57">
        <f t="shared" si="48"/>
        <v>668200</v>
      </c>
      <c r="K86" s="303">
        <f>K87+K88</f>
        <v>94000</v>
      </c>
      <c r="L86" s="298">
        <f>L87+L88</f>
        <v>50000</v>
      </c>
      <c r="M86" s="298">
        <f>M87+M88</f>
        <v>4000</v>
      </c>
      <c r="N86" s="303">
        <f>N87+N88</f>
        <v>574200</v>
      </c>
      <c r="O86" s="298">
        <f>O87+O88</f>
        <v>574200</v>
      </c>
      <c r="P86" s="57">
        <f t="shared" si="49"/>
        <v>18974643</v>
      </c>
    </row>
    <row r="87" spans="1:16" ht="301.5" customHeight="1">
      <c r="A87" s="217" t="s">
        <v>521</v>
      </c>
      <c r="B87" s="217" t="s">
        <v>519</v>
      </c>
      <c r="C87" s="217" t="s">
        <v>388</v>
      </c>
      <c r="D87" s="217" t="s">
        <v>52</v>
      </c>
      <c r="E87" s="303">
        <f t="shared" si="47"/>
        <v>13795200</v>
      </c>
      <c r="F87" s="303">
        <f>(13614700)+180500</f>
        <v>13795200</v>
      </c>
      <c r="G87" s="303">
        <v>9134300</v>
      </c>
      <c r="H87" s="303">
        <v>238000</v>
      </c>
      <c r="I87" s="303"/>
      <c r="J87" s="303">
        <f t="shared" si="48"/>
        <v>249500</v>
      </c>
      <c r="K87" s="303">
        <v>94000</v>
      </c>
      <c r="L87" s="303">
        <v>50000</v>
      </c>
      <c r="M87" s="303">
        <v>4000</v>
      </c>
      <c r="N87" s="303">
        <f>O87</f>
        <v>155500</v>
      </c>
      <c r="O87" s="303">
        <f>(112000)+43500</f>
        <v>155500</v>
      </c>
      <c r="P87" s="303">
        <f t="shared" si="49"/>
        <v>14044700</v>
      </c>
    </row>
    <row r="88" spans="1:16" ht="137.25">
      <c r="A88" s="217" t="s">
        <v>522</v>
      </c>
      <c r="B88" s="217" t="s">
        <v>520</v>
      </c>
      <c r="C88" s="217" t="s">
        <v>388</v>
      </c>
      <c r="D88" s="217" t="s">
        <v>681</v>
      </c>
      <c r="E88" s="303">
        <f t="shared" si="47"/>
        <v>4511243</v>
      </c>
      <c r="F88" s="303">
        <f>(2311800+2069300)+75100+16500+500+38043</f>
        <v>4511243</v>
      </c>
      <c r="G88" s="303">
        <f>(1573500+1265000)+75100</f>
        <v>2913600</v>
      </c>
      <c r="H88" s="303">
        <f>(177900+114500)+500</f>
        <v>292900</v>
      </c>
      <c r="I88" s="303"/>
      <c r="J88" s="303">
        <f t="shared" si="48"/>
        <v>418700</v>
      </c>
      <c r="K88" s="303"/>
      <c r="L88" s="303"/>
      <c r="M88" s="303"/>
      <c r="N88" s="303">
        <f>O88</f>
        <v>418700</v>
      </c>
      <c r="O88" s="303">
        <f>(170000)+236700+12000</f>
        <v>418700</v>
      </c>
      <c r="P88" s="303">
        <f t="shared" si="49"/>
        <v>4929943</v>
      </c>
    </row>
    <row r="89" spans="1:16" ht="366">
      <c r="A89" s="394" t="s">
        <v>514</v>
      </c>
      <c r="B89" s="394" t="s">
        <v>515</v>
      </c>
      <c r="C89" s="394" t="s">
        <v>387</v>
      </c>
      <c r="D89" s="394" t="s">
        <v>682</v>
      </c>
      <c r="E89" s="57">
        <f t="shared" si="47"/>
        <v>1375600</v>
      </c>
      <c r="F89" s="303">
        <f>1375600+240000-240000</f>
        <v>1375600</v>
      </c>
      <c r="G89" s="298"/>
      <c r="H89" s="298"/>
      <c r="I89" s="303"/>
      <c r="J89" s="57">
        <f t="shared" si="48"/>
        <v>0</v>
      </c>
      <c r="K89" s="303">
        <v>0</v>
      </c>
      <c r="L89" s="298"/>
      <c r="M89" s="298"/>
      <c r="N89" s="303">
        <f>O89</f>
        <v>0</v>
      </c>
      <c r="O89" s="298">
        <v>0</v>
      </c>
      <c r="P89" s="57">
        <f>+J89+E89</f>
        <v>1375600</v>
      </c>
    </row>
    <row r="90" spans="1:16" ht="91.5">
      <c r="A90" s="394" t="s">
        <v>683</v>
      </c>
      <c r="B90" s="394" t="s">
        <v>684</v>
      </c>
      <c r="C90" s="394"/>
      <c r="D90" s="394" t="s">
        <v>685</v>
      </c>
      <c r="E90" s="57">
        <f t="shared" ref="E90" si="61">F90</f>
        <v>123527</v>
      </c>
      <c r="F90" s="303">
        <f>SUM(F91:F92)</f>
        <v>123527</v>
      </c>
      <c r="G90" s="298"/>
      <c r="H90" s="298"/>
      <c r="I90" s="303"/>
      <c r="J90" s="57">
        <f t="shared" ref="J90" si="62">K90+N90</f>
        <v>0</v>
      </c>
      <c r="K90" s="303">
        <v>0</v>
      </c>
      <c r="L90" s="298"/>
      <c r="M90" s="298"/>
      <c r="N90" s="303">
        <f>O90</f>
        <v>0</v>
      </c>
      <c r="O90" s="298">
        <v>0</v>
      </c>
      <c r="P90" s="57">
        <f>+J90+E90</f>
        <v>123527</v>
      </c>
    </row>
    <row r="91" spans="1:16" ht="228.75">
      <c r="A91" s="217" t="s">
        <v>686</v>
      </c>
      <c r="B91" s="217" t="s">
        <v>687</v>
      </c>
      <c r="C91" s="217" t="s">
        <v>387</v>
      </c>
      <c r="D91" s="217" t="s">
        <v>765</v>
      </c>
      <c r="E91" s="303">
        <f t="shared" si="47"/>
        <v>123359</v>
      </c>
      <c r="F91" s="303">
        <v>123359</v>
      </c>
      <c r="G91" s="303"/>
      <c r="H91" s="303"/>
      <c r="I91" s="303"/>
      <c r="J91" s="303">
        <f t="shared" si="48"/>
        <v>0</v>
      </c>
      <c r="K91" s="303"/>
      <c r="L91" s="303"/>
      <c r="M91" s="303"/>
      <c r="N91" s="303">
        <f t="shared" ref="N91:N95" si="63">O91</f>
        <v>0</v>
      </c>
      <c r="O91" s="298"/>
      <c r="P91" s="303">
        <f>+J91+E91</f>
        <v>123359</v>
      </c>
    </row>
    <row r="92" spans="1:16" ht="112.5" customHeight="1">
      <c r="A92" s="217" t="s">
        <v>688</v>
      </c>
      <c r="B92" s="217" t="s">
        <v>689</v>
      </c>
      <c r="C92" s="217" t="s">
        <v>387</v>
      </c>
      <c r="D92" s="217" t="s">
        <v>766</v>
      </c>
      <c r="E92" s="303">
        <f t="shared" si="47"/>
        <v>168</v>
      </c>
      <c r="F92" s="303">
        <v>168</v>
      </c>
      <c r="G92" s="303"/>
      <c r="H92" s="303"/>
      <c r="I92" s="303"/>
      <c r="J92" s="303">
        <f t="shared" si="48"/>
        <v>0</v>
      </c>
      <c r="K92" s="303"/>
      <c r="L92" s="303"/>
      <c r="M92" s="303"/>
      <c r="N92" s="303">
        <f t="shared" si="63"/>
        <v>0</v>
      </c>
      <c r="O92" s="298"/>
      <c r="P92" s="303">
        <f>+J92+E92</f>
        <v>168</v>
      </c>
    </row>
    <row r="93" spans="1:16" ht="320.25">
      <c r="A93" s="394" t="s">
        <v>769</v>
      </c>
      <c r="B93" s="394" t="s">
        <v>768</v>
      </c>
      <c r="C93" s="394" t="s">
        <v>120</v>
      </c>
      <c r="D93" s="394" t="s">
        <v>767</v>
      </c>
      <c r="E93" s="57">
        <f t="shared" ref="E93" si="64">F93</f>
        <v>2026990</v>
      </c>
      <c r="F93" s="303">
        <v>2026990</v>
      </c>
      <c r="G93" s="298">
        <f t="shared" ref="G93:H94" si="65">G94</f>
        <v>0</v>
      </c>
      <c r="H93" s="298">
        <f t="shared" si="65"/>
        <v>0</v>
      </c>
      <c r="I93" s="303"/>
      <c r="J93" s="57">
        <f t="shared" ref="J93" si="66">K93+N93</f>
        <v>0</v>
      </c>
      <c r="K93" s="303">
        <f t="shared" ref="K93:M94" si="67">K94</f>
        <v>0</v>
      </c>
      <c r="L93" s="298">
        <f t="shared" si="67"/>
        <v>0</v>
      </c>
      <c r="M93" s="298">
        <f t="shared" si="67"/>
        <v>0</v>
      </c>
      <c r="N93" s="303">
        <f t="shared" ref="N93" si="68">O93</f>
        <v>0</v>
      </c>
      <c r="O93" s="298">
        <f>O94</f>
        <v>0</v>
      </c>
      <c r="P93" s="57">
        <f>E93+J93</f>
        <v>2026990</v>
      </c>
    </row>
    <row r="94" spans="1:16" ht="91.5">
      <c r="A94" s="394" t="s">
        <v>690</v>
      </c>
      <c r="B94" s="394" t="s">
        <v>691</v>
      </c>
      <c r="C94" s="394"/>
      <c r="D94" s="218" t="s">
        <v>50</v>
      </c>
      <c r="E94" s="57">
        <f t="shared" si="47"/>
        <v>400000</v>
      </c>
      <c r="F94" s="303">
        <f>F95</f>
        <v>400000</v>
      </c>
      <c r="G94" s="298">
        <f t="shared" si="65"/>
        <v>0</v>
      </c>
      <c r="H94" s="298">
        <f t="shared" si="65"/>
        <v>0</v>
      </c>
      <c r="I94" s="303"/>
      <c r="J94" s="57">
        <f t="shared" si="48"/>
        <v>0</v>
      </c>
      <c r="K94" s="303">
        <f t="shared" si="67"/>
        <v>0</v>
      </c>
      <c r="L94" s="298">
        <f t="shared" si="67"/>
        <v>0</v>
      </c>
      <c r="M94" s="298">
        <f t="shared" si="67"/>
        <v>0</v>
      </c>
      <c r="N94" s="303">
        <f t="shared" si="63"/>
        <v>0</v>
      </c>
      <c r="O94" s="298">
        <f>O95</f>
        <v>0</v>
      </c>
      <c r="P94" s="57">
        <f>E94+J94</f>
        <v>400000</v>
      </c>
    </row>
    <row r="95" spans="1:16" ht="228.75">
      <c r="A95" s="217" t="s">
        <v>692</v>
      </c>
      <c r="B95" s="217" t="s">
        <v>693</v>
      </c>
      <c r="C95" s="217" t="s">
        <v>395</v>
      </c>
      <c r="D95" s="217" t="s">
        <v>770</v>
      </c>
      <c r="E95" s="303">
        <f t="shared" ref="E95:E101" si="69">F95</f>
        <v>400000</v>
      </c>
      <c r="F95" s="303">
        <v>400000</v>
      </c>
      <c r="G95" s="303"/>
      <c r="H95" s="303"/>
      <c r="I95" s="303"/>
      <c r="J95" s="303">
        <f t="shared" ref="J95:J101" si="70">K95+N95</f>
        <v>0</v>
      </c>
      <c r="K95" s="303"/>
      <c r="L95" s="303"/>
      <c r="M95" s="303"/>
      <c r="N95" s="303">
        <f t="shared" si="63"/>
        <v>0</v>
      </c>
      <c r="O95" s="298"/>
      <c r="P95" s="303">
        <f>E95+J95</f>
        <v>400000</v>
      </c>
    </row>
    <row r="96" spans="1:16">
      <c r="A96" s="565" t="s">
        <v>513</v>
      </c>
      <c r="B96" s="565" t="s">
        <v>372</v>
      </c>
      <c r="C96" s="565" t="s">
        <v>363</v>
      </c>
      <c r="D96" s="398" t="s">
        <v>694</v>
      </c>
      <c r="E96" s="561">
        <f>F96</f>
        <v>851000</v>
      </c>
      <c r="F96" s="563">
        <v>851000</v>
      </c>
      <c r="G96" s="563"/>
      <c r="H96" s="563"/>
      <c r="I96" s="563"/>
      <c r="J96" s="561">
        <f>K96+N96</f>
        <v>0</v>
      </c>
      <c r="K96" s="563"/>
      <c r="L96" s="563"/>
      <c r="M96" s="563"/>
      <c r="N96" s="563">
        <f>O96</f>
        <v>0</v>
      </c>
      <c r="O96" s="563"/>
      <c r="P96" s="561">
        <f>E96+J96</f>
        <v>851000</v>
      </c>
    </row>
    <row r="97" spans="1:16" ht="327.75" customHeight="1">
      <c r="A97" s="562"/>
      <c r="B97" s="562"/>
      <c r="C97" s="562"/>
      <c r="D97" s="399" t="s">
        <v>695</v>
      </c>
      <c r="E97" s="562"/>
      <c r="F97" s="564"/>
      <c r="G97" s="562"/>
      <c r="H97" s="562"/>
      <c r="I97" s="564"/>
      <c r="J97" s="562"/>
      <c r="K97" s="564"/>
      <c r="L97" s="562"/>
      <c r="M97" s="562"/>
      <c r="N97" s="564"/>
      <c r="O97" s="562"/>
      <c r="P97" s="562"/>
    </row>
    <row r="98" spans="1:16" ht="46.5">
      <c r="A98" s="394" t="s">
        <v>698</v>
      </c>
      <c r="B98" s="394" t="s">
        <v>699</v>
      </c>
      <c r="C98" s="394"/>
      <c r="D98" s="394" t="s">
        <v>374</v>
      </c>
      <c r="E98" s="57">
        <f t="shared" si="69"/>
        <v>24359700</v>
      </c>
      <c r="F98" s="303">
        <f>F99+F100</f>
        <v>24359700</v>
      </c>
      <c r="G98" s="213">
        <f>G99+G100</f>
        <v>2035400</v>
      </c>
      <c r="H98" s="213">
        <f>H99+H100</f>
        <v>330200</v>
      </c>
      <c r="I98" s="62"/>
      <c r="J98" s="57">
        <f t="shared" si="70"/>
        <v>505800</v>
      </c>
      <c r="K98" s="303">
        <f>K99+K100</f>
        <v>0</v>
      </c>
      <c r="L98" s="213">
        <f>L99+L100</f>
        <v>0</v>
      </c>
      <c r="M98" s="213">
        <f>M99+M100</f>
        <v>0</v>
      </c>
      <c r="N98" s="62">
        <f>N99+N100</f>
        <v>505800</v>
      </c>
      <c r="O98" s="213">
        <f>O99+O100</f>
        <v>505800</v>
      </c>
      <c r="P98" s="57">
        <f>E98+J98</f>
        <v>24865500</v>
      </c>
    </row>
    <row r="99" spans="1:16" ht="183">
      <c r="A99" s="217" t="s">
        <v>696</v>
      </c>
      <c r="B99" s="217" t="s">
        <v>700</v>
      </c>
      <c r="C99" s="217" t="s">
        <v>373</v>
      </c>
      <c r="D99" s="401" t="s">
        <v>702</v>
      </c>
      <c r="E99" s="303">
        <f t="shared" si="69"/>
        <v>3358400</v>
      </c>
      <c r="F99" s="303">
        <f>(5404100-2069300)+23600</f>
        <v>3358400</v>
      </c>
      <c r="G99" s="62">
        <f>3300400-1265000</f>
        <v>2035400</v>
      </c>
      <c r="H99" s="62">
        <f>444700-114500</f>
        <v>330200</v>
      </c>
      <c r="I99" s="303"/>
      <c r="J99" s="303">
        <f t="shared" si="70"/>
        <v>105800</v>
      </c>
      <c r="K99" s="303"/>
      <c r="L99" s="303"/>
      <c r="M99" s="303"/>
      <c r="N99" s="303">
        <f t="shared" ref="N99:N102" si="71">O99</f>
        <v>105800</v>
      </c>
      <c r="O99" s="303">
        <f>24000+81800</f>
        <v>105800</v>
      </c>
      <c r="P99" s="303">
        <f t="shared" ref="P99:P100" si="72">E99+J99</f>
        <v>3464200</v>
      </c>
    </row>
    <row r="100" spans="1:16" ht="137.25">
      <c r="A100" s="217" t="s">
        <v>697</v>
      </c>
      <c r="B100" s="217" t="s">
        <v>701</v>
      </c>
      <c r="C100" s="217" t="s">
        <v>373</v>
      </c>
      <c r="D100" s="401" t="s">
        <v>703</v>
      </c>
      <c r="E100" s="303">
        <f t="shared" si="69"/>
        <v>21001300</v>
      </c>
      <c r="F100" s="303">
        <f>(19868590+12285300-12285300-2026990)+3159700</f>
        <v>21001300</v>
      </c>
      <c r="G100" s="303"/>
      <c r="H100" s="303"/>
      <c r="I100" s="303"/>
      <c r="J100" s="303">
        <f t="shared" si="70"/>
        <v>400000</v>
      </c>
      <c r="K100" s="303"/>
      <c r="L100" s="303"/>
      <c r="M100" s="303"/>
      <c r="N100" s="303">
        <f t="shared" si="71"/>
        <v>400000</v>
      </c>
      <c r="O100" s="303">
        <v>400000</v>
      </c>
      <c r="P100" s="303">
        <f t="shared" si="72"/>
        <v>21401300</v>
      </c>
    </row>
    <row r="101" spans="1:16" ht="91.5">
      <c r="A101" s="501" t="s">
        <v>855</v>
      </c>
      <c r="B101" s="501" t="s">
        <v>720</v>
      </c>
      <c r="C101" s="501"/>
      <c r="D101" s="501" t="s">
        <v>856</v>
      </c>
      <c r="E101" s="502">
        <f t="shared" si="69"/>
        <v>0</v>
      </c>
      <c r="F101" s="303">
        <f>F102</f>
        <v>0</v>
      </c>
      <c r="G101" s="298">
        <f t="shared" ref="G101:H101" si="73">G102</f>
        <v>0</v>
      </c>
      <c r="H101" s="298">
        <f t="shared" si="73"/>
        <v>0</v>
      </c>
      <c r="I101" s="303"/>
      <c r="J101" s="502">
        <f t="shared" si="70"/>
        <v>2500000</v>
      </c>
      <c r="K101" s="303">
        <f t="shared" ref="K101:M101" si="74">K102</f>
        <v>0</v>
      </c>
      <c r="L101" s="298">
        <f t="shared" si="74"/>
        <v>0</v>
      </c>
      <c r="M101" s="298">
        <f t="shared" si="74"/>
        <v>0</v>
      </c>
      <c r="N101" s="303">
        <f t="shared" si="71"/>
        <v>2500000</v>
      </c>
      <c r="O101" s="298">
        <f>O102</f>
        <v>2500000</v>
      </c>
      <c r="P101" s="502">
        <f>E101+J101</f>
        <v>2500000</v>
      </c>
    </row>
    <row r="102" spans="1:16" ht="137.25">
      <c r="A102" s="217" t="s">
        <v>859</v>
      </c>
      <c r="B102" s="217" t="s">
        <v>857</v>
      </c>
      <c r="C102" s="217" t="s">
        <v>722</v>
      </c>
      <c r="D102" s="401" t="s">
        <v>858</v>
      </c>
      <c r="E102" s="303">
        <f t="shared" ref="E102" si="75">F102</f>
        <v>0</v>
      </c>
      <c r="F102" s="303"/>
      <c r="G102" s="303"/>
      <c r="H102" s="303"/>
      <c r="I102" s="303"/>
      <c r="J102" s="303">
        <f t="shared" ref="J102" si="76">K102+N102</f>
        <v>2500000</v>
      </c>
      <c r="K102" s="303"/>
      <c r="L102" s="303"/>
      <c r="M102" s="303"/>
      <c r="N102" s="303">
        <f t="shared" si="71"/>
        <v>2500000</v>
      </c>
      <c r="O102" s="298">
        <v>2500000</v>
      </c>
      <c r="P102" s="303">
        <f>E102+J102</f>
        <v>2500000</v>
      </c>
    </row>
    <row r="103" spans="1:16" ht="135">
      <c r="A103" s="479">
        <v>1000000</v>
      </c>
      <c r="B103" s="479"/>
      <c r="C103" s="479"/>
      <c r="D103" s="433" t="s">
        <v>68</v>
      </c>
      <c r="E103" s="436">
        <f>E104</f>
        <v>72111900</v>
      </c>
      <c r="F103" s="436">
        <f t="shared" ref="F103:P103" si="77">F104</f>
        <v>72111900</v>
      </c>
      <c r="G103" s="436">
        <f t="shared" si="77"/>
        <v>50790400</v>
      </c>
      <c r="H103" s="436">
        <f t="shared" si="77"/>
        <v>3320500</v>
      </c>
      <c r="I103" s="436">
        <f t="shared" si="77"/>
        <v>0</v>
      </c>
      <c r="J103" s="436">
        <f t="shared" si="77"/>
        <v>15521220</v>
      </c>
      <c r="K103" s="436">
        <f t="shared" si="77"/>
        <v>6593800</v>
      </c>
      <c r="L103" s="436">
        <f t="shared" si="77"/>
        <v>4801700</v>
      </c>
      <c r="M103" s="436">
        <f t="shared" si="77"/>
        <v>184500</v>
      </c>
      <c r="N103" s="436">
        <f t="shared" si="77"/>
        <v>8927420</v>
      </c>
      <c r="O103" s="435">
        <f t="shared" si="77"/>
        <v>8859520</v>
      </c>
      <c r="P103" s="436">
        <f t="shared" si="77"/>
        <v>87633120</v>
      </c>
    </row>
    <row r="104" spans="1:16" ht="180">
      <c r="A104" s="480">
        <v>1010000</v>
      </c>
      <c r="B104" s="480"/>
      <c r="C104" s="480"/>
      <c r="D104" s="434" t="s">
        <v>96</v>
      </c>
      <c r="E104" s="435">
        <f>E106+E107+E108+E109+E105+E111+E110+E114</f>
        <v>72111900</v>
      </c>
      <c r="F104" s="436">
        <f>F106+F107+F108+F109+F105+F111+F110+F114</f>
        <v>72111900</v>
      </c>
      <c r="G104" s="435">
        <f>G106+G107+G108+G109+G105+G111+G110+G114</f>
        <v>50790400</v>
      </c>
      <c r="H104" s="435">
        <f>H106+H107+H108+H109+H105+H111+H110+H114</f>
        <v>3320500</v>
      </c>
      <c r="I104" s="436">
        <v>0</v>
      </c>
      <c r="J104" s="435">
        <f t="shared" ref="J104:J110" si="78">K104+N104</f>
        <v>15521220</v>
      </c>
      <c r="K104" s="436">
        <f>K106+K107+K108+K109+K105+K111+K110+K114</f>
        <v>6593800</v>
      </c>
      <c r="L104" s="435">
        <f>L106+L107+L108+L109+L105+L111+L110+L114</f>
        <v>4801700</v>
      </c>
      <c r="M104" s="435">
        <f>M106+M107+M108+M109+M105+M111+M110+M114</f>
        <v>184500</v>
      </c>
      <c r="N104" s="436">
        <f>N106+N107+N108+N109+N105+N111+N110+N114</f>
        <v>8927420</v>
      </c>
      <c r="O104" s="435">
        <f>O106+O107+O108+O109+O105+O111+O110+O114</f>
        <v>8859520</v>
      </c>
      <c r="P104" s="435">
        <f t="shared" ref="P104:P109" si="79">E104+J104</f>
        <v>87633120</v>
      </c>
    </row>
    <row r="105" spans="1:16" ht="228.75">
      <c r="A105" s="394" t="s">
        <v>49</v>
      </c>
      <c r="B105" s="394" t="s">
        <v>353</v>
      </c>
      <c r="C105" s="394" t="s">
        <v>354</v>
      </c>
      <c r="D105" s="394" t="s">
        <v>352</v>
      </c>
      <c r="E105" s="57">
        <f>F105</f>
        <v>41628400</v>
      </c>
      <c r="F105" s="303">
        <f>(41587600)+40800</f>
        <v>41628400</v>
      </c>
      <c r="G105" s="298">
        <v>32071000</v>
      </c>
      <c r="H105" s="298">
        <v>1995800</v>
      </c>
      <c r="I105" s="303"/>
      <c r="J105" s="57">
        <f>K105+N105</f>
        <v>7724100</v>
      </c>
      <c r="K105" s="303">
        <v>6080900</v>
      </c>
      <c r="L105" s="298">
        <v>4609600</v>
      </c>
      <c r="M105" s="298">
        <v>126600</v>
      </c>
      <c r="N105" s="303">
        <f>O105+36200</f>
        <v>1643200</v>
      </c>
      <c r="O105" s="298">
        <v>1607000</v>
      </c>
      <c r="P105" s="57">
        <f>E105+J105</f>
        <v>49352500</v>
      </c>
    </row>
    <row r="106" spans="1:16" ht="46.5">
      <c r="A106" s="248" t="s">
        <v>335</v>
      </c>
      <c r="B106" s="248" t="s">
        <v>336</v>
      </c>
      <c r="C106" s="248" t="s">
        <v>340</v>
      </c>
      <c r="D106" s="286" t="s">
        <v>341</v>
      </c>
      <c r="E106" s="57">
        <f t="shared" ref="E106:E110" si="80">F106</f>
        <v>623000</v>
      </c>
      <c r="F106" s="303">
        <v>623000</v>
      </c>
      <c r="G106" s="247"/>
      <c r="H106" s="247"/>
      <c r="I106" s="303"/>
      <c r="J106" s="57">
        <f t="shared" si="78"/>
        <v>0</v>
      </c>
      <c r="K106" s="303"/>
      <c r="L106" s="247"/>
      <c r="M106" s="247"/>
      <c r="N106" s="303">
        <f t="shared" ref="N106:N108" si="81">O106</f>
        <v>0</v>
      </c>
      <c r="O106" s="247"/>
      <c r="P106" s="57">
        <f t="shared" si="79"/>
        <v>623000</v>
      </c>
    </row>
    <row r="107" spans="1:16" ht="46.5">
      <c r="A107" s="248" t="s">
        <v>342</v>
      </c>
      <c r="B107" s="248" t="s">
        <v>343</v>
      </c>
      <c r="C107" s="248" t="s">
        <v>344</v>
      </c>
      <c r="D107" s="286" t="s">
        <v>345</v>
      </c>
      <c r="E107" s="57">
        <f t="shared" si="80"/>
        <v>7110500</v>
      </c>
      <c r="F107" s="303">
        <v>7110500</v>
      </c>
      <c r="G107" s="247">
        <v>5288800</v>
      </c>
      <c r="H107" s="247">
        <v>477900</v>
      </c>
      <c r="I107" s="303"/>
      <c r="J107" s="57">
        <f t="shared" si="78"/>
        <v>610000</v>
      </c>
      <c r="K107" s="303">
        <v>80000</v>
      </c>
      <c r="L107" s="247">
        <v>9800</v>
      </c>
      <c r="M107" s="247">
        <v>18500</v>
      </c>
      <c r="N107" s="303">
        <f t="shared" si="81"/>
        <v>530000</v>
      </c>
      <c r="O107" s="247">
        <f>(0)+530000</f>
        <v>530000</v>
      </c>
      <c r="P107" s="57">
        <f t="shared" si="79"/>
        <v>7720500</v>
      </c>
    </row>
    <row r="108" spans="1:16" ht="91.5">
      <c r="A108" s="248" t="s">
        <v>346</v>
      </c>
      <c r="B108" s="248" t="s">
        <v>347</v>
      </c>
      <c r="C108" s="248" t="s">
        <v>344</v>
      </c>
      <c r="D108" s="286" t="s">
        <v>348</v>
      </c>
      <c r="E108" s="57">
        <f t="shared" si="80"/>
        <v>1097900</v>
      </c>
      <c r="F108" s="303">
        <v>1097900</v>
      </c>
      <c r="G108" s="247">
        <v>672100</v>
      </c>
      <c r="H108" s="247">
        <v>208000</v>
      </c>
      <c r="I108" s="303"/>
      <c r="J108" s="57">
        <f t="shared" si="78"/>
        <v>3492820</v>
      </c>
      <c r="K108" s="303">
        <v>70100</v>
      </c>
      <c r="L108" s="247">
        <v>6100</v>
      </c>
      <c r="M108" s="247">
        <v>3200</v>
      </c>
      <c r="N108" s="303">
        <f t="shared" si="81"/>
        <v>3422720</v>
      </c>
      <c r="O108" s="247">
        <f>(3000000)+422720</f>
        <v>3422720</v>
      </c>
      <c r="P108" s="57">
        <f t="shared" si="79"/>
        <v>4590720</v>
      </c>
    </row>
    <row r="109" spans="1:16" ht="183">
      <c r="A109" s="394" t="s">
        <v>349</v>
      </c>
      <c r="B109" s="394" t="s">
        <v>337</v>
      </c>
      <c r="C109" s="394" t="s">
        <v>350</v>
      </c>
      <c r="D109" s="394" t="s">
        <v>351</v>
      </c>
      <c r="E109" s="57">
        <f t="shared" si="80"/>
        <v>5268100</v>
      </c>
      <c r="F109" s="303">
        <v>5268100</v>
      </c>
      <c r="G109" s="298">
        <v>3736300</v>
      </c>
      <c r="H109" s="298">
        <v>604100</v>
      </c>
      <c r="I109" s="303"/>
      <c r="J109" s="57">
        <f t="shared" si="78"/>
        <v>3520000</v>
      </c>
      <c r="K109" s="303">
        <v>303000</v>
      </c>
      <c r="L109" s="298">
        <v>172700</v>
      </c>
      <c r="M109" s="298">
        <v>36200</v>
      </c>
      <c r="N109" s="303">
        <f>O109+31700</f>
        <v>3217000</v>
      </c>
      <c r="O109" s="298">
        <f>(1229800)+1955500</f>
        <v>3185300</v>
      </c>
      <c r="P109" s="57">
        <f t="shared" si="79"/>
        <v>8788100</v>
      </c>
    </row>
    <row r="110" spans="1:16" ht="91.5">
      <c r="A110" s="463" t="s">
        <v>835</v>
      </c>
      <c r="B110" s="463" t="s">
        <v>836</v>
      </c>
      <c r="C110" s="463" t="s">
        <v>837</v>
      </c>
      <c r="D110" s="463" t="s">
        <v>834</v>
      </c>
      <c r="E110" s="464">
        <f t="shared" si="80"/>
        <v>60000</v>
      </c>
      <c r="F110" s="303">
        <v>60000</v>
      </c>
      <c r="G110" s="298"/>
      <c r="H110" s="298"/>
      <c r="I110" s="303"/>
      <c r="J110" s="464">
        <f t="shared" si="78"/>
        <v>0</v>
      </c>
      <c r="K110" s="303"/>
      <c r="L110" s="298"/>
      <c r="M110" s="298"/>
      <c r="N110" s="303">
        <f>O110</f>
        <v>0</v>
      </c>
      <c r="O110" s="298"/>
      <c r="P110" s="464">
        <f>E110+J110</f>
        <v>60000</v>
      </c>
    </row>
    <row r="111" spans="1:16" ht="91.5">
      <c r="A111" s="394" t="s">
        <v>356</v>
      </c>
      <c r="B111" s="394" t="s">
        <v>357</v>
      </c>
      <c r="C111" s="394"/>
      <c r="D111" s="394" t="s">
        <v>355</v>
      </c>
      <c r="E111" s="57">
        <f>F111</f>
        <v>16324000</v>
      </c>
      <c r="F111" s="303">
        <f>F112+F113</f>
        <v>16324000</v>
      </c>
      <c r="G111" s="298">
        <f>G112+G113</f>
        <v>9022200</v>
      </c>
      <c r="H111" s="298">
        <f>H112+H113</f>
        <v>34700</v>
      </c>
      <c r="I111" s="303"/>
      <c r="J111" s="57">
        <f>K111+N111</f>
        <v>147300</v>
      </c>
      <c r="K111" s="303">
        <f>K112+K113</f>
        <v>59800</v>
      </c>
      <c r="L111" s="298">
        <f>L112+L113</f>
        <v>3500</v>
      </c>
      <c r="M111" s="298">
        <f>M112+M113</f>
        <v>0</v>
      </c>
      <c r="N111" s="303">
        <f>N112+N113</f>
        <v>87500</v>
      </c>
      <c r="O111" s="298">
        <f>O112+O113</f>
        <v>87500</v>
      </c>
      <c r="P111" s="57">
        <f>E111+J111</f>
        <v>16471300</v>
      </c>
    </row>
    <row r="112" spans="1:16" ht="137.25">
      <c r="A112" s="217" t="s">
        <v>705</v>
      </c>
      <c r="B112" s="217" t="s">
        <v>706</v>
      </c>
      <c r="C112" s="217" t="s">
        <v>358</v>
      </c>
      <c r="D112" s="217" t="s">
        <v>704</v>
      </c>
      <c r="E112" s="303">
        <f>F112</f>
        <v>11589000</v>
      </c>
      <c r="F112" s="303">
        <f>(10587000)+1002000</f>
        <v>11589000</v>
      </c>
      <c r="G112" s="303">
        <f>(8201200)+821000</f>
        <v>9022200</v>
      </c>
      <c r="H112" s="303">
        <v>34700</v>
      </c>
      <c r="I112" s="303"/>
      <c r="J112" s="303">
        <f>K112+N112</f>
        <v>147300</v>
      </c>
      <c r="K112" s="303">
        <v>59800</v>
      </c>
      <c r="L112" s="303">
        <v>3500</v>
      </c>
      <c r="M112" s="303"/>
      <c r="N112" s="303">
        <f>O112</f>
        <v>87500</v>
      </c>
      <c r="O112" s="303">
        <f>(0)+87500</f>
        <v>87500</v>
      </c>
      <c r="P112" s="303">
        <f>E112+J112</f>
        <v>11736300</v>
      </c>
    </row>
    <row r="113" spans="1:16" ht="91.5">
      <c r="A113" s="217" t="s">
        <v>707</v>
      </c>
      <c r="B113" s="217" t="s">
        <v>708</v>
      </c>
      <c r="C113" s="217" t="s">
        <v>358</v>
      </c>
      <c r="D113" s="217" t="s">
        <v>709</v>
      </c>
      <c r="E113" s="303">
        <f>F113</f>
        <v>4735000</v>
      </c>
      <c r="F113" s="303">
        <f>(3600000)+1135000</f>
        <v>4735000</v>
      </c>
      <c r="G113" s="303"/>
      <c r="H113" s="303"/>
      <c r="I113" s="303"/>
      <c r="J113" s="303">
        <f>K113+N113</f>
        <v>0</v>
      </c>
      <c r="K113" s="303"/>
      <c r="L113" s="303"/>
      <c r="M113" s="303"/>
      <c r="N113" s="303">
        <f>O113</f>
        <v>0</v>
      </c>
      <c r="O113" s="303"/>
      <c r="P113" s="303">
        <f>E113+J113</f>
        <v>4735000</v>
      </c>
    </row>
    <row r="114" spans="1:16" ht="91.5">
      <c r="A114" s="463" t="s">
        <v>839</v>
      </c>
      <c r="B114" s="463" t="s">
        <v>383</v>
      </c>
      <c r="C114" s="463" t="s">
        <v>334</v>
      </c>
      <c r="D114" s="463" t="s">
        <v>838</v>
      </c>
      <c r="E114" s="464">
        <f t="shared" ref="E114" si="82">F114</f>
        <v>0</v>
      </c>
      <c r="F114" s="303"/>
      <c r="G114" s="298"/>
      <c r="H114" s="298"/>
      <c r="I114" s="303"/>
      <c r="J114" s="464">
        <f t="shared" ref="J114" si="83">K114+N114</f>
        <v>27000</v>
      </c>
      <c r="K114" s="303"/>
      <c r="L114" s="298"/>
      <c r="M114" s="298"/>
      <c r="N114" s="303">
        <f>O114</f>
        <v>27000</v>
      </c>
      <c r="O114" s="298">
        <v>27000</v>
      </c>
      <c r="P114" s="464">
        <f>E114+J114</f>
        <v>27000</v>
      </c>
    </row>
    <row r="115" spans="1:16" ht="135">
      <c r="A115" s="433" t="s">
        <v>65</v>
      </c>
      <c r="B115" s="433"/>
      <c r="C115" s="433"/>
      <c r="D115" s="433" t="s">
        <v>66</v>
      </c>
      <c r="E115" s="436">
        <f>E116</f>
        <v>37582757</v>
      </c>
      <c r="F115" s="436">
        <f t="shared" ref="F115:P115" si="84">F116</f>
        <v>37582757</v>
      </c>
      <c r="G115" s="436">
        <f t="shared" si="84"/>
        <v>14695777</v>
      </c>
      <c r="H115" s="436">
        <f t="shared" si="84"/>
        <v>1591457</v>
      </c>
      <c r="I115" s="436">
        <f t="shared" si="84"/>
        <v>0</v>
      </c>
      <c r="J115" s="436">
        <f t="shared" si="84"/>
        <v>7998728.3200000003</v>
      </c>
      <c r="K115" s="436">
        <f t="shared" si="84"/>
        <v>1892800</v>
      </c>
      <c r="L115" s="436">
        <f t="shared" si="84"/>
        <v>869800</v>
      </c>
      <c r="M115" s="436">
        <f t="shared" si="84"/>
        <v>318100</v>
      </c>
      <c r="N115" s="436">
        <f t="shared" si="84"/>
        <v>6105928.3200000003</v>
      </c>
      <c r="O115" s="435">
        <f t="shared" si="84"/>
        <v>6060428.3200000003</v>
      </c>
      <c r="P115" s="436">
        <f t="shared" si="84"/>
        <v>45581485.32</v>
      </c>
    </row>
    <row r="116" spans="1:16" ht="135">
      <c r="A116" s="434" t="s">
        <v>64</v>
      </c>
      <c r="B116" s="434"/>
      <c r="C116" s="434"/>
      <c r="D116" s="434" t="s">
        <v>92</v>
      </c>
      <c r="E116" s="435">
        <f>E117+E119+E123+E126+E128+E131+E136+E134</f>
        <v>37582757</v>
      </c>
      <c r="F116" s="436">
        <f>F117+F119+F123+F126+F128+F131+F136+F134</f>
        <v>37582757</v>
      </c>
      <c r="G116" s="435">
        <f>G117+G119+G123+G126+G128+G131+G136</f>
        <v>14695777</v>
      </c>
      <c r="H116" s="435">
        <f>H117+H119+H123+H126+H128+H131+H136</f>
        <v>1591457</v>
      </c>
      <c r="I116" s="436">
        <f>I117+I119+I123+I126+I128+I131+I136</f>
        <v>0</v>
      </c>
      <c r="J116" s="450">
        <f t="shared" ref="J116:J130" si="85">K116+N116</f>
        <v>7998728.3200000003</v>
      </c>
      <c r="K116" s="436">
        <f>K117+K119+K123+K126+K128+K131+K136</f>
        <v>1892800</v>
      </c>
      <c r="L116" s="435">
        <f>L117+L119+L123+L126+L128+L131+L136</f>
        <v>869800</v>
      </c>
      <c r="M116" s="435">
        <f>M117+M119+M123+M126+M128+M131+M136</f>
        <v>318100</v>
      </c>
      <c r="N116" s="436">
        <f>N117+N119+N123+N126+N128+N131+N136</f>
        <v>6105928.3200000003</v>
      </c>
      <c r="O116" s="435">
        <f>O117+O119+O123+O126+O128+O131+O136</f>
        <v>6060428.3200000003</v>
      </c>
      <c r="P116" s="435">
        <f>E116+J116</f>
        <v>45581485.32</v>
      </c>
    </row>
    <row r="117" spans="1:16" ht="137.25">
      <c r="A117" s="248" t="s">
        <v>359</v>
      </c>
      <c r="B117" s="248" t="s">
        <v>360</v>
      </c>
      <c r="C117" s="248"/>
      <c r="D117" s="286" t="s">
        <v>109</v>
      </c>
      <c r="E117" s="212">
        <f t="shared" ref="E117:E122" si="86">F117</f>
        <v>2670218</v>
      </c>
      <c r="F117" s="303">
        <f>F118</f>
        <v>2670218</v>
      </c>
      <c r="G117" s="247">
        <f>G118</f>
        <v>2040830</v>
      </c>
      <c r="H117" s="247">
        <f>H118</f>
        <v>69750</v>
      </c>
      <c r="I117" s="303">
        <f>I118</f>
        <v>0</v>
      </c>
      <c r="J117" s="212">
        <f t="shared" si="85"/>
        <v>153092</v>
      </c>
      <c r="K117" s="303">
        <f>K118</f>
        <v>0</v>
      </c>
      <c r="L117" s="247">
        <f>L118</f>
        <v>0</v>
      </c>
      <c r="M117" s="247">
        <f>M118</f>
        <v>0</v>
      </c>
      <c r="N117" s="214">
        <f>O117</f>
        <v>153092</v>
      </c>
      <c r="O117" s="298">
        <f>O118</f>
        <v>153092</v>
      </c>
      <c r="P117" s="57">
        <f>+J117+E117</f>
        <v>2823310</v>
      </c>
    </row>
    <row r="118" spans="1:16" ht="137.25">
      <c r="A118" s="217" t="s">
        <v>361</v>
      </c>
      <c r="B118" s="217" t="s">
        <v>362</v>
      </c>
      <c r="C118" s="217" t="s">
        <v>363</v>
      </c>
      <c r="D118" s="217" t="s">
        <v>364</v>
      </c>
      <c r="E118" s="62">
        <f t="shared" si="86"/>
        <v>2670218</v>
      </c>
      <c r="F118" s="62">
        <f>(2411785)+258433</f>
        <v>2670218</v>
      </c>
      <c r="G118" s="62">
        <f>(1829000)+211830</f>
        <v>2040830</v>
      </c>
      <c r="H118" s="62">
        <v>69750</v>
      </c>
      <c r="I118" s="62"/>
      <c r="J118" s="62">
        <f t="shared" si="85"/>
        <v>153092</v>
      </c>
      <c r="K118" s="214"/>
      <c r="L118" s="214"/>
      <c r="M118" s="214"/>
      <c r="N118" s="214">
        <f>O118</f>
        <v>153092</v>
      </c>
      <c r="O118" s="219">
        <f>(0)+153092</f>
        <v>153092</v>
      </c>
      <c r="P118" s="246">
        <f>+J118+E118</f>
        <v>2823310</v>
      </c>
    </row>
    <row r="119" spans="1:16" ht="91.5">
      <c r="A119" s="248" t="s">
        <v>108</v>
      </c>
      <c r="B119" s="248" t="s">
        <v>338</v>
      </c>
      <c r="C119" s="248"/>
      <c r="D119" s="286" t="s">
        <v>78</v>
      </c>
      <c r="E119" s="212">
        <f t="shared" si="86"/>
        <v>4380097</v>
      </c>
      <c r="F119" s="62">
        <f>F120+F121+F122</f>
        <v>4380097</v>
      </c>
      <c r="G119" s="62">
        <f>G120+G121</f>
        <v>1397600</v>
      </c>
      <c r="H119" s="213">
        <f>H120+H121</f>
        <v>497977</v>
      </c>
      <c r="I119" s="62">
        <f>I120+I121</f>
        <v>0</v>
      </c>
      <c r="J119" s="212">
        <f t="shared" si="85"/>
        <v>956872</v>
      </c>
      <c r="K119" s="62">
        <f>K120+K121+K122</f>
        <v>320000</v>
      </c>
      <c r="L119" s="213">
        <f>L120+L121</f>
        <v>148900</v>
      </c>
      <c r="M119" s="213">
        <f>M120+M121</f>
        <v>95400</v>
      </c>
      <c r="N119" s="214">
        <f t="shared" ref="N119:N130" si="87">O119</f>
        <v>636872</v>
      </c>
      <c r="O119" s="213">
        <f>O120+O121+O122</f>
        <v>636872</v>
      </c>
      <c r="P119" s="57">
        <f>+J119+E119</f>
        <v>5336969</v>
      </c>
    </row>
    <row r="120" spans="1:16" ht="183">
      <c r="A120" s="217" t="s">
        <v>107</v>
      </c>
      <c r="B120" s="217" t="s">
        <v>339</v>
      </c>
      <c r="C120" s="217" t="s">
        <v>363</v>
      </c>
      <c r="D120" s="217" t="s">
        <v>33</v>
      </c>
      <c r="E120" s="62">
        <f t="shared" si="86"/>
        <v>769000</v>
      </c>
      <c r="F120" s="62">
        <v>769000</v>
      </c>
      <c r="G120" s="62"/>
      <c r="H120" s="62"/>
      <c r="I120" s="62"/>
      <c r="J120" s="62">
        <f t="shared" si="85"/>
        <v>0</v>
      </c>
      <c r="K120" s="214"/>
      <c r="L120" s="214"/>
      <c r="M120" s="214"/>
      <c r="N120" s="214">
        <f t="shared" si="87"/>
        <v>0</v>
      </c>
      <c r="O120" s="214"/>
      <c r="P120" s="246">
        <f>+J120+E120</f>
        <v>769000</v>
      </c>
    </row>
    <row r="121" spans="1:16" ht="91.5">
      <c r="A121" s="217" t="s">
        <v>370</v>
      </c>
      <c r="B121" s="217" t="s">
        <v>371</v>
      </c>
      <c r="C121" s="217" t="s">
        <v>363</v>
      </c>
      <c r="D121" s="217" t="s">
        <v>34</v>
      </c>
      <c r="E121" s="62">
        <f t="shared" si="86"/>
        <v>2850097</v>
      </c>
      <c r="F121" s="62">
        <f>(2617077)+233020</f>
        <v>2850097</v>
      </c>
      <c r="G121" s="62">
        <v>1397600</v>
      </c>
      <c r="H121" s="62">
        <v>497977</v>
      </c>
      <c r="I121" s="62"/>
      <c r="J121" s="62">
        <f t="shared" si="85"/>
        <v>956872</v>
      </c>
      <c r="K121" s="214">
        <v>320000</v>
      </c>
      <c r="L121" s="214">
        <v>148900</v>
      </c>
      <c r="M121" s="214">
        <v>95400</v>
      </c>
      <c r="N121" s="214">
        <f t="shared" si="87"/>
        <v>636872</v>
      </c>
      <c r="O121" s="214">
        <f>(0)+636872</f>
        <v>636872</v>
      </c>
      <c r="P121" s="246">
        <f t="shared" ref="P121:P136" si="88">E121+J121</f>
        <v>3806969</v>
      </c>
    </row>
    <row r="122" spans="1:16" ht="91.5">
      <c r="A122" s="217" t="s">
        <v>780</v>
      </c>
      <c r="B122" s="217" t="s">
        <v>781</v>
      </c>
      <c r="C122" s="217" t="s">
        <v>363</v>
      </c>
      <c r="D122" s="217" t="s">
        <v>782</v>
      </c>
      <c r="E122" s="62">
        <f t="shared" si="86"/>
        <v>761000</v>
      </c>
      <c r="F122" s="62">
        <v>761000</v>
      </c>
      <c r="G122" s="62"/>
      <c r="H122" s="62"/>
      <c r="I122" s="62"/>
      <c r="J122" s="62">
        <f t="shared" si="85"/>
        <v>0</v>
      </c>
      <c r="K122" s="214"/>
      <c r="L122" s="214"/>
      <c r="M122" s="214"/>
      <c r="N122" s="214"/>
      <c r="O122" s="214"/>
      <c r="P122" s="303">
        <f t="shared" si="88"/>
        <v>761000</v>
      </c>
    </row>
    <row r="123" spans="1:16" ht="91.5">
      <c r="A123" s="248" t="s">
        <v>110</v>
      </c>
      <c r="B123" s="248" t="s">
        <v>365</v>
      </c>
      <c r="C123" s="248"/>
      <c r="D123" s="286" t="s">
        <v>111</v>
      </c>
      <c r="E123" s="212">
        <f t="shared" ref="E123:E132" si="89">F123</f>
        <v>9297100</v>
      </c>
      <c r="F123" s="62">
        <f>F124+F125</f>
        <v>9297100</v>
      </c>
      <c r="G123" s="62">
        <f>G124+G125</f>
        <v>0</v>
      </c>
      <c r="H123" s="62">
        <f>H124+H125</f>
        <v>0</v>
      </c>
      <c r="I123" s="220"/>
      <c r="J123" s="212">
        <f t="shared" si="85"/>
        <v>0</v>
      </c>
      <c r="K123" s="62">
        <f>K124+K125</f>
        <v>0</v>
      </c>
      <c r="L123" s="215"/>
      <c r="M123" s="215"/>
      <c r="N123" s="214">
        <f t="shared" si="87"/>
        <v>0</v>
      </c>
      <c r="O123" s="213">
        <f>O124+O125</f>
        <v>0</v>
      </c>
      <c r="P123" s="57">
        <f t="shared" si="88"/>
        <v>9297100</v>
      </c>
    </row>
    <row r="124" spans="1:16" ht="137.25">
      <c r="A124" s="217" t="s">
        <v>112</v>
      </c>
      <c r="B124" s="217" t="s">
        <v>366</v>
      </c>
      <c r="C124" s="217" t="s">
        <v>380</v>
      </c>
      <c r="D124" s="217" t="s">
        <v>113</v>
      </c>
      <c r="E124" s="62">
        <f t="shared" si="89"/>
        <v>7759900</v>
      </c>
      <c r="F124" s="62">
        <f>(7229900)+30000+500000</f>
        <v>7759900</v>
      </c>
      <c r="G124" s="246"/>
      <c r="H124" s="246"/>
      <c r="I124" s="303"/>
      <c r="J124" s="246">
        <f t="shared" si="85"/>
        <v>0</v>
      </c>
      <c r="K124" s="303"/>
      <c r="L124" s="246"/>
      <c r="M124" s="246"/>
      <c r="N124" s="214">
        <f t="shared" si="87"/>
        <v>0</v>
      </c>
      <c r="O124" s="298"/>
      <c r="P124" s="246">
        <f t="shared" si="88"/>
        <v>7759900</v>
      </c>
    </row>
    <row r="125" spans="1:16" ht="137.25">
      <c r="A125" s="217" t="s">
        <v>114</v>
      </c>
      <c r="B125" s="217" t="s">
        <v>367</v>
      </c>
      <c r="C125" s="217" t="s">
        <v>380</v>
      </c>
      <c r="D125" s="217" t="s">
        <v>11</v>
      </c>
      <c r="E125" s="62">
        <f t="shared" si="89"/>
        <v>1537200</v>
      </c>
      <c r="F125" s="62">
        <f>(1472200)+565000-500000</f>
        <v>1537200</v>
      </c>
      <c r="G125" s="246"/>
      <c r="H125" s="246"/>
      <c r="I125" s="303"/>
      <c r="J125" s="246">
        <f t="shared" si="85"/>
        <v>0</v>
      </c>
      <c r="K125" s="303"/>
      <c r="L125" s="246"/>
      <c r="M125" s="246"/>
      <c r="N125" s="214">
        <f t="shared" si="87"/>
        <v>0</v>
      </c>
      <c r="O125" s="298"/>
      <c r="P125" s="246">
        <f t="shared" si="88"/>
        <v>1537200</v>
      </c>
    </row>
    <row r="126" spans="1:16" ht="137.25">
      <c r="A126" s="248" t="s">
        <v>115</v>
      </c>
      <c r="B126" s="248" t="s">
        <v>368</v>
      </c>
      <c r="C126" s="394"/>
      <c r="D126" s="394" t="s">
        <v>771</v>
      </c>
      <c r="E126" s="212">
        <f t="shared" si="89"/>
        <v>11500</v>
      </c>
      <c r="F126" s="62">
        <f>F127</f>
        <v>11500</v>
      </c>
      <c r="G126" s="213">
        <f>G127</f>
        <v>0</v>
      </c>
      <c r="H126" s="213">
        <f>H127</f>
        <v>0</v>
      </c>
      <c r="I126" s="303"/>
      <c r="J126" s="57">
        <f t="shared" si="85"/>
        <v>0</v>
      </c>
      <c r="K126" s="62">
        <f>K127</f>
        <v>0</v>
      </c>
      <c r="L126" s="213">
        <f>L127</f>
        <v>0</v>
      </c>
      <c r="M126" s="213">
        <f>M127</f>
        <v>0</v>
      </c>
      <c r="N126" s="214">
        <f>N127</f>
        <v>0</v>
      </c>
      <c r="O126" s="213">
        <f>O127</f>
        <v>0</v>
      </c>
      <c r="P126" s="57">
        <f t="shared" si="88"/>
        <v>11500</v>
      </c>
    </row>
    <row r="127" spans="1:16" ht="183">
      <c r="A127" s="217" t="s">
        <v>116</v>
      </c>
      <c r="B127" s="217" t="s">
        <v>369</v>
      </c>
      <c r="C127" s="217" t="s">
        <v>380</v>
      </c>
      <c r="D127" s="217" t="s">
        <v>772</v>
      </c>
      <c r="E127" s="62">
        <f>F127</f>
        <v>11500</v>
      </c>
      <c r="F127" s="62">
        <v>11500</v>
      </c>
      <c r="G127" s="62"/>
      <c r="H127" s="62"/>
      <c r="I127" s="303"/>
      <c r="J127" s="246">
        <f t="shared" si="85"/>
        <v>0</v>
      </c>
      <c r="K127" s="62"/>
      <c r="L127" s="62"/>
      <c r="M127" s="62"/>
      <c r="N127" s="214">
        <f>N130</f>
        <v>0</v>
      </c>
      <c r="O127" s="62"/>
      <c r="P127" s="246">
        <f t="shared" si="88"/>
        <v>11500</v>
      </c>
    </row>
    <row r="128" spans="1:16" ht="91.5">
      <c r="A128" s="248" t="s">
        <v>80</v>
      </c>
      <c r="B128" s="248" t="s">
        <v>375</v>
      </c>
      <c r="C128" s="248"/>
      <c r="D128" s="286" t="s">
        <v>81</v>
      </c>
      <c r="E128" s="212">
        <f t="shared" si="89"/>
        <v>19741364</v>
      </c>
      <c r="F128" s="62">
        <f>F129+F130</f>
        <v>19741364</v>
      </c>
      <c r="G128" s="213">
        <f>G129+G130</f>
        <v>10666900</v>
      </c>
      <c r="H128" s="213">
        <f>H129+H130</f>
        <v>1023730</v>
      </c>
      <c r="I128" s="62">
        <f>I129+I130</f>
        <v>0</v>
      </c>
      <c r="J128" s="57">
        <f t="shared" si="85"/>
        <v>4286364.32</v>
      </c>
      <c r="K128" s="62">
        <f>K129+K130</f>
        <v>1547800</v>
      </c>
      <c r="L128" s="213">
        <f>L129+L130</f>
        <v>720900</v>
      </c>
      <c r="M128" s="213">
        <f>M129+M130</f>
        <v>222700</v>
      </c>
      <c r="N128" s="214">
        <f>N129+N130</f>
        <v>2738564.3200000003</v>
      </c>
      <c r="O128" s="62">
        <f>O129+O130</f>
        <v>2693064.3200000003</v>
      </c>
      <c r="P128" s="57">
        <f t="shared" si="88"/>
        <v>24027728.32</v>
      </c>
    </row>
    <row r="129" spans="1:16" ht="183">
      <c r="A129" s="217" t="s">
        <v>79</v>
      </c>
      <c r="B129" s="217" t="s">
        <v>376</v>
      </c>
      <c r="C129" s="217" t="s">
        <v>380</v>
      </c>
      <c r="D129" s="217" t="s">
        <v>117</v>
      </c>
      <c r="E129" s="62">
        <f t="shared" si="89"/>
        <v>16018778</v>
      </c>
      <c r="F129" s="62">
        <f>(15491860)+526918</f>
        <v>16018778</v>
      </c>
      <c r="G129" s="62">
        <v>10666900</v>
      </c>
      <c r="H129" s="62">
        <v>1023730</v>
      </c>
      <c r="I129" s="62"/>
      <c r="J129" s="62">
        <f t="shared" si="85"/>
        <v>4286364.32</v>
      </c>
      <c r="K129" s="62">
        <v>1547800</v>
      </c>
      <c r="L129" s="62">
        <v>720900</v>
      </c>
      <c r="M129" s="62">
        <v>222700</v>
      </c>
      <c r="N129" s="214">
        <f>O129+45500</f>
        <v>2738564.3200000003</v>
      </c>
      <c r="O129" s="213">
        <f>(1436800)+1120764.32+135500</f>
        <v>2693064.3200000003</v>
      </c>
      <c r="P129" s="246">
        <f t="shared" si="88"/>
        <v>20305142.32</v>
      </c>
    </row>
    <row r="130" spans="1:16" ht="183">
      <c r="A130" s="217" t="s">
        <v>82</v>
      </c>
      <c r="B130" s="217" t="s">
        <v>377</v>
      </c>
      <c r="C130" s="217" t="s">
        <v>380</v>
      </c>
      <c r="D130" s="217" t="s">
        <v>118</v>
      </c>
      <c r="E130" s="62">
        <f t="shared" si="89"/>
        <v>3722586</v>
      </c>
      <c r="F130" s="62">
        <f>(3262600)+459986</f>
        <v>3722586</v>
      </c>
      <c r="G130" s="62"/>
      <c r="H130" s="62"/>
      <c r="I130" s="62"/>
      <c r="J130" s="62">
        <f t="shared" si="85"/>
        <v>0</v>
      </c>
      <c r="K130" s="62"/>
      <c r="L130" s="62"/>
      <c r="M130" s="62"/>
      <c r="N130" s="214">
        <f t="shared" si="87"/>
        <v>0</v>
      </c>
      <c r="O130" s="213"/>
      <c r="P130" s="246">
        <f t="shared" si="88"/>
        <v>3722586</v>
      </c>
    </row>
    <row r="131" spans="1:16" ht="91.5">
      <c r="A131" s="248" t="s">
        <v>119</v>
      </c>
      <c r="B131" s="248" t="s">
        <v>378</v>
      </c>
      <c r="C131" s="248"/>
      <c r="D131" s="286" t="s">
        <v>83</v>
      </c>
      <c r="E131" s="212">
        <f t="shared" si="89"/>
        <v>1471558</v>
      </c>
      <c r="F131" s="62">
        <f>F132+F133</f>
        <v>1471558</v>
      </c>
      <c r="G131" s="213">
        <f>G132+G133</f>
        <v>590447</v>
      </c>
      <c r="H131" s="213">
        <f>H132+H133</f>
        <v>0</v>
      </c>
      <c r="I131" s="62">
        <f>I132+I133</f>
        <v>0</v>
      </c>
      <c r="J131" s="57">
        <f t="shared" ref="J131:J136" si="90">K131+N131</f>
        <v>102400</v>
      </c>
      <c r="K131" s="62">
        <f>K132+K133</f>
        <v>25000</v>
      </c>
      <c r="L131" s="213">
        <f>L132+L133</f>
        <v>0</v>
      </c>
      <c r="M131" s="213">
        <f>M132+M133</f>
        <v>0</v>
      </c>
      <c r="N131" s="214">
        <f>N132+N133</f>
        <v>77400</v>
      </c>
      <c r="O131" s="298">
        <f>O132+O133</f>
        <v>77400</v>
      </c>
      <c r="P131" s="57">
        <f t="shared" si="88"/>
        <v>1573958</v>
      </c>
    </row>
    <row r="132" spans="1:16" ht="274.5">
      <c r="A132" s="221" t="s">
        <v>84</v>
      </c>
      <c r="B132" s="221" t="s">
        <v>379</v>
      </c>
      <c r="C132" s="221" t="s">
        <v>380</v>
      </c>
      <c r="D132" s="217" t="s">
        <v>85</v>
      </c>
      <c r="E132" s="62">
        <f t="shared" si="89"/>
        <v>557400</v>
      </c>
      <c r="F132" s="62">
        <v>557400</v>
      </c>
      <c r="G132" s="246"/>
      <c r="H132" s="246"/>
      <c r="I132" s="303"/>
      <c r="J132" s="246">
        <f>K132+N132</f>
        <v>0</v>
      </c>
      <c r="K132" s="303"/>
      <c r="L132" s="246"/>
      <c r="M132" s="246"/>
      <c r="N132" s="214">
        <f>O132</f>
        <v>0</v>
      </c>
      <c r="O132" s="303"/>
      <c r="P132" s="246">
        <f t="shared" si="88"/>
        <v>557400</v>
      </c>
    </row>
    <row r="133" spans="1:16" ht="91.5">
      <c r="A133" s="221" t="s">
        <v>86</v>
      </c>
      <c r="B133" s="221" t="s">
        <v>381</v>
      </c>
      <c r="C133" s="221" t="s">
        <v>380</v>
      </c>
      <c r="D133" s="217" t="s">
        <v>87</v>
      </c>
      <c r="E133" s="62">
        <f>F133</f>
        <v>914158</v>
      </c>
      <c r="F133" s="62">
        <v>914158</v>
      </c>
      <c r="G133" s="246">
        <v>590447</v>
      </c>
      <c r="H133" s="246"/>
      <c r="I133" s="303"/>
      <c r="J133" s="246">
        <f t="shared" si="90"/>
        <v>102400</v>
      </c>
      <c r="K133" s="303">
        <f>20900+4100</f>
        <v>25000</v>
      </c>
      <c r="L133" s="246"/>
      <c r="M133" s="246"/>
      <c r="N133" s="214">
        <f>O133</f>
        <v>77400</v>
      </c>
      <c r="O133" s="303">
        <f>32400+45000</f>
        <v>77400</v>
      </c>
      <c r="P133" s="246">
        <f t="shared" si="88"/>
        <v>1016558</v>
      </c>
    </row>
    <row r="134" spans="1:16" ht="91.5">
      <c r="A134" s="222" t="s">
        <v>718</v>
      </c>
      <c r="B134" s="222" t="s">
        <v>720</v>
      </c>
      <c r="C134" s="222"/>
      <c r="D134" s="394" t="s">
        <v>719</v>
      </c>
      <c r="E134" s="212">
        <f>F134</f>
        <v>10920</v>
      </c>
      <c r="F134" s="62">
        <f>F135</f>
        <v>10920</v>
      </c>
      <c r="G134" s="213"/>
      <c r="H134" s="213"/>
      <c r="I134" s="62"/>
      <c r="J134" s="57">
        <f t="shared" ref="J134:J135" si="91">K134+N134</f>
        <v>0</v>
      </c>
      <c r="K134" s="62"/>
      <c r="L134" s="213"/>
      <c r="M134" s="213"/>
      <c r="N134" s="214">
        <f>O134</f>
        <v>0</v>
      </c>
      <c r="O134" s="298"/>
      <c r="P134" s="57">
        <f t="shared" ref="P134:P135" si="92">E134+J134</f>
        <v>10920</v>
      </c>
    </row>
    <row r="135" spans="1:16" ht="274.5">
      <c r="A135" s="221" t="s">
        <v>724</v>
      </c>
      <c r="B135" s="221" t="s">
        <v>723</v>
      </c>
      <c r="C135" s="221" t="s">
        <v>722</v>
      </c>
      <c r="D135" s="217" t="s">
        <v>721</v>
      </c>
      <c r="E135" s="62">
        <f>F135</f>
        <v>10920</v>
      </c>
      <c r="F135" s="62">
        <v>10920</v>
      </c>
      <c r="G135" s="303"/>
      <c r="H135" s="303"/>
      <c r="I135" s="303"/>
      <c r="J135" s="303">
        <f t="shared" si="91"/>
        <v>0</v>
      </c>
      <c r="K135" s="303"/>
      <c r="L135" s="303"/>
      <c r="M135" s="303"/>
      <c r="N135" s="214">
        <f>O135</f>
        <v>0</v>
      </c>
      <c r="O135" s="303"/>
      <c r="P135" s="303">
        <f t="shared" si="92"/>
        <v>10920</v>
      </c>
    </row>
    <row r="136" spans="1:16" ht="91.5">
      <c r="A136" s="222" t="s">
        <v>382</v>
      </c>
      <c r="B136" s="222" t="s">
        <v>383</v>
      </c>
      <c r="C136" s="222" t="s">
        <v>334</v>
      </c>
      <c r="D136" s="286" t="s">
        <v>91</v>
      </c>
      <c r="E136" s="212">
        <f>F136</f>
        <v>0</v>
      </c>
      <c r="F136" s="62"/>
      <c r="G136" s="213"/>
      <c r="H136" s="213"/>
      <c r="I136" s="62"/>
      <c r="J136" s="57">
        <f t="shared" si="90"/>
        <v>2500000</v>
      </c>
      <c r="K136" s="62"/>
      <c r="L136" s="213"/>
      <c r="M136" s="213"/>
      <c r="N136" s="214">
        <f>O136</f>
        <v>2500000</v>
      </c>
      <c r="O136" s="298">
        <v>2500000</v>
      </c>
      <c r="P136" s="57">
        <f t="shared" si="88"/>
        <v>2500000</v>
      </c>
    </row>
    <row r="137" spans="1:16" ht="180">
      <c r="A137" s="433" t="s">
        <v>320</v>
      </c>
      <c r="B137" s="433"/>
      <c r="C137" s="433"/>
      <c r="D137" s="433" t="s">
        <v>67</v>
      </c>
      <c r="E137" s="436">
        <f>E138</f>
        <v>170547835</v>
      </c>
      <c r="F137" s="436">
        <f t="shared" ref="F137:P137" si="93">F138</f>
        <v>170547835</v>
      </c>
      <c r="G137" s="436">
        <f t="shared" si="93"/>
        <v>839900</v>
      </c>
      <c r="H137" s="436">
        <f t="shared" si="93"/>
        <v>11500</v>
      </c>
      <c r="I137" s="436">
        <f t="shared" si="93"/>
        <v>0</v>
      </c>
      <c r="J137" s="436">
        <f t="shared" si="93"/>
        <v>231052144.09</v>
      </c>
      <c r="K137" s="436">
        <f t="shared" si="93"/>
        <v>7400</v>
      </c>
      <c r="L137" s="436">
        <f t="shared" si="93"/>
        <v>0</v>
      </c>
      <c r="M137" s="436">
        <f t="shared" si="93"/>
        <v>0</v>
      </c>
      <c r="N137" s="436">
        <f t="shared" si="93"/>
        <v>231044744.09</v>
      </c>
      <c r="O137" s="435">
        <f t="shared" si="93"/>
        <v>230530521</v>
      </c>
      <c r="P137" s="436">
        <f t="shared" si="93"/>
        <v>401599979.09000003</v>
      </c>
    </row>
    <row r="138" spans="1:16" ht="180">
      <c r="A138" s="434" t="s">
        <v>321</v>
      </c>
      <c r="B138" s="434"/>
      <c r="C138" s="434"/>
      <c r="D138" s="434" t="s">
        <v>97</v>
      </c>
      <c r="E138" s="435">
        <f>E139+E144+E145+E146+E148+E150+E152+E153+E154+E155</f>
        <v>170547835</v>
      </c>
      <c r="F138" s="436">
        <f>F139+F144+F145+F146+F148+F150+F152+F153+F154+F155</f>
        <v>170547835</v>
      </c>
      <c r="G138" s="435">
        <f>G139+G144+G145+G146+G148+G150+G152+G153+G154+G155</f>
        <v>839900</v>
      </c>
      <c r="H138" s="435">
        <f>H139+H144+H145+H146+H148+H150+H152+H153+H154+H155</f>
        <v>11500</v>
      </c>
      <c r="I138" s="436">
        <f>I139+I144+I145+I146+I148+I150+I152+I153+I154+I155</f>
        <v>0</v>
      </c>
      <c r="J138" s="435">
        <f t="shared" ref="J138" si="94">K138+N138</f>
        <v>231052144.09</v>
      </c>
      <c r="K138" s="436">
        <f>K139+K144+K145+K146+K148+K150+K152+K153+K154+K155</f>
        <v>7400</v>
      </c>
      <c r="L138" s="435">
        <f>L139+L144+L145+L146+L148+L150+L152+L153+L154+L155</f>
        <v>0</v>
      </c>
      <c r="M138" s="435">
        <f>M139+M144+M145+M146+M148+M150+M152+M153+M154+M155</f>
        <v>0</v>
      </c>
      <c r="N138" s="436">
        <f>N139+N144+N145+N146+N147+N148+N150+N152+N153+N154+N155</f>
        <v>231044744.09</v>
      </c>
      <c r="O138" s="435">
        <f>O139+O144+O145+O146+O147+O148+O150+O152+O153+O154+O155</f>
        <v>230530521</v>
      </c>
      <c r="P138" s="435">
        <f>E138+J138</f>
        <v>401599979.09000003</v>
      </c>
    </row>
    <row r="139" spans="1:16" ht="137.25">
      <c r="A139" s="240" t="s">
        <v>538</v>
      </c>
      <c r="B139" s="240" t="s">
        <v>539</v>
      </c>
      <c r="C139" s="240"/>
      <c r="D139" s="240" t="s">
        <v>542</v>
      </c>
      <c r="E139" s="57">
        <f t="shared" ref="E139:E155" si="95">F139</f>
        <v>4482550</v>
      </c>
      <c r="F139" s="303">
        <f>SUM(F140:F143)</f>
        <v>4482550</v>
      </c>
      <c r="G139" s="213"/>
      <c r="H139" s="241"/>
      <c r="I139" s="303"/>
      <c r="J139" s="57">
        <f t="shared" ref="J139:J140" si="96">K139+N139</f>
        <v>45266500</v>
      </c>
      <c r="K139" s="303">
        <f>SUM(K140:K143)</f>
        <v>0</v>
      </c>
      <c r="L139" s="241"/>
      <c r="M139" s="241"/>
      <c r="N139" s="303">
        <f t="shared" ref="N139:N140" si="97">O139</f>
        <v>45266500</v>
      </c>
      <c r="O139" s="303">
        <f>SUM(O140:O143)</f>
        <v>45266500</v>
      </c>
      <c r="P139" s="57">
        <f t="shared" ref="P139" si="98">E139+J139</f>
        <v>49749050</v>
      </c>
    </row>
    <row r="140" spans="1:16" ht="137.25">
      <c r="A140" s="217" t="s">
        <v>540</v>
      </c>
      <c r="B140" s="217" t="s">
        <v>541</v>
      </c>
      <c r="C140" s="217" t="s">
        <v>544</v>
      </c>
      <c r="D140" s="217" t="s">
        <v>543</v>
      </c>
      <c r="E140" s="62">
        <f t="shared" si="95"/>
        <v>3937750</v>
      </c>
      <c r="F140" s="62">
        <f>(3189750)+748000</f>
        <v>3937750</v>
      </c>
      <c r="G140" s="62"/>
      <c r="H140" s="62"/>
      <c r="I140" s="62"/>
      <c r="J140" s="62">
        <f t="shared" si="96"/>
        <v>4266500</v>
      </c>
      <c r="K140" s="214"/>
      <c r="L140" s="214"/>
      <c r="M140" s="214"/>
      <c r="N140" s="214">
        <f t="shared" si="97"/>
        <v>4266500</v>
      </c>
      <c r="O140" s="214">
        <f>(1400000)+2866500</f>
        <v>4266500</v>
      </c>
      <c r="P140" s="303">
        <f>+J140+E140</f>
        <v>8204250</v>
      </c>
    </row>
    <row r="141" spans="1:16" ht="137.25">
      <c r="A141" s="217" t="s">
        <v>548</v>
      </c>
      <c r="B141" s="217" t="s">
        <v>549</v>
      </c>
      <c r="C141" s="217" t="s">
        <v>544</v>
      </c>
      <c r="D141" s="217" t="s">
        <v>550</v>
      </c>
      <c r="E141" s="62">
        <f t="shared" si="95"/>
        <v>484800</v>
      </c>
      <c r="F141" s="62">
        <v>484800</v>
      </c>
      <c r="G141" s="62"/>
      <c r="H141" s="62"/>
      <c r="I141" s="62"/>
      <c r="J141" s="62">
        <f t="shared" ref="J141" si="99">K141+N141</f>
        <v>0</v>
      </c>
      <c r="K141" s="214"/>
      <c r="L141" s="214"/>
      <c r="M141" s="214"/>
      <c r="N141" s="214">
        <f t="shared" ref="N141" si="100">O141</f>
        <v>0</v>
      </c>
      <c r="O141" s="214"/>
      <c r="P141" s="303">
        <f>+J141+E141</f>
        <v>484800</v>
      </c>
    </row>
    <row r="142" spans="1:16" ht="137.25">
      <c r="A142" s="217" t="s">
        <v>579</v>
      </c>
      <c r="B142" s="217" t="s">
        <v>580</v>
      </c>
      <c r="C142" s="217" t="s">
        <v>544</v>
      </c>
      <c r="D142" s="217" t="s">
        <v>581</v>
      </c>
      <c r="E142" s="62">
        <f t="shared" si="95"/>
        <v>0</v>
      </c>
      <c r="F142" s="62"/>
      <c r="G142" s="62"/>
      <c r="H142" s="62"/>
      <c r="I142" s="62"/>
      <c r="J142" s="62">
        <f t="shared" ref="J142" si="101">K142+N142</f>
        <v>5000000</v>
      </c>
      <c r="K142" s="214"/>
      <c r="L142" s="214"/>
      <c r="M142" s="214"/>
      <c r="N142" s="214">
        <f t="shared" ref="N142" si="102">O142</f>
        <v>5000000</v>
      </c>
      <c r="O142" s="214">
        <v>5000000</v>
      </c>
      <c r="P142" s="303">
        <f>+J142+E142</f>
        <v>5000000</v>
      </c>
    </row>
    <row r="143" spans="1:16" ht="183">
      <c r="A143" s="217" t="s">
        <v>545</v>
      </c>
      <c r="B143" s="217" t="s">
        <v>546</v>
      </c>
      <c r="C143" s="217" t="s">
        <v>544</v>
      </c>
      <c r="D143" s="217" t="s">
        <v>547</v>
      </c>
      <c r="E143" s="62">
        <f t="shared" si="95"/>
        <v>60000</v>
      </c>
      <c r="F143" s="62">
        <v>60000</v>
      </c>
      <c r="G143" s="62"/>
      <c r="H143" s="62"/>
      <c r="I143" s="62"/>
      <c r="J143" s="62">
        <f t="shared" ref="J143:J149" si="103">K143+N143</f>
        <v>36000000</v>
      </c>
      <c r="K143" s="214"/>
      <c r="L143" s="214"/>
      <c r="M143" s="214"/>
      <c r="N143" s="214">
        <f t="shared" ref="N143" si="104">O143</f>
        <v>36000000</v>
      </c>
      <c r="O143" s="214">
        <f>(34000000)+2000000</f>
        <v>36000000</v>
      </c>
      <c r="P143" s="303">
        <f>+J143+E143</f>
        <v>36060000</v>
      </c>
    </row>
    <row r="144" spans="1:16" ht="228.75">
      <c r="A144" s="330" t="s">
        <v>573</v>
      </c>
      <c r="B144" s="330" t="s">
        <v>574</v>
      </c>
      <c r="C144" s="330" t="s">
        <v>544</v>
      </c>
      <c r="D144" s="330" t="s">
        <v>575</v>
      </c>
      <c r="E144" s="212">
        <f t="shared" si="95"/>
        <v>7279201</v>
      </c>
      <c r="F144" s="62">
        <f>(138000+1109401)+81800+6500000-550000</f>
        <v>7279201</v>
      </c>
      <c r="G144" s="213"/>
      <c r="H144" s="213"/>
      <c r="I144" s="62"/>
      <c r="J144" s="57">
        <f t="shared" ref="J144" si="105">K144+N144</f>
        <v>0</v>
      </c>
      <c r="K144" s="62"/>
      <c r="L144" s="213"/>
      <c r="M144" s="213"/>
      <c r="N144" s="214">
        <f>O144</f>
        <v>0</v>
      </c>
      <c r="O144" s="298"/>
      <c r="P144" s="57">
        <f t="shared" ref="P144" si="106">E144+J144</f>
        <v>7279201</v>
      </c>
    </row>
    <row r="145" spans="1:16" ht="91.5">
      <c r="A145" s="330" t="s">
        <v>551</v>
      </c>
      <c r="B145" s="330" t="s">
        <v>552</v>
      </c>
      <c r="C145" s="330" t="s">
        <v>544</v>
      </c>
      <c r="D145" s="330" t="s">
        <v>553</v>
      </c>
      <c r="E145" s="212">
        <f t="shared" si="95"/>
        <v>92671006</v>
      </c>
      <c r="F145" s="62">
        <f>(88681880)+3989126</f>
        <v>92671006</v>
      </c>
      <c r="G145" s="213"/>
      <c r="H145" s="213"/>
      <c r="I145" s="62"/>
      <c r="J145" s="57">
        <f t="shared" si="103"/>
        <v>18877842</v>
      </c>
      <c r="K145" s="62"/>
      <c r="L145" s="213"/>
      <c r="M145" s="213"/>
      <c r="N145" s="214">
        <f>O145</f>
        <v>18877842</v>
      </c>
      <c r="O145" s="298">
        <f>(10282110)+8145732+450000</f>
        <v>18877842</v>
      </c>
      <c r="P145" s="57">
        <f t="shared" ref="P145:P148" si="107">E145+J145</f>
        <v>111548848</v>
      </c>
    </row>
    <row r="146" spans="1:16" ht="92.25">
      <c r="A146" s="330" t="s">
        <v>583</v>
      </c>
      <c r="B146" s="330" t="s">
        <v>584</v>
      </c>
      <c r="C146" s="330" t="s">
        <v>582</v>
      </c>
      <c r="D146" s="330" t="s">
        <v>585</v>
      </c>
      <c r="E146" s="212">
        <f t="shared" si="95"/>
        <v>0</v>
      </c>
      <c r="F146" s="62"/>
      <c r="G146" s="213"/>
      <c r="H146" s="213"/>
      <c r="I146" s="62"/>
      <c r="J146" s="57">
        <f t="shared" ref="J146:J147" si="108">K146+N146</f>
        <v>25000000</v>
      </c>
      <c r="K146" s="62"/>
      <c r="L146" s="213"/>
      <c r="M146" s="213"/>
      <c r="N146" s="214">
        <f>O146</f>
        <v>25000000</v>
      </c>
      <c r="O146" s="298">
        <f>(20000000)+5000000</f>
        <v>25000000</v>
      </c>
      <c r="P146" s="57">
        <f t="shared" ref="P146:P147" si="109">E146+J146</f>
        <v>25000000</v>
      </c>
    </row>
    <row r="147" spans="1:16" ht="183">
      <c r="A147" s="394" t="s">
        <v>737</v>
      </c>
      <c r="B147" s="394" t="s">
        <v>621</v>
      </c>
      <c r="C147" s="394" t="s">
        <v>582</v>
      </c>
      <c r="D147" s="394" t="s">
        <v>738</v>
      </c>
      <c r="E147" s="212">
        <v>0</v>
      </c>
      <c r="F147" s="62"/>
      <c r="G147" s="213"/>
      <c r="H147" s="213"/>
      <c r="I147" s="62"/>
      <c r="J147" s="57">
        <f t="shared" si="108"/>
        <v>700000</v>
      </c>
      <c r="K147" s="62"/>
      <c r="L147" s="213"/>
      <c r="M147" s="213"/>
      <c r="N147" s="214">
        <f>O147</f>
        <v>700000</v>
      </c>
      <c r="O147" s="298">
        <v>700000</v>
      </c>
      <c r="P147" s="57">
        <f t="shared" si="109"/>
        <v>700000</v>
      </c>
    </row>
    <row r="148" spans="1:16" ht="137.25">
      <c r="A148" s="330" t="s">
        <v>555</v>
      </c>
      <c r="B148" s="330" t="s">
        <v>556</v>
      </c>
      <c r="C148" s="330"/>
      <c r="D148" s="330" t="s">
        <v>558</v>
      </c>
      <c r="E148" s="57">
        <f t="shared" si="95"/>
        <v>15000000</v>
      </c>
      <c r="F148" s="303">
        <f>SUM(F149)</f>
        <v>15000000</v>
      </c>
      <c r="G148" s="213"/>
      <c r="H148" s="298"/>
      <c r="I148" s="303"/>
      <c r="J148" s="57">
        <f t="shared" si="103"/>
        <v>0</v>
      </c>
      <c r="K148" s="303">
        <f>SUM(K149)</f>
        <v>0</v>
      </c>
      <c r="L148" s="298"/>
      <c r="M148" s="298"/>
      <c r="N148" s="303">
        <f t="shared" ref="N148:N149" si="110">O148</f>
        <v>0</v>
      </c>
      <c r="O148" s="303">
        <f>SUM(O149)</f>
        <v>0</v>
      </c>
      <c r="P148" s="57">
        <f t="shared" si="107"/>
        <v>15000000</v>
      </c>
    </row>
    <row r="149" spans="1:16" ht="91.5">
      <c r="A149" s="217" t="s">
        <v>554</v>
      </c>
      <c r="B149" s="217" t="s">
        <v>557</v>
      </c>
      <c r="C149" s="217" t="s">
        <v>560</v>
      </c>
      <c r="D149" s="217" t="s">
        <v>559</v>
      </c>
      <c r="E149" s="62">
        <f t="shared" si="95"/>
        <v>15000000</v>
      </c>
      <c r="F149" s="62">
        <v>15000000</v>
      </c>
      <c r="G149" s="62"/>
      <c r="H149" s="62"/>
      <c r="I149" s="62"/>
      <c r="J149" s="62">
        <f t="shared" si="103"/>
        <v>0</v>
      </c>
      <c r="K149" s="214"/>
      <c r="L149" s="214"/>
      <c r="M149" s="214"/>
      <c r="N149" s="214">
        <f t="shared" si="110"/>
        <v>0</v>
      </c>
      <c r="O149" s="214"/>
      <c r="P149" s="303">
        <f>+J149+E149</f>
        <v>15000000</v>
      </c>
    </row>
    <row r="150" spans="1:16" ht="137.25">
      <c r="A150" s="330" t="s">
        <v>561</v>
      </c>
      <c r="B150" s="330" t="s">
        <v>562</v>
      </c>
      <c r="C150" s="330"/>
      <c r="D150" s="330" t="s">
        <v>563</v>
      </c>
      <c r="E150" s="57">
        <f t="shared" si="95"/>
        <v>48578600</v>
      </c>
      <c r="F150" s="303">
        <f>SUM(F151)</f>
        <v>48578600</v>
      </c>
      <c r="G150" s="213"/>
      <c r="H150" s="298"/>
      <c r="I150" s="303"/>
      <c r="J150" s="57">
        <f t="shared" ref="J150:J152" si="111">K150+N150</f>
        <v>83480433.090000004</v>
      </c>
      <c r="K150" s="303">
        <f>SUM(K151)</f>
        <v>0</v>
      </c>
      <c r="L150" s="298"/>
      <c r="M150" s="298"/>
      <c r="N150" s="303">
        <f>N151</f>
        <v>83480433.090000004</v>
      </c>
      <c r="O150" s="303">
        <f>SUM(O151)</f>
        <v>82966210</v>
      </c>
      <c r="P150" s="57">
        <f t="shared" ref="P150" si="112">E150+J150</f>
        <v>132059033.09</v>
      </c>
    </row>
    <row r="151" spans="1:16" ht="228.75">
      <c r="A151" s="217" t="s">
        <v>564</v>
      </c>
      <c r="B151" s="217" t="s">
        <v>565</v>
      </c>
      <c r="C151" s="217" t="s">
        <v>567</v>
      </c>
      <c r="D151" s="217" t="s">
        <v>566</v>
      </c>
      <c r="E151" s="62">
        <f t="shared" si="95"/>
        <v>48578600</v>
      </c>
      <c r="F151" s="62">
        <f>(30000000)+18578600</f>
        <v>48578600</v>
      </c>
      <c r="G151" s="62"/>
      <c r="H151" s="62"/>
      <c r="I151" s="62"/>
      <c r="J151" s="62">
        <f t="shared" si="111"/>
        <v>83480433.090000004</v>
      </c>
      <c r="K151" s="214"/>
      <c r="L151" s="214"/>
      <c r="M151" s="214"/>
      <c r="N151" s="214">
        <f>O151+514223.09</f>
        <v>83480433.090000004</v>
      </c>
      <c r="O151" s="214">
        <f>(58865000)+25301210-1200000</f>
        <v>82966210</v>
      </c>
      <c r="P151" s="303">
        <f>+J151+E151</f>
        <v>132059033.09</v>
      </c>
    </row>
    <row r="152" spans="1:16" ht="46.5">
      <c r="A152" s="330" t="s">
        <v>568</v>
      </c>
      <c r="B152" s="330" t="s">
        <v>413</v>
      </c>
      <c r="C152" s="330" t="s">
        <v>414</v>
      </c>
      <c r="D152" s="330" t="s">
        <v>102</v>
      </c>
      <c r="E152" s="212">
        <f t="shared" si="95"/>
        <v>1118300</v>
      </c>
      <c r="F152" s="62">
        <f>(1018300)+100000</f>
        <v>1118300</v>
      </c>
      <c r="G152" s="213"/>
      <c r="H152" s="213"/>
      <c r="I152" s="62"/>
      <c r="J152" s="57">
        <f t="shared" si="111"/>
        <v>3500000</v>
      </c>
      <c r="K152" s="62"/>
      <c r="L152" s="213"/>
      <c r="M152" s="213"/>
      <c r="N152" s="214">
        <f>O152</f>
        <v>3500000</v>
      </c>
      <c r="O152" s="298">
        <f>(2000000)+1500000</f>
        <v>3500000</v>
      </c>
      <c r="P152" s="57">
        <f t="shared" ref="P152" si="113">E152+J152</f>
        <v>4618300</v>
      </c>
    </row>
    <row r="153" spans="1:16" ht="91.5">
      <c r="A153" s="330" t="s">
        <v>587</v>
      </c>
      <c r="B153" s="330" t="s">
        <v>383</v>
      </c>
      <c r="C153" s="330" t="s">
        <v>334</v>
      </c>
      <c r="D153" s="330" t="s">
        <v>91</v>
      </c>
      <c r="E153" s="212">
        <f t="shared" si="95"/>
        <v>0</v>
      </c>
      <c r="F153" s="62"/>
      <c r="G153" s="213"/>
      <c r="H153" s="213"/>
      <c r="I153" s="62"/>
      <c r="J153" s="57">
        <f t="shared" ref="J153" si="114">K153+N153</f>
        <v>54219969</v>
      </c>
      <c r="K153" s="62"/>
      <c r="L153" s="213"/>
      <c r="M153" s="213"/>
      <c r="N153" s="214">
        <f>O153</f>
        <v>54219969</v>
      </c>
      <c r="O153" s="298">
        <f>(7653700)+47016269-450000</f>
        <v>54219969</v>
      </c>
      <c r="P153" s="57">
        <f t="shared" ref="P153" si="115">E153+J153</f>
        <v>54219969</v>
      </c>
    </row>
    <row r="154" spans="1:16" ht="137.25">
      <c r="A154" s="330" t="s">
        <v>569</v>
      </c>
      <c r="B154" s="330" t="s">
        <v>570</v>
      </c>
      <c r="C154" s="330" t="s">
        <v>500</v>
      </c>
      <c r="D154" s="330" t="s">
        <v>717</v>
      </c>
      <c r="E154" s="212">
        <f t="shared" si="95"/>
        <v>252990</v>
      </c>
      <c r="F154" s="62">
        <v>252990</v>
      </c>
      <c r="G154" s="213"/>
      <c r="H154" s="213"/>
      <c r="I154" s="62"/>
      <c r="J154" s="57">
        <f t="shared" ref="J154" si="116">K154+N154</f>
        <v>0</v>
      </c>
      <c r="K154" s="62"/>
      <c r="L154" s="213"/>
      <c r="M154" s="213"/>
      <c r="N154" s="214">
        <f>O154</f>
        <v>0</v>
      </c>
      <c r="O154" s="298"/>
      <c r="P154" s="57">
        <f t="shared" ref="P154" si="117">E154+J154</f>
        <v>252990</v>
      </c>
    </row>
    <row r="155" spans="1:16" ht="91.5">
      <c r="A155" s="509" t="s">
        <v>498</v>
      </c>
      <c r="B155" s="509" t="s">
        <v>499</v>
      </c>
      <c r="C155" s="509" t="s">
        <v>500</v>
      </c>
      <c r="D155" s="509" t="s">
        <v>497</v>
      </c>
      <c r="E155" s="212">
        <f t="shared" si="95"/>
        <v>1165188</v>
      </c>
      <c r="F155" s="62">
        <f>1050500+95000+19688</f>
        <v>1165188</v>
      </c>
      <c r="G155" s="213">
        <v>839900</v>
      </c>
      <c r="H155" s="213">
        <v>11500</v>
      </c>
      <c r="I155" s="62"/>
      <c r="J155" s="510">
        <f t="shared" ref="J155" si="118">K155+N155</f>
        <v>7400</v>
      </c>
      <c r="K155" s="62">
        <v>7400</v>
      </c>
      <c r="L155" s="213"/>
      <c r="M155" s="213"/>
      <c r="N155" s="214">
        <f>O155</f>
        <v>0</v>
      </c>
      <c r="O155" s="514"/>
      <c r="P155" s="510">
        <f t="shared" ref="P155" si="119">E155+J155</f>
        <v>1172588</v>
      </c>
    </row>
    <row r="156" spans="1:16" ht="270">
      <c r="A156" s="433" t="s">
        <v>69</v>
      </c>
      <c r="B156" s="433"/>
      <c r="C156" s="433"/>
      <c r="D156" s="433" t="s">
        <v>71</v>
      </c>
      <c r="E156" s="436">
        <f>E157</f>
        <v>0</v>
      </c>
      <c r="F156" s="436">
        <f t="shared" ref="F156:P156" si="120">F157</f>
        <v>0</v>
      </c>
      <c r="G156" s="436">
        <f t="shared" si="120"/>
        <v>0</v>
      </c>
      <c r="H156" s="436">
        <f t="shared" si="120"/>
        <v>0</v>
      </c>
      <c r="I156" s="436">
        <f t="shared" si="120"/>
        <v>0</v>
      </c>
      <c r="J156" s="436">
        <f t="shared" si="120"/>
        <v>91200000</v>
      </c>
      <c r="K156" s="436">
        <f t="shared" si="120"/>
        <v>0</v>
      </c>
      <c r="L156" s="436">
        <f t="shared" si="120"/>
        <v>0</v>
      </c>
      <c r="M156" s="436">
        <f t="shared" si="120"/>
        <v>0</v>
      </c>
      <c r="N156" s="436">
        <f t="shared" si="120"/>
        <v>91200000</v>
      </c>
      <c r="O156" s="435">
        <f>O157</f>
        <v>91200000</v>
      </c>
      <c r="P156" s="436">
        <f t="shared" si="120"/>
        <v>91200000</v>
      </c>
    </row>
    <row r="157" spans="1:16" ht="270">
      <c r="A157" s="434" t="s">
        <v>70</v>
      </c>
      <c r="B157" s="434"/>
      <c r="C157" s="434"/>
      <c r="D157" s="434" t="s">
        <v>98</v>
      </c>
      <c r="E157" s="435">
        <f>E158+E161+E162</f>
        <v>0</v>
      </c>
      <c r="F157" s="436">
        <f t="shared" ref="F157:I157" si="121">F158+F161+F162</f>
        <v>0</v>
      </c>
      <c r="G157" s="435">
        <f t="shared" si="121"/>
        <v>0</v>
      </c>
      <c r="H157" s="435">
        <f t="shared" si="121"/>
        <v>0</v>
      </c>
      <c r="I157" s="436">
        <f t="shared" si="121"/>
        <v>0</v>
      </c>
      <c r="J157" s="435">
        <f t="shared" ref="J157" si="122">K157+N157</f>
        <v>91200000</v>
      </c>
      <c r="K157" s="436">
        <f t="shared" ref="K157:O157" si="123">K158+K161+K162</f>
        <v>0</v>
      </c>
      <c r="L157" s="435">
        <f t="shared" si="123"/>
        <v>0</v>
      </c>
      <c r="M157" s="435">
        <f t="shared" si="123"/>
        <v>0</v>
      </c>
      <c r="N157" s="436">
        <f t="shared" si="123"/>
        <v>91200000</v>
      </c>
      <c r="O157" s="435">
        <f t="shared" si="123"/>
        <v>91200000</v>
      </c>
      <c r="P157" s="435">
        <f t="shared" ref="P157" si="124">+J157+E157</f>
        <v>91200000</v>
      </c>
    </row>
    <row r="158" spans="1:16" ht="91.5">
      <c r="A158" s="243" t="s">
        <v>611</v>
      </c>
      <c r="B158" s="243" t="s">
        <v>612</v>
      </c>
      <c r="C158" s="243"/>
      <c r="D158" s="243" t="s">
        <v>610</v>
      </c>
      <c r="E158" s="212">
        <f t="shared" ref="E158:E160" si="125">F158</f>
        <v>0</v>
      </c>
      <c r="F158" s="62">
        <f>F159+F160</f>
        <v>0</v>
      </c>
      <c r="G158" s="213">
        <f>G159+G160</f>
        <v>0</v>
      </c>
      <c r="H158" s="213">
        <f>H159+H160</f>
        <v>0</v>
      </c>
      <c r="I158" s="62">
        <f>I159+I160</f>
        <v>0</v>
      </c>
      <c r="J158" s="57">
        <f t="shared" ref="J158:J162" si="126">K158+N158</f>
        <v>59678000</v>
      </c>
      <c r="K158" s="62">
        <f>K159+K160</f>
        <v>0</v>
      </c>
      <c r="L158" s="213">
        <f>L159+L160</f>
        <v>0</v>
      </c>
      <c r="M158" s="213">
        <f>M159+M160</f>
        <v>0</v>
      </c>
      <c r="N158" s="214">
        <f>N159+N160</f>
        <v>59678000</v>
      </c>
      <c r="O158" s="62">
        <f>O159+O160</f>
        <v>59678000</v>
      </c>
      <c r="P158" s="57">
        <f t="shared" ref="P158:P160" si="127">E158+J158</f>
        <v>59678000</v>
      </c>
    </row>
    <row r="159" spans="1:16" ht="91.5">
      <c r="A159" s="217" t="s">
        <v>614</v>
      </c>
      <c r="B159" s="217" t="s">
        <v>615</v>
      </c>
      <c r="C159" s="217" t="s">
        <v>582</v>
      </c>
      <c r="D159" s="217" t="s">
        <v>613</v>
      </c>
      <c r="E159" s="303">
        <f t="shared" si="125"/>
        <v>0</v>
      </c>
      <c r="F159" s="303"/>
      <c r="G159" s="303"/>
      <c r="H159" s="303"/>
      <c r="I159" s="303"/>
      <c r="J159" s="303">
        <f t="shared" si="126"/>
        <v>54438000</v>
      </c>
      <c r="K159" s="303"/>
      <c r="L159" s="303"/>
      <c r="M159" s="303"/>
      <c r="N159" s="303">
        <f>O159</f>
        <v>54438000</v>
      </c>
      <c r="O159" s="298">
        <f>(35888000)+18550000</f>
        <v>54438000</v>
      </c>
      <c r="P159" s="303">
        <f t="shared" si="127"/>
        <v>54438000</v>
      </c>
    </row>
    <row r="160" spans="1:16" ht="137.25">
      <c r="A160" s="217" t="s">
        <v>616</v>
      </c>
      <c r="B160" s="217" t="s">
        <v>617</v>
      </c>
      <c r="C160" s="217" t="s">
        <v>582</v>
      </c>
      <c r="D160" s="217" t="s">
        <v>618</v>
      </c>
      <c r="E160" s="303">
        <f t="shared" si="125"/>
        <v>0</v>
      </c>
      <c r="F160" s="303"/>
      <c r="G160" s="303"/>
      <c r="H160" s="303"/>
      <c r="I160" s="303"/>
      <c r="J160" s="303">
        <f t="shared" si="126"/>
        <v>5240000</v>
      </c>
      <c r="K160" s="303"/>
      <c r="L160" s="303"/>
      <c r="M160" s="303"/>
      <c r="N160" s="303">
        <f>O160</f>
        <v>5240000</v>
      </c>
      <c r="O160" s="303">
        <f>(5000000+510000)+480000-1000000+250000</f>
        <v>5240000</v>
      </c>
      <c r="P160" s="303">
        <f t="shared" si="127"/>
        <v>5240000</v>
      </c>
    </row>
    <row r="161" spans="1:16" ht="183">
      <c r="A161" s="340" t="s">
        <v>620</v>
      </c>
      <c r="B161" s="340" t="s">
        <v>621</v>
      </c>
      <c r="C161" s="340" t="s">
        <v>582</v>
      </c>
      <c r="D161" s="340" t="s">
        <v>619</v>
      </c>
      <c r="E161" s="57">
        <f>F161</f>
        <v>0</v>
      </c>
      <c r="F161" s="303"/>
      <c r="G161" s="298"/>
      <c r="H161" s="298"/>
      <c r="I161" s="303"/>
      <c r="J161" s="57">
        <f t="shared" si="126"/>
        <v>31342000</v>
      </c>
      <c r="K161" s="303"/>
      <c r="L161" s="298"/>
      <c r="M161" s="298"/>
      <c r="N161" s="303">
        <f t="shared" ref="N161" si="128">O161</f>
        <v>31342000</v>
      </c>
      <c r="O161" s="245">
        <f>(14952000+360000)+15280000+1000000-250000</f>
        <v>31342000</v>
      </c>
      <c r="P161" s="57">
        <f>E161+J161</f>
        <v>31342000</v>
      </c>
    </row>
    <row r="162" spans="1:16" ht="91.5">
      <c r="A162" s="340" t="s">
        <v>622</v>
      </c>
      <c r="B162" s="340" t="s">
        <v>383</v>
      </c>
      <c r="C162" s="340" t="s">
        <v>334</v>
      </c>
      <c r="D162" s="340" t="s">
        <v>91</v>
      </c>
      <c r="E162" s="212">
        <f t="shared" ref="E162" si="129">F162</f>
        <v>0</v>
      </c>
      <c r="F162" s="62"/>
      <c r="G162" s="213"/>
      <c r="H162" s="213"/>
      <c r="I162" s="62"/>
      <c r="J162" s="57">
        <f t="shared" si="126"/>
        <v>180000</v>
      </c>
      <c r="K162" s="62"/>
      <c r="L162" s="213"/>
      <c r="M162" s="213"/>
      <c r="N162" s="214">
        <f>O162</f>
        <v>180000</v>
      </c>
      <c r="O162" s="298">
        <v>180000</v>
      </c>
      <c r="P162" s="57">
        <f t="shared" ref="P162" si="130">E162+J162</f>
        <v>180000</v>
      </c>
    </row>
    <row r="163" spans="1:16" ht="225">
      <c r="A163" s="433" t="s">
        <v>322</v>
      </c>
      <c r="B163" s="433"/>
      <c r="C163" s="433"/>
      <c r="D163" s="433" t="s">
        <v>72</v>
      </c>
      <c r="E163" s="436">
        <f>E164</f>
        <v>0</v>
      </c>
      <c r="F163" s="436">
        <f t="shared" ref="F163:P164" si="131">F164</f>
        <v>0</v>
      </c>
      <c r="G163" s="436">
        <f t="shared" si="131"/>
        <v>0</v>
      </c>
      <c r="H163" s="436">
        <f t="shared" si="131"/>
        <v>0</v>
      </c>
      <c r="I163" s="436">
        <f t="shared" si="131"/>
        <v>0</v>
      </c>
      <c r="J163" s="436">
        <f t="shared" si="131"/>
        <v>3306300</v>
      </c>
      <c r="K163" s="436">
        <f t="shared" si="131"/>
        <v>0</v>
      </c>
      <c r="L163" s="436">
        <f t="shared" si="131"/>
        <v>0</v>
      </c>
      <c r="M163" s="436">
        <f t="shared" si="131"/>
        <v>0</v>
      </c>
      <c r="N163" s="436">
        <f t="shared" si="131"/>
        <v>3306300</v>
      </c>
      <c r="O163" s="435">
        <f t="shared" si="131"/>
        <v>3306300</v>
      </c>
      <c r="P163" s="436">
        <f t="shared" si="131"/>
        <v>3306300</v>
      </c>
    </row>
    <row r="164" spans="1:16" ht="225">
      <c r="A164" s="434" t="s">
        <v>323</v>
      </c>
      <c r="B164" s="434"/>
      <c r="C164" s="434"/>
      <c r="D164" s="434" t="s">
        <v>99</v>
      </c>
      <c r="E164" s="435">
        <f>E165</f>
        <v>0</v>
      </c>
      <c r="F164" s="436">
        <f>E164</f>
        <v>0</v>
      </c>
      <c r="G164" s="435">
        <f t="shared" si="131"/>
        <v>0</v>
      </c>
      <c r="H164" s="435">
        <f t="shared" si="131"/>
        <v>0</v>
      </c>
      <c r="I164" s="436">
        <f t="shared" si="131"/>
        <v>0</v>
      </c>
      <c r="J164" s="435">
        <f>K164+N164</f>
        <v>3306300</v>
      </c>
      <c r="K164" s="436">
        <f t="shared" si="131"/>
        <v>0</v>
      </c>
      <c r="L164" s="435">
        <f t="shared" si="131"/>
        <v>0</v>
      </c>
      <c r="M164" s="435">
        <f>M165</f>
        <v>0</v>
      </c>
      <c r="N164" s="436">
        <f>N165</f>
        <v>3306300</v>
      </c>
      <c r="O164" s="435">
        <f>O165</f>
        <v>3306300</v>
      </c>
      <c r="P164" s="435">
        <f>+J164+E164</f>
        <v>3306300</v>
      </c>
    </row>
    <row r="165" spans="1:16" ht="137.25">
      <c r="A165" s="243" t="s">
        <v>592</v>
      </c>
      <c r="B165" s="243" t="s">
        <v>593</v>
      </c>
      <c r="C165" s="243" t="s">
        <v>582</v>
      </c>
      <c r="D165" s="331" t="s">
        <v>594</v>
      </c>
      <c r="E165" s="57">
        <f>F165</f>
        <v>0</v>
      </c>
      <c r="F165" s="303">
        <v>0</v>
      </c>
      <c r="G165" s="242"/>
      <c r="H165" s="242"/>
      <c r="I165" s="303"/>
      <c r="J165" s="57">
        <f>K165+N165</f>
        <v>3306300</v>
      </c>
      <c r="K165" s="303"/>
      <c r="L165" s="242"/>
      <c r="M165" s="242"/>
      <c r="N165" s="303">
        <f>O165</f>
        <v>3306300</v>
      </c>
      <c r="O165" s="242">
        <f>(780000)+2376000+150300</f>
        <v>3306300</v>
      </c>
      <c r="P165" s="57">
        <f>E165+J165</f>
        <v>3306300</v>
      </c>
    </row>
    <row r="166" spans="1:16" ht="135">
      <c r="A166" s="433" t="s">
        <v>328</v>
      </c>
      <c r="B166" s="433"/>
      <c r="C166" s="433"/>
      <c r="D166" s="433" t="s">
        <v>783</v>
      </c>
      <c r="E166" s="436">
        <f>E167</f>
        <v>4970800</v>
      </c>
      <c r="F166" s="436">
        <f t="shared" ref="F166:P166" si="132">F167</f>
        <v>4970800</v>
      </c>
      <c r="G166" s="436">
        <f t="shared" si="132"/>
        <v>0</v>
      </c>
      <c r="H166" s="436">
        <f t="shared" si="132"/>
        <v>0</v>
      </c>
      <c r="I166" s="436">
        <f t="shared" si="132"/>
        <v>0</v>
      </c>
      <c r="J166" s="436">
        <f t="shared" si="132"/>
        <v>900000</v>
      </c>
      <c r="K166" s="436">
        <f t="shared" si="132"/>
        <v>0</v>
      </c>
      <c r="L166" s="436">
        <f t="shared" si="132"/>
        <v>0</v>
      </c>
      <c r="M166" s="436">
        <f t="shared" si="132"/>
        <v>0</v>
      </c>
      <c r="N166" s="436">
        <f t="shared" si="132"/>
        <v>900000</v>
      </c>
      <c r="O166" s="435">
        <f t="shared" si="132"/>
        <v>900000</v>
      </c>
      <c r="P166" s="436">
        <f t="shared" si="132"/>
        <v>5870800</v>
      </c>
    </row>
    <row r="167" spans="1:16" ht="135">
      <c r="A167" s="434" t="s">
        <v>329</v>
      </c>
      <c r="B167" s="434"/>
      <c r="C167" s="434"/>
      <c r="D167" s="434" t="s">
        <v>784</v>
      </c>
      <c r="E167" s="435">
        <f>SUM(E168:E171)</f>
        <v>4970800</v>
      </c>
      <c r="F167" s="436">
        <f t="shared" ref="F167:I167" si="133">SUM(F168:F171)</f>
        <v>4970800</v>
      </c>
      <c r="G167" s="436">
        <f t="shared" si="133"/>
        <v>0</v>
      </c>
      <c r="H167" s="436">
        <f t="shared" si="133"/>
        <v>0</v>
      </c>
      <c r="I167" s="436">
        <f t="shared" si="133"/>
        <v>0</v>
      </c>
      <c r="J167" s="435">
        <f>K167+N167</f>
        <v>900000</v>
      </c>
      <c r="K167" s="436">
        <f>SUM(K168:K171)</f>
        <v>0</v>
      </c>
      <c r="L167" s="435">
        <f t="shared" ref="L167:M167" si="134">SUM(L168:L171)</f>
        <v>0</v>
      </c>
      <c r="M167" s="435">
        <f t="shared" si="134"/>
        <v>0</v>
      </c>
      <c r="N167" s="436">
        <f>SUM(N168:N171)</f>
        <v>900000</v>
      </c>
      <c r="O167" s="435">
        <f>SUM(O168:O171)</f>
        <v>900000</v>
      </c>
      <c r="P167" s="435">
        <f>E167+J167</f>
        <v>5870800</v>
      </c>
    </row>
    <row r="168" spans="1:16" ht="137.25">
      <c r="A168" s="394" t="s">
        <v>773</v>
      </c>
      <c r="B168" s="394" t="s">
        <v>774</v>
      </c>
      <c r="C168" s="394" t="s">
        <v>334</v>
      </c>
      <c r="D168" s="316" t="s">
        <v>512</v>
      </c>
      <c r="E168" s="57">
        <f>F168</f>
        <v>0</v>
      </c>
      <c r="F168" s="303"/>
      <c r="G168" s="242"/>
      <c r="H168" s="242"/>
      <c r="I168" s="303"/>
      <c r="J168" s="57">
        <f>K168+N168</f>
        <v>500000</v>
      </c>
      <c r="K168" s="303"/>
      <c r="L168" s="242"/>
      <c r="M168" s="242"/>
      <c r="N168" s="303">
        <f>O168</f>
        <v>500000</v>
      </c>
      <c r="O168" s="242">
        <f>(1000000+200000)-700000</f>
        <v>500000</v>
      </c>
      <c r="P168" s="57">
        <f>E168+J168</f>
        <v>500000</v>
      </c>
    </row>
    <row r="169" spans="1:16" ht="91.5">
      <c r="A169" s="316" t="s">
        <v>510</v>
      </c>
      <c r="B169" s="316" t="s">
        <v>511</v>
      </c>
      <c r="C169" s="316" t="s">
        <v>509</v>
      </c>
      <c r="D169" s="316" t="s">
        <v>508</v>
      </c>
      <c r="E169" s="57">
        <f t="shared" ref="E169:E172" si="135">F169</f>
        <v>2200000</v>
      </c>
      <c r="F169" s="303">
        <f>(1500000)+700000</f>
        <v>2200000</v>
      </c>
      <c r="G169" s="298"/>
      <c r="H169" s="298"/>
      <c r="I169" s="303"/>
      <c r="J169" s="57">
        <f t="shared" ref="J169:J172" si="136">K169+N169</f>
        <v>0</v>
      </c>
      <c r="K169" s="303"/>
      <c r="L169" s="298"/>
      <c r="M169" s="298"/>
      <c r="N169" s="303">
        <f t="shared" ref="N169:N172" si="137">O169</f>
        <v>0</v>
      </c>
      <c r="O169" s="298"/>
      <c r="P169" s="57">
        <f t="shared" ref="P169:P172" si="138">E169+J169</f>
        <v>2200000</v>
      </c>
    </row>
    <row r="170" spans="1:16" ht="137.25">
      <c r="A170" s="316" t="s">
        <v>501</v>
      </c>
      <c r="B170" s="316" t="s">
        <v>503</v>
      </c>
      <c r="C170" s="316" t="s">
        <v>414</v>
      </c>
      <c r="D170" s="316" t="s">
        <v>502</v>
      </c>
      <c r="E170" s="57">
        <f t="shared" si="135"/>
        <v>475000</v>
      </c>
      <c r="F170" s="303">
        <v>475000</v>
      </c>
      <c r="G170" s="298"/>
      <c r="H170" s="298"/>
      <c r="I170" s="303"/>
      <c r="J170" s="57">
        <f t="shared" si="136"/>
        <v>0</v>
      </c>
      <c r="K170" s="303"/>
      <c r="L170" s="298"/>
      <c r="M170" s="298"/>
      <c r="N170" s="303">
        <f t="shared" si="137"/>
        <v>0</v>
      </c>
      <c r="O170" s="298"/>
      <c r="P170" s="57">
        <f t="shared" si="138"/>
        <v>475000</v>
      </c>
    </row>
    <row r="171" spans="1:16" ht="46.5">
      <c r="A171" s="316" t="s">
        <v>505</v>
      </c>
      <c r="B171" s="316" t="s">
        <v>459</v>
      </c>
      <c r="C171" s="316" t="s">
        <v>334</v>
      </c>
      <c r="D171" s="316" t="s">
        <v>457</v>
      </c>
      <c r="E171" s="57">
        <f t="shared" si="135"/>
        <v>2295800</v>
      </c>
      <c r="F171" s="303">
        <f>SUM(F172:F172)</f>
        <v>2295800</v>
      </c>
      <c r="G171" s="298"/>
      <c r="H171" s="298"/>
      <c r="I171" s="303"/>
      <c r="J171" s="57">
        <f t="shared" si="136"/>
        <v>400000</v>
      </c>
      <c r="K171" s="303">
        <f>SUM(K172:K172)</f>
        <v>0</v>
      </c>
      <c r="L171" s="298"/>
      <c r="M171" s="298"/>
      <c r="N171" s="303">
        <f t="shared" si="137"/>
        <v>400000</v>
      </c>
      <c r="O171" s="298">
        <f>SUM(O172:O172)</f>
        <v>400000</v>
      </c>
      <c r="P171" s="57">
        <f t="shared" si="138"/>
        <v>2695800</v>
      </c>
    </row>
    <row r="172" spans="1:16" ht="91.5">
      <c r="A172" s="217" t="s">
        <v>506</v>
      </c>
      <c r="B172" s="217" t="s">
        <v>507</v>
      </c>
      <c r="C172" s="217" t="s">
        <v>334</v>
      </c>
      <c r="D172" s="217" t="s">
        <v>504</v>
      </c>
      <c r="E172" s="303">
        <f t="shared" si="135"/>
        <v>2295800</v>
      </c>
      <c r="F172" s="303">
        <f>(4195800-1965302-34698)+100000</f>
        <v>2295800</v>
      </c>
      <c r="G172" s="303"/>
      <c r="H172" s="303"/>
      <c r="I172" s="303"/>
      <c r="J172" s="303">
        <f t="shared" si="136"/>
        <v>400000</v>
      </c>
      <c r="K172" s="303"/>
      <c r="L172" s="303"/>
      <c r="M172" s="303"/>
      <c r="N172" s="303">
        <f t="shared" si="137"/>
        <v>400000</v>
      </c>
      <c r="O172" s="303">
        <f>(0)+400000</f>
        <v>400000</v>
      </c>
      <c r="P172" s="303">
        <f t="shared" si="138"/>
        <v>2695800</v>
      </c>
    </row>
    <row r="173" spans="1:16" ht="135">
      <c r="A173" s="433" t="s">
        <v>326</v>
      </c>
      <c r="B173" s="433"/>
      <c r="C173" s="433"/>
      <c r="D173" s="433" t="s">
        <v>73</v>
      </c>
      <c r="E173" s="436">
        <f>E174</f>
        <v>0</v>
      </c>
      <c r="F173" s="436">
        <f t="shared" ref="F173:P173" si="139">F174</f>
        <v>0</v>
      </c>
      <c r="G173" s="436">
        <f t="shared" si="139"/>
        <v>0</v>
      </c>
      <c r="H173" s="436">
        <f t="shared" si="139"/>
        <v>0</v>
      </c>
      <c r="I173" s="436">
        <f t="shared" si="139"/>
        <v>0</v>
      </c>
      <c r="J173" s="436">
        <f t="shared" si="139"/>
        <v>1271148.6600000001</v>
      </c>
      <c r="K173" s="436">
        <f t="shared" si="139"/>
        <v>0</v>
      </c>
      <c r="L173" s="436">
        <f t="shared" si="139"/>
        <v>0</v>
      </c>
      <c r="M173" s="436">
        <f t="shared" si="139"/>
        <v>0</v>
      </c>
      <c r="N173" s="436">
        <f t="shared" si="139"/>
        <v>1271148.6600000001</v>
      </c>
      <c r="O173" s="435">
        <f t="shared" si="139"/>
        <v>0</v>
      </c>
      <c r="P173" s="436">
        <f t="shared" si="139"/>
        <v>1271148.6600000001</v>
      </c>
    </row>
    <row r="174" spans="1:16" ht="180">
      <c r="A174" s="434" t="s">
        <v>327</v>
      </c>
      <c r="B174" s="434"/>
      <c r="C174" s="434"/>
      <c r="D174" s="434" t="s">
        <v>100</v>
      </c>
      <c r="E174" s="435">
        <v>0</v>
      </c>
      <c r="F174" s="436">
        <f>F178+F179+F175</f>
        <v>0</v>
      </c>
      <c r="G174" s="435">
        <f>G178+G179+G175</f>
        <v>0</v>
      </c>
      <c r="H174" s="435">
        <f>H178+H179+H175</f>
        <v>0</v>
      </c>
      <c r="I174" s="436">
        <f>I178+I179+I175</f>
        <v>0</v>
      </c>
      <c r="J174" s="435">
        <f>K174+N174</f>
        <v>1271148.6600000001</v>
      </c>
      <c r="K174" s="436">
        <f>K178+K179+K175</f>
        <v>0</v>
      </c>
      <c r="L174" s="435">
        <f>L178+L179+L175</f>
        <v>0</v>
      </c>
      <c r="M174" s="435">
        <f>M178+M179+M175</f>
        <v>0</v>
      </c>
      <c r="N174" s="436">
        <f>N178+N179+N175</f>
        <v>1271148.6600000001</v>
      </c>
      <c r="O174" s="435">
        <f>O178+O179+O175</f>
        <v>0</v>
      </c>
      <c r="P174" s="435">
        <f>E174+J174</f>
        <v>1271148.6600000001</v>
      </c>
    </row>
    <row r="175" spans="1:16" ht="137.25">
      <c r="A175" s="331" t="s">
        <v>595</v>
      </c>
      <c r="B175" s="331" t="s">
        <v>596</v>
      </c>
      <c r="C175" s="331"/>
      <c r="D175" s="331" t="s">
        <v>597</v>
      </c>
      <c r="E175" s="212">
        <f t="shared" ref="E175:E176" si="140">F175</f>
        <v>0</v>
      </c>
      <c r="F175" s="62">
        <f>F176+F177</f>
        <v>0</v>
      </c>
      <c r="G175" s="213">
        <f>G176+G177</f>
        <v>0</v>
      </c>
      <c r="H175" s="213">
        <f>H176+H177</f>
        <v>0</v>
      </c>
      <c r="I175" s="62">
        <f>I176+I177</f>
        <v>0</v>
      </c>
      <c r="J175" s="57">
        <f t="shared" ref="J175:J176" si="141">K175+N175</f>
        <v>937148.66</v>
      </c>
      <c r="K175" s="62">
        <f>K176+K177</f>
        <v>0</v>
      </c>
      <c r="L175" s="213">
        <f>L176+L177</f>
        <v>0</v>
      </c>
      <c r="M175" s="213">
        <f>M176+M177</f>
        <v>0</v>
      </c>
      <c r="N175" s="214">
        <f>N176+N177</f>
        <v>937148.66</v>
      </c>
      <c r="O175" s="62">
        <f>O176+O177</f>
        <v>0</v>
      </c>
      <c r="P175" s="57">
        <f t="shared" ref="P175" si="142">E175+J175</f>
        <v>937148.66</v>
      </c>
    </row>
    <row r="176" spans="1:16" ht="91.5">
      <c r="A176" s="217" t="s">
        <v>598</v>
      </c>
      <c r="B176" s="217" t="s">
        <v>599</v>
      </c>
      <c r="C176" s="217" t="s">
        <v>122</v>
      </c>
      <c r="D176" s="217" t="s">
        <v>123</v>
      </c>
      <c r="E176" s="303">
        <f t="shared" si="140"/>
        <v>0</v>
      </c>
      <c r="F176" s="303"/>
      <c r="G176" s="303"/>
      <c r="H176" s="303"/>
      <c r="I176" s="303"/>
      <c r="J176" s="303">
        <f t="shared" si="141"/>
        <v>629148.66</v>
      </c>
      <c r="K176" s="303"/>
      <c r="L176" s="303"/>
      <c r="M176" s="303"/>
      <c r="N176" s="303">
        <f>(O176+276000)+68148.66+285000</f>
        <v>629148.66</v>
      </c>
      <c r="O176" s="298"/>
      <c r="P176" s="303">
        <f t="shared" ref="P176:P177" si="143">E176+J176</f>
        <v>629148.66</v>
      </c>
    </row>
    <row r="177" spans="1:17" ht="46.5">
      <c r="A177" s="217" t="s">
        <v>600</v>
      </c>
      <c r="B177" s="217" t="s">
        <v>601</v>
      </c>
      <c r="C177" s="217" t="s">
        <v>124</v>
      </c>
      <c r="D177" s="217" t="s">
        <v>602</v>
      </c>
      <c r="E177" s="303">
        <f t="shared" ref="E177" si="144">F177</f>
        <v>0</v>
      </c>
      <c r="F177" s="303"/>
      <c r="G177" s="303"/>
      <c r="H177" s="303"/>
      <c r="I177" s="303"/>
      <c r="J177" s="303">
        <f t="shared" ref="J177" si="145">K177+N177</f>
        <v>308000</v>
      </c>
      <c r="K177" s="303"/>
      <c r="L177" s="303"/>
      <c r="M177" s="303"/>
      <c r="N177" s="303">
        <f>(O177+70000)+238000</f>
        <v>308000</v>
      </c>
      <c r="O177" s="303"/>
      <c r="P177" s="303">
        <f t="shared" si="143"/>
        <v>308000</v>
      </c>
    </row>
    <row r="178" spans="1:17" ht="91.5">
      <c r="A178" s="243" t="s">
        <v>603</v>
      </c>
      <c r="B178" s="243" t="s">
        <v>604</v>
      </c>
      <c r="C178" s="243" t="s">
        <v>126</v>
      </c>
      <c r="D178" s="243" t="s">
        <v>133</v>
      </c>
      <c r="E178" s="57">
        <v>0</v>
      </c>
      <c r="F178" s="303"/>
      <c r="G178" s="242"/>
      <c r="H178" s="242"/>
      <c r="I178" s="303"/>
      <c r="J178" s="57">
        <f>K178+N178</f>
        <v>125000</v>
      </c>
      <c r="K178" s="303"/>
      <c r="L178" s="242"/>
      <c r="M178" s="242"/>
      <c r="N178" s="214">
        <f>(O178+40000)+85000</f>
        <v>125000</v>
      </c>
      <c r="O178" s="298"/>
      <c r="P178" s="57">
        <f>E178+J178</f>
        <v>125000</v>
      </c>
    </row>
    <row r="179" spans="1:17" ht="91.5">
      <c r="A179" s="243" t="s">
        <v>605</v>
      </c>
      <c r="B179" s="243" t="s">
        <v>606</v>
      </c>
      <c r="C179" s="243" t="s">
        <v>125</v>
      </c>
      <c r="D179" s="331" t="s">
        <v>607</v>
      </c>
      <c r="E179" s="57">
        <v>0</v>
      </c>
      <c r="F179" s="303"/>
      <c r="G179" s="242"/>
      <c r="H179" s="242"/>
      <c r="I179" s="303"/>
      <c r="J179" s="57">
        <f>K179+N179</f>
        <v>209000</v>
      </c>
      <c r="K179" s="303"/>
      <c r="L179" s="242"/>
      <c r="M179" s="242"/>
      <c r="N179" s="214">
        <f>(O179+179000)+30000</f>
        <v>209000</v>
      </c>
      <c r="O179" s="298"/>
      <c r="P179" s="57">
        <f>E179+J179</f>
        <v>209000</v>
      </c>
    </row>
    <row r="180" spans="1:17" ht="225">
      <c r="A180" s="433" t="s">
        <v>324</v>
      </c>
      <c r="B180" s="433"/>
      <c r="C180" s="433"/>
      <c r="D180" s="433" t="s">
        <v>785</v>
      </c>
      <c r="E180" s="436">
        <f>E181</f>
        <v>0</v>
      </c>
      <c r="F180" s="436">
        <f t="shared" ref="F180:P180" si="146">F181</f>
        <v>0</v>
      </c>
      <c r="G180" s="436">
        <f t="shared" si="146"/>
        <v>0</v>
      </c>
      <c r="H180" s="436">
        <f t="shared" si="146"/>
        <v>0</v>
      </c>
      <c r="I180" s="436">
        <f t="shared" si="146"/>
        <v>0</v>
      </c>
      <c r="J180" s="436">
        <f t="shared" si="146"/>
        <v>1705000</v>
      </c>
      <c r="K180" s="436">
        <f t="shared" si="146"/>
        <v>0</v>
      </c>
      <c r="L180" s="436">
        <f t="shared" si="146"/>
        <v>0</v>
      </c>
      <c r="M180" s="436">
        <f t="shared" si="146"/>
        <v>0</v>
      </c>
      <c r="N180" s="436">
        <f t="shared" si="146"/>
        <v>1705000</v>
      </c>
      <c r="O180" s="435">
        <f t="shared" si="146"/>
        <v>1705000</v>
      </c>
      <c r="P180" s="436">
        <f t="shared" si="146"/>
        <v>1705000</v>
      </c>
    </row>
    <row r="181" spans="1:17" ht="270">
      <c r="A181" s="434" t="s">
        <v>325</v>
      </c>
      <c r="B181" s="434"/>
      <c r="C181" s="434"/>
      <c r="D181" s="434" t="s">
        <v>786</v>
      </c>
      <c r="E181" s="435">
        <f>E182+E183</f>
        <v>0</v>
      </c>
      <c r="F181" s="436">
        <f>F182+F183</f>
        <v>0</v>
      </c>
      <c r="G181" s="435">
        <f>G182+G183</f>
        <v>0</v>
      </c>
      <c r="H181" s="435">
        <f>H182+H183</f>
        <v>0</v>
      </c>
      <c r="I181" s="436">
        <f>I182+I183</f>
        <v>0</v>
      </c>
      <c r="J181" s="435">
        <f>K181+N181</f>
        <v>1705000</v>
      </c>
      <c r="K181" s="436">
        <f>K182+K183</f>
        <v>0</v>
      </c>
      <c r="L181" s="435">
        <f>L182+L183</f>
        <v>0</v>
      </c>
      <c r="M181" s="435">
        <f>M182+M183</f>
        <v>0</v>
      </c>
      <c r="N181" s="436">
        <f>O181</f>
        <v>1705000</v>
      </c>
      <c r="O181" s="435">
        <f>O182+O183</f>
        <v>1705000</v>
      </c>
      <c r="P181" s="435">
        <f>+J181+E181</f>
        <v>1705000</v>
      </c>
    </row>
    <row r="182" spans="1:17" ht="91.5">
      <c r="A182" s="243" t="s">
        <v>589</v>
      </c>
      <c r="B182" s="243" t="s">
        <v>590</v>
      </c>
      <c r="C182" s="243" t="s">
        <v>591</v>
      </c>
      <c r="D182" s="331" t="s">
        <v>588</v>
      </c>
      <c r="E182" s="57">
        <f>F182</f>
        <v>0</v>
      </c>
      <c r="F182" s="303">
        <v>0</v>
      </c>
      <c r="G182" s="242"/>
      <c r="H182" s="242"/>
      <c r="I182" s="303"/>
      <c r="J182" s="57">
        <f>K182+N182</f>
        <v>1653000</v>
      </c>
      <c r="K182" s="303"/>
      <c r="L182" s="242"/>
      <c r="M182" s="242"/>
      <c r="N182" s="303">
        <f>O182</f>
        <v>1653000</v>
      </c>
      <c r="O182" s="242">
        <f>(300000)-52000+1405000</f>
        <v>1653000</v>
      </c>
      <c r="P182" s="57">
        <f>E182+J182</f>
        <v>1653000</v>
      </c>
    </row>
    <row r="183" spans="1:17" ht="137.25">
      <c r="A183" s="501" t="s">
        <v>864</v>
      </c>
      <c r="B183" s="501" t="s">
        <v>865</v>
      </c>
      <c r="C183" s="501" t="s">
        <v>334</v>
      </c>
      <c r="D183" s="501" t="s">
        <v>866</v>
      </c>
      <c r="E183" s="502">
        <f>F183</f>
        <v>0</v>
      </c>
      <c r="F183" s="303">
        <v>0</v>
      </c>
      <c r="G183" s="298"/>
      <c r="H183" s="298"/>
      <c r="I183" s="303"/>
      <c r="J183" s="502">
        <f>K183+N183</f>
        <v>52000</v>
      </c>
      <c r="K183" s="303"/>
      <c r="L183" s="298"/>
      <c r="M183" s="298"/>
      <c r="N183" s="303">
        <f>O183</f>
        <v>52000</v>
      </c>
      <c r="O183" s="298">
        <v>52000</v>
      </c>
      <c r="P183" s="502">
        <f>E183+J183</f>
        <v>52000</v>
      </c>
    </row>
    <row r="184" spans="1:17" ht="135">
      <c r="A184" s="433" t="s">
        <v>330</v>
      </c>
      <c r="B184" s="433"/>
      <c r="C184" s="433"/>
      <c r="D184" s="433" t="s">
        <v>75</v>
      </c>
      <c r="E184" s="436">
        <f>E185</f>
        <v>30309414.259999998</v>
      </c>
      <c r="F184" s="436">
        <f t="shared" ref="F184:P184" si="147">F185</f>
        <v>30309414.259999998</v>
      </c>
      <c r="G184" s="436">
        <f t="shared" si="147"/>
        <v>0</v>
      </c>
      <c r="H184" s="436">
        <f t="shared" si="147"/>
        <v>0</v>
      </c>
      <c r="I184" s="436">
        <f t="shared" si="147"/>
        <v>0</v>
      </c>
      <c r="J184" s="436">
        <f t="shared" si="147"/>
        <v>0</v>
      </c>
      <c r="K184" s="436">
        <f t="shared" si="147"/>
        <v>0</v>
      </c>
      <c r="L184" s="436">
        <f t="shared" si="147"/>
        <v>0</v>
      </c>
      <c r="M184" s="436">
        <f t="shared" si="147"/>
        <v>0</v>
      </c>
      <c r="N184" s="436">
        <f t="shared" si="147"/>
        <v>0</v>
      </c>
      <c r="O184" s="435">
        <f t="shared" si="147"/>
        <v>0</v>
      </c>
      <c r="P184" s="436">
        <f t="shared" si="147"/>
        <v>30309414.259999998</v>
      </c>
    </row>
    <row r="185" spans="1:17" ht="135">
      <c r="A185" s="434" t="s">
        <v>331</v>
      </c>
      <c r="B185" s="434"/>
      <c r="C185" s="434"/>
      <c r="D185" s="434" t="s">
        <v>101</v>
      </c>
      <c r="E185" s="435">
        <f>E186+E187+E188</f>
        <v>30309414.259999998</v>
      </c>
      <c r="F185" s="436">
        <f>F186+F187+F188</f>
        <v>30309414.259999998</v>
      </c>
      <c r="G185" s="435">
        <f>SUM(G186:G188)</f>
        <v>0</v>
      </c>
      <c r="H185" s="435">
        <f>SUM(H186:H188)</f>
        <v>0</v>
      </c>
      <c r="I185" s="436">
        <v>0</v>
      </c>
      <c r="J185" s="435">
        <f>K185+N185</f>
        <v>0</v>
      </c>
      <c r="K185" s="436">
        <f>SUM(K186:K187)</f>
        <v>0</v>
      </c>
      <c r="L185" s="435">
        <f>SUM(L186:L188)</f>
        <v>0</v>
      </c>
      <c r="M185" s="435">
        <f>SUM(M186:M188)</f>
        <v>0</v>
      </c>
      <c r="N185" s="436">
        <f>SUM(N186:N187)</f>
        <v>0</v>
      </c>
      <c r="O185" s="435">
        <f>SUM(O186:O187)</f>
        <v>0</v>
      </c>
      <c r="P185" s="435">
        <f>E185+J185</f>
        <v>30309414.259999998</v>
      </c>
    </row>
    <row r="186" spans="1:17" ht="46.5">
      <c r="A186" s="244">
        <v>3718700</v>
      </c>
      <c r="B186" s="244">
        <v>8700</v>
      </c>
      <c r="C186" s="243" t="s">
        <v>105</v>
      </c>
      <c r="D186" s="218" t="s">
        <v>103</v>
      </c>
      <c r="E186" s="57">
        <f>F186</f>
        <v>1920999</v>
      </c>
      <c r="F186" s="303">
        <f>(3000000+1200000+1500000-700000-1969600-1109401)</f>
        <v>1920999</v>
      </c>
      <c r="G186" s="242"/>
      <c r="H186" s="242"/>
      <c r="I186" s="303"/>
      <c r="J186" s="57">
        <f>K186+N186</f>
        <v>0</v>
      </c>
      <c r="K186" s="303"/>
      <c r="L186" s="242"/>
      <c r="M186" s="242"/>
      <c r="N186" s="303"/>
      <c r="O186" s="242"/>
      <c r="P186" s="57">
        <f>E186+J186</f>
        <v>1920999</v>
      </c>
    </row>
    <row r="187" spans="1:17" ht="46.5">
      <c r="A187" s="244">
        <v>3718600</v>
      </c>
      <c r="B187" s="244">
        <v>8600</v>
      </c>
      <c r="C187" s="243" t="s">
        <v>800</v>
      </c>
      <c r="D187" s="285" t="s">
        <v>801</v>
      </c>
      <c r="E187" s="57">
        <f>F187</f>
        <v>281515.26</v>
      </c>
      <c r="F187" s="303">
        <v>281515.26</v>
      </c>
      <c r="G187" s="242"/>
      <c r="H187" s="242"/>
      <c r="I187" s="303"/>
      <c r="J187" s="57">
        <f t="shared" ref="J187" si="148">K187+N187</f>
        <v>0</v>
      </c>
      <c r="K187" s="303"/>
      <c r="L187" s="242"/>
      <c r="M187" s="242"/>
      <c r="N187" s="303"/>
      <c r="O187" s="242"/>
      <c r="P187" s="57">
        <f>E187+J187</f>
        <v>281515.26</v>
      </c>
    </row>
    <row r="188" spans="1:17" ht="46.5">
      <c r="A188" s="244">
        <v>3719110</v>
      </c>
      <c r="B188" s="244">
        <v>9110</v>
      </c>
      <c r="C188" s="243" t="s">
        <v>106</v>
      </c>
      <c r="D188" s="218" t="s">
        <v>104</v>
      </c>
      <c r="E188" s="57">
        <f>F188</f>
        <v>28106900</v>
      </c>
      <c r="F188" s="303">
        <v>28106900</v>
      </c>
      <c r="G188" s="242"/>
      <c r="H188" s="242"/>
      <c r="I188" s="303"/>
      <c r="J188" s="57">
        <f>K188+N188</f>
        <v>0</v>
      </c>
      <c r="K188" s="303"/>
      <c r="L188" s="242"/>
      <c r="M188" s="242"/>
      <c r="N188" s="303"/>
      <c r="O188" s="242"/>
      <c r="P188" s="57">
        <f>E188+J188</f>
        <v>28106900</v>
      </c>
    </row>
    <row r="189" spans="1:17" s="5" customFormat="1" ht="45.75">
      <c r="A189" s="582" t="s">
        <v>8</v>
      </c>
      <c r="B189" s="582"/>
      <c r="C189" s="582"/>
      <c r="D189" s="582"/>
      <c r="E189" s="254">
        <f>E13+E27+E116+E41+E56+E104+E138+E157+E164+E185+E167+E174+E181</f>
        <v>2662108517.2600002</v>
      </c>
      <c r="F189" s="255">
        <f>F13+F27+F116+F41+F55+F104+F138+F157+F164+F185+F167+F174+F181</f>
        <v>2662108517.2600002</v>
      </c>
      <c r="G189" s="254">
        <f t="shared" ref="G189:O189" si="149">G13+G27+G116+G41+G56+G104+G138+G157+G164+G185+G167+G174+G181</f>
        <v>736786598</v>
      </c>
      <c r="H189" s="254">
        <f t="shared" si="149"/>
        <v>97864688</v>
      </c>
      <c r="I189" s="255">
        <f t="shared" si="149"/>
        <v>0</v>
      </c>
      <c r="J189" s="254">
        <f t="shared" si="149"/>
        <v>540407383.68999994</v>
      </c>
      <c r="K189" s="255">
        <f t="shared" si="149"/>
        <v>113717167.62</v>
      </c>
      <c r="L189" s="254">
        <f t="shared" si="149"/>
        <v>27261672</v>
      </c>
      <c r="M189" s="254">
        <f t="shared" si="149"/>
        <v>6634600</v>
      </c>
      <c r="N189" s="255">
        <f t="shared" si="149"/>
        <v>426690216.06999999</v>
      </c>
      <c r="O189" s="254">
        <f t="shared" si="149"/>
        <v>421644884.31999999</v>
      </c>
      <c r="P189" s="254">
        <f>P13+P27+P116+P41+P55+P104+P138+P157+P164+P185+P167+P174+P181</f>
        <v>3202515900.9499998</v>
      </c>
      <c r="Q189" s="232" t="b">
        <f>O189='dod5'!J212</f>
        <v>1</v>
      </c>
    </row>
    <row r="190" spans="1:17" ht="31.5" customHeight="1">
      <c r="A190" s="583" t="s">
        <v>586</v>
      </c>
      <c r="B190" s="584"/>
      <c r="C190" s="584"/>
      <c r="D190" s="584"/>
      <c r="E190" s="584"/>
      <c r="F190" s="584"/>
      <c r="G190" s="584"/>
      <c r="H190" s="584"/>
      <c r="I190" s="584"/>
      <c r="J190" s="584"/>
      <c r="K190" s="584"/>
      <c r="L190" s="584"/>
      <c r="M190" s="584"/>
      <c r="N190" s="584"/>
      <c r="O190" s="584"/>
      <c r="P190" s="584"/>
      <c r="Q190" s="26"/>
    </row>
    <row r="191" spans="1:17" ht="31.5" customHeight="1">
      <c r="A191" s="338"/>
      <c r="B191" s="339"/>
      <c r="C191" s="339"/>
      <c r="D191" s="339"/>
      <c r="E191" s="339"/>
      <c r="F191" s="341"/>
      <c r="G191" s="339"/>
      <c r="H191" s="339"/>
      <c r="I191" s="341"/>
      <c r="J191" s="339"/>
      <c r="K191" s="341"/>
      <c r="L191" s="339"/>
      <c r="M191" s="339"/>
      <c r="N191" s="341"/>
      <c r="O191" s="339"/>
      <c r="P191" s="339"/>
      <c r="Q191" s="26"/>
    </row>
    <row r="192" spans="1:17" ht="61.5" customHeight="1">
      <c r="A192" s="16"/>
      <c r="B192" s="16"/>
      <c r="C192" s="16"/>
      <c r="D192" s="581" t="s">
        <v>296</v>
      </c>
      <c r="E192" s="581"/>
      <c r="F192" s="581"/>
      <c r="G192" s="581"/>
      <c r="H192" s="581"/>
      <c r="I192" s="581"/>
      <c r="J192" s="581"/>
      <c r="K192" s="581"/>
      <c r="L192" s="581"/>
      <c r="M192" s="581"/>
      <c r="N192" s="581"/>
      <c r="O192" s="581"/>
      <c r="P192" s="581"/>
      <c r="Q192" s="27"/>
    </row>
    <row r="193" spans="1:17" ht="45.75">
      <c r="E193" s="89"/>
      <c r="F193" s="13"/>
      <c r="J193" s="11"/>
      <c r="N193" s="78"/>
      <c r="O193" s="88"/>
      <c r="P193" s="73"/>
    </row>
    <row r="194" spans="1:17" ht="45">
      <c r="D194" s="7"/>
      <c r="E194" s="77"/>
      <c r="F194" s="485"/>
      <c r="H194" s="7"/>
      <c r="I194" s="346"/>
      <c r="J194" s="77"/>
      <c r="N194" s="346"/>
      <c r="O194" s="77"/>
      <c r="P194" s="77"/>
      <c r="Q194" s="28"/>
    </row>
    <row r="195" spans="1:17">
      <c r="E195" s="9"/>
      <c r="F195" s="13"/>
      <c r="J195" s="9"/>
      <c r="O195" s="6"/>
    </row>
    <row r="196" spans="1:17">
      <c r="E196" s="9"/>
      <c r="F196" s="13"/>
      <c r="J196" s="9"/>
    </row>
    <row r="197" spans="1:17" ht="45.75">
      <c r="E197" s="73"/>
      <c r="F197" s="76"/>
      <c r="G197" s="6"/>
      <c r="I197" s="343"/>
      <c r="J197" s="238"/>
      <c r="K197" s="343"/>
      <c r="L197" s="237"/>
      <c r="M197" s="237"/>
      <c r="N197" s="347"/>
      <c r="O197" s="239"/>
      <c r="P197" s="232" t="b">
        <f>E189+J189=P189</f>
        <v>1</v>
      </c>
    </row>
    <row r="198" spans="1:17" ht="13.5">
      <c r="E198" s="12"/>
      <c r="F198" s="15"/>
      <c r="G198" s="4"/>
      <c r="H198" s="4"/>
      <c r="I198" s="4"/>
      <c r="J198" s="9"/>
    </row>
    <row r="199" spans="1:17" ht="45.75">
      <c r="A199"/>
      <c r="B199"/>
      <c r="C199"/>
      <c r="D199"/>
      <c r="E199" s="232" t="b">
        <f>E189=F189</f>
        <v>1</v>
      </c>
      <c r="F199" s="78">
        <f>F186/P189*100</f>
        <v>5.9984058140980706E-2</v>
      </c>
      <c r="G199" s="393" t="s">
        <v>664</v>
      </c>
      <c r="J199" s="8"/>
      <c r="K199" s="344"/>
      <c r="L199"/>
      <c r="M199"/>
      <c r="N199" s="344"/>
      <c r="O199"/>
      <c r="P199"/>
    </row>
    <row r="200" spans="1:17" ht="60.75">
      <c r="E200" s="79"/>
      <c r="G200" s="81"/>
      <c r="P200" s="327">
        <v>8287748</v>
      </c>
      <c r="Q200" s="328" t="s">
        <v>537</v>
      </c>
    </row>
    <row r="201" spans="1:17" ht="60.75">
      <c r="A201"/>
      <c r="B201"/>
      <c r="C201"/>
      <c r="D201"/>
      <c r="E201" s="77"/>
      <c r="F201" s="78"/>
      <c r="G201" s="6"/>
      <c r="J201" s="9"/>
      <c r="K201" s="344"/>
      <c r="L201"/>
      <c r="M201"/>
      <c r="N201" s="344"/>
      <c r="O201"/>
      <c r="P201" s="327">
        <f>дод1!C101</f>
        <v>3068143417.6999998</v>
      </c>
      <c r="Q201" s="328" t="s">
        <v>572</v>
      </c>
    </row>
    <row r="202" spans="1:17" ht="60.75">
      <c r="E202" s="79"/>
      <c r="F202" s="80"/>
      <c r="P202" s="327">
        <f>P201-P189</f>
        <v>-134372483.25</v>
      </c>
    </row>
    <row r="203" spans="1:17" ht="60.75">
      <c r="A203"/>
      <c r="B203"/>
      <c r="C203"/>
      <c r="D203"/>
      <c r="E203" s="77"/>
      <c r="F203" s="78"/>
      <c r="G203" s="6"/>
      <c r="J203" s="9"/>
      <c r="K203" s="344"/>
      <c r="L203"/>
      <c r="M203"/>
      <c r="N203" s="344"/>
      <c r="O203"/>
      <c r="P203" s="327">
        <f>P202+P200</f>
        <v>-126084735.25</v>
      </c>
    </row>
    <row r="204" spans="1:17" ht="45.75">
      <c r="A204"/>
      <c r="B204"/>
      <c r="C204"/>
      <c r="D204"/>
      <c r="E204" s="77"/>
      <c r="F204" s="78"/>
      <c r="J204" s="9"/>
      <c r="K204" s="344"/>
      <c r="L204"/>
      <c r="M204"/>
      <c r="N204" s="344"/>
      <c r="O204"/>
      <c r="P204"/>
    </row>
    <row r="205" spans="1:17" ht="45.75">
      <c r="E205" s="79"/>
      <c r="F205" s="80"/>
    </row>
    <row r="206" spans="1:17" ht="45.75">
      <c r="A206"/>
      <c r="B206"/>
      <c r="C206"/>
      <c r="D206"/>
      <c r="E206" s="77"/>
      <c r="F206" s="78"/>
      <c r="K206" s="344"/>
      <c r="L206"/>
      <c r="M206"/>
      <c r="N206" s="344"/>
      <c r="O206"/>
      <c r="P206"/>
    </row>
    <row r="207" spans="1:17" ht="45.75">
      <c r="E207" s="79"/>
      <c r="F207" s="80"/>
    </row>
    <row r="208" spans="1:17" ht="45.75">
      <c r="E208" s="79"/>
      <c r="F208" s="80"/>
    </row>
    <row r="209" spans="1:16" ht="45.75">
      <c r="E209" s="79"/>
      <c r="F209" s="80"/>
    </row>
    <row r="210" spans="1:16" ht="45.75">
      <c r="A210"/>
      <c r="B210"/>
      <c r="C210"/>
      <c r="D210"/>
      <c r="E210" s="79"/>
      <c r="F210" s="80"/>
      <c r="G210"/>
      <c r="H210"/>
      <c r="I210" s="344"/>
      <c r="J210"/>
      <c r="K210" s="344"/>
      <c r="L210"/>
      <c r="M210"/>
      <c r="N210" s="344"/>
      <c r="O210"/>
      <c r="P210"/>
    </row>
    <row r="211" spans="1:16" ht="45.75">
      <c r="A211"/>
      <c r="B211"/>
      <c r="C211"/>
      <c r="D211"/>
      <c r="E211" s="79"/>
      <c r="F211" s="80"/>
      <c r="G211"/>
      <c r="H211"/>
      <c r="I211" s="344"/>
      <c r="J211"/>
      <c r="K211" s="344"/>
      <c r="L211"/>
      <c r="M211"/>
      <c r="N211" s="344"/>
      <c r="O211"/>
      <c r="P211"/>
    </row>
    <row r="212" spans="1:16" ht="45.75">
      <c r="A212"/>
      <c r="B212"/>
      <c r="C212"/>
      <c r="D212"/>
      <c r="E212" s="79"/>
      <c r="F212" s="80"/>
      <c r="G212"/>
      <c r="H212"/>
      <c r="I212" s="344"/>
      <c r="J212"/>
      <c r="K212" s="344"/>
      <c r="L212"/>
      <c r="M212"/>
      <c r="N212" s="344"/>
      <c r="O212"/>
      <c r="P212"/>
    </row>
    <row r="213" spans="1:16" ht="45.75">
      <c r="A213"/>
      <c r="B213"/>
      <c r="C213"/>
      <c r="D213"/>
      <c r="E213" s="79"/>
      <c r="F213" s="80"/>
      <c r="G213"/>
      <c r="H213"/>
      <c r="I213" s="344"/>
      <c r="J213"/>
      <c r="K213" s="344"/>
      <c r="L213"/>
      <c r="M213"/>
      <c r="N213" s="344"/>
      <c r="O213"/>
      <c r="P213"/>
    </row>
  </sheetData>
  <mergeCells count="67">
    <mergeCell ref="G96:G97"/>
    <mergeCell ref="H96:H97"/>
    <mergeCell ref="I96:I97"/>
    <mergeCell ref="K96:K97"/>
    <mergeCell ref="L96:L97"/>
    <mergeCell ref="J96:J97"/>
    <mergeCell ref="A96:A97"/>
    <mergeCell ref="B96:B97"/>
    <mergeCell ref="C96:C97"/>
    <mergeCell ref="E96:E97"/>
    <mergeCell ref="F96:F97"/>
    <mergeCell ref="M96:M97"/>
    <mergeCell ref="O96:O97"/>
    <mergeCell ref="N96:N97"/>
    <mergeCell ref="J9:J10"/>
    <mergeCell ref="K9:K10"/>
    <mergeCell ref="N21:N22"/>
    <mergeCell ref="N78:N79"/>
    <mergeCell ref="D192:P192"/>
    <mergeCell ref="A189:D189"/>
    <mergeCell ref="F9:F10"/>
    <mergeCell ref="D8:D10"/>
    <mergeCell ref="E8:I8"/>
    <mergeCell ref="G9:H9"/>
    <mergeCell ref="A190:P190"/>
    <mergeCell ref="O21:O22"/>
    <mergeCell ref="P21:P22"/>
    <mergeCell ref="A21:A22"/>
    <mergeCell ref="B21:B22"/>
    <mergeCell ref="C21:C22"/>
    <mergeCell ref="E21:E22"/>
    <mergeCell ref="F21:F22"/>
    <mergeCell ref="G21:G22"/>
    <mergeCell ref="P96:P97"/>
    <mergeCell ref="N1:P1"/>
    <mergeCell ref="N2:P2"/>
    <mergeCell ref="N3:P3"/>
    <mergeCell ref="P8:P10"/>
    <mergeCell ref="A5:P5"/>
    <mergeCell ref="E9:E10"/>
    <mergeCell ref="I9:I10"/>
    <mergeCell ref="A8:A10"/>
    <mergeCell ref="J8:N8"/>
    <mergeCell ref="A6:P6"/>
    <mergeCell ref="N9:N10"/>
    <mergeCell ref="L9:M9"/>
    <mergeCell ref="B8:B10"/>
    <mergeCell ref="H21:H22"/>
    <mergeCell ref="I21:I22"/>
    <mergeCell ref="K21:K22"/>
    <mergeCell ref="L21:L22"/>
    <mergeCell ref="M21:M22"/>
    <mergeCell ref="J21:J22"/>
    <mergeCell ref="A78:A79"/>
    <mergeCell ref="B78:B79"/>
    <mergeCell ref="C78:C79"/>
    <mergeCell ref="E78:E79"/>
    <mergeCell ref="J78:J79"/>
    <mergeCell ref="P78:P79"/>
    <mergeCell ref="F78:F79"/>
    <mergeCell ref="G78:G79"/>
    <mergeCell ref="H78:H79"/>
    <mergeCell ref="I78:I79"/>
    <mergeCell ref="K78:K79"/>
    <mergeCell ref="L78:L79"/>
    <mergeCell ref="M78:M79"/>
    <mergeCell ref="O78:O79"/>
  </mergeCells>
  <phoneticPr fontId="0" type="noConversion"/>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6" manualBreakCount="6">
    <brk id="26" max="15" man="1"/>
    <brk id="47" max="15" man="1"/>
    <brk id="66" max="15" man="1"/>
    <brk id="84" max="15" man="1"/>
    <brk id="126" max="15" man="1"/>
    <brk id="147" max="15" man="1"/>
  </rowBreaks>
</worksheet>
</file>

<file path=xl/worksheets/sheet4.xml><?xml version="1.0" encoding="utf-8"?>
<worksheet xmlns="http://schemas.openxmlformats.org/spreadsheetml/2006/main" xmlns:r="http://schemas.openxmlformats.org/officeDocument/2006/relationships">
  <dimension ref="A2:U15"/>
  <sheetViews>
    <sheetView showGridLines="0" showZeros="0" view="pageBreakPreview" topLeftCell="B1" zoomScale="85" zoomScaleNormal="85" zoomScaleSheetLayoutView="85" workbookViewId="0">
      <selection activeCell="E3" sqref="E3:M4"/>
    </sheetView>
  </sheetViews>
  <sheetFormatPr defaultColWidth="7.85546875" defaultRowHeight="12.75"/>
  <cols>
    <col min="1" max="1" width="0" style="33" hidden="1" customWidth="1"/>
    <col min="2" max="3" width="10.28515625" style="171" customWidth="1"/>
    <col min="4" max="4" width="10.140625" style="171" customWidth="1"/>
    <col min="5" max="5" width="35.140625" style="171" customWidth="1"/>
    <col min="6" max="6" width="10.5703125" style="171" customWidth="1"/>
    <col min="7" max="7" width="15.140625" style="171" customWidth="1"/>
    <col min="8" max="8" width="10.85546875" style="171" customWidth="1"/>
    <col min="9" max="9" width="12.5703125" style="171" customWidth="1"/>
    <col min="10" max="10" width="12.140625" style="171" customWidth="1"/>
    <col min="11" max="11" width="12.85546875" style="171" customWidth="1"/>
    <col min="12" max="12" width="11.140625" style="171" customWidth="1"/>
    <col min="13" max="13" width="13" style="171" customWidth="1"/>
    <col min="14" max="14" width="11.42578125" style="171" customWidth="1"/>
    <col min="15" max="15" width="12.7109375" style="171" customWidth="1"/>
    <col min="16" max="16" width="11.28515625" style="171" customWidth="1"/>
    <col min="17" max="17" width="12.7109375" style="171" customWidth="1"/>
    <col min="18" max="16384" width="7.85546875" style="171"/>
  </cols>
  <sheetData>
    <row r="2" spans="1:21" ht="64.5" customHeight="1">
      <c r="B2" s="33"/>
      <c r="C2" s="33"/>
      <c r="D2" s="33"/>
      <c r="E2" s="170"/>
      <c r="F2" s="170"/>
      <c r="G2" s="170"/>
      <c r="H2" s="170"/>
      <c r="I2" s="170"/>
      <c r="J2" s="170"/>
      <c r="K2" s="170"/>
      <c r="L2" s="170"/>
      <c r="M2" s="587" t="s">
        <v>941</v>
      </c>
      <c r="N2" s="587"/>
      <c r="O2" s="587"/>
      <c r="P2" s="587"/>
      <c r="Q2" s="587"/>
    </row>
    <row r="3" spans="1:21" ht="32.450000000000003" customHeight="1">
      <c r="B3" s="33"/>
      <c r="C3" s="33"/>
      <c r="D3" s="33"/>
      <c r="E3" s="588" t="s">
        <v>652</v>
      </c>
      <c r="F3" s="588"/>
      <c r="G3" s="588"/>
      <c r="H3" s="588"/>
      <c r="I3" s="588"/>
      <c r="J3" s="588"/>
      <c r="K3" s="588"/>
      <c r="L3" s="588"/>
      <c r="M3" s="588"/>
      <c r="N3" s="173"/>
      <c r="O3" s="173"/>
      <c r="P3" s="173"/>
      <c r="Q3" s="173"/>
    </row>
    <row r="4" spans="1:21" ht="12" customHeight="1">
      <c r="B4" s="174"/>
      <c r="C4" s="174"/>
      <c r="D4" s="175"/>
      <c r="E4" s="588"/>
      <c r="F4" s="588"/>
      <c r="G4" s="588"/>
      <c r="H4" s="588"/>
      <c r="I4" s="588"/>
      <c r="J4" s="588"/>
      <c r="K4" s="588"/>
      <c r="L4" s="588"/>
      <c r="M4" s="588"/>
      <c r="N4" s="33"/>
      <c r="O4" s="33"/>
      <c r="P4" s="33"/>
      <c r="Q4" s="176"/>
      <c r="R4" s="170"/>
      <c r="S4" s="170"/>
      <c r="T4" s="170"/>
      <c r="U4" s="170"/>
    </row>
    <row r="5" spans="1:21" ht="7.5" customHeight="1">
      <c r="B5" s="174"/>
      <c r="C5" s="174"/>
      <c r="D5" s="175"/>
      <c r="E5" s="172"/>
      <c r="F5" s="172"/>
      <c r="G5" s="172"/>
      <c r="H5" s="172"/>
      <c r="I5" s="172"/>
      <c r="J5" s="172"/>
      <c r="K5" s="172"/>
      <c r="L5" s="172"/>
      <c r="M5" s="172"/>
      <c r="N5" s="33"/>
      <c r="O5" s="33"/>
      <c r="P5" s="33"/>
      <c r="Q5" s="39" t="s">
        <v>137</v>
      </c>
      <c r="R5" s="170"/>
      <c r="S5" s="170"/>
      <c r="T5" s="170"/>
      <c r="U5" s="170"/>
    </row>
    <row r="6" spans="1:21" ht="30.75" customHeight="1">
      <c r="A6" s="177"/>
      <c r="B6" s="589" t="s">
        <v>247</v>
      </c>
      <c r="C6" s="589" t="s">
        <v>61</v>
      </c>
      <c r="D6" s="589" t="s">
        <v>43</v>
      </c>
      <c r="E6" s="592" t="s">
        <v>56</v>
      </c>
      <c r="F6" s="595" t="s">
        <v>248</v>
      </c>
      <c r="G6" s="595"/>
      <c r="H6" s="595"/>
      <c r="I6" s="596"/>
      <c r="J6" s="597" t="s">
        <v>249</v>
      </c>
      <c r="K6" s="595"/>
      <c r="L6" s="595"/>
      <c r="M6" s="595"/>
      <c r="N6" s="598" t="s">
        <v>250</v>
      </c>
      <c r="O6" s="598"/>
      <c r="P6" s="598"/>
      <c r="Q6" s="598"/>
      <c r="R6" s="170"/>
      <c r="S6" s="170"/>
      <c r="T6" s="170"/>
      <c r="U6" s="170"/>
    </row>
    <row r="7" spans="1:21" ht="28.5" customHeight="1">
      <c r="A7" s="178"/>
      <c r="B7" s="590"/>
      <c r="C7" s="590"/>
      <c r="D7" s="590"/>
      <c r="E7" s="593"/>
      <c r="F7" s="592" t="s">
        <v>36</v>
      </c>
      <c r="G7" s="592" t="s">
        <v>127</v>
      </c>
      <c r="H7" s="179" t="s">
        <v>251</v>
      </c>
      <c r="I7" s="592" t="s">
        <v>35</v>
      </c>
      <c r="J7" s="592" t="s">
        <v>36</v>
      </c>
      <c r="K7" s="592" t="s">
        <v>127</v>
      </c>
      <c r="L7" s="179" t="s">
        <v>251</v>
      </c>
      <c r="M7" s="592" t="s">
        <v>35</v>
      </c>
      <c r="N7" s="592" t="s">
        <v>36</v>
      </c>
      <c r="O7" s="592" t="s">
        <v>127</v>
      </c>
      <c r="P7" s="179" t="s">
        <v>251</v>
      </c>
      <c r="Q7" s="592" t="s">
        <v>35</v>
      </c>
      <c r="R7" s="170"/>
      <c r="S7" s="170"/>
      <c r="T7" s="170"/>
      <c r="U7" s="170"/>
    </row>
    <row r="8" spans="1:21" ht="60" customHeight="1">
      <c r="A8" s="180"/>
      <c r="B8" s="591"/>
      <c r="C8" s="591"/>
      <c r="D8" s="591"/>
      <c r="E8" s="594"/>
      <c r="F8" s="594"/>
      <c r="G8" s="594"/>
      <c r="H8" s="179" t="s">
        <v>32</v>
      </c>
      <c r="I8" s="594"/>
      <c r="J8" s="594"/>
      <c r="K8" s="594"/>
      <c r="L8" s="179" t="s">
        <v>32</v>
      </c>
      <c r="M8" s="594"/>
      <c r="N8" s="594"/>
      <c r="O8" s="594"/>
      <c r="P8" s="179" t="s">
        <v>32</v>
      </c>
      <c r="Q8" s="594"/>
      <c r="R8" s="170"/>
      <c r="S8" s="170"/>
      <c r="T8" s="170"/>
      <c r="U8" s="170"/>
    </row>
    <row r="9" spans="1:21" s="185" customFormat="1" ht="42.75">
      <c r="A9" s="181"/>
      <c r="B9" s="182" t="s">
        <v>65</v>
      </c>
      <c r="C9" s="182"/>
      <c r="D9" s="182"/>
      <c r="E9" s="183" t="s">
        <v>66</v>
      </c>
      <c r="F9" s="184">
        <f>F10</f>
        <v>0</v>
      </c>
      <c r="G9" s="184">
        <f>G10</f>
        <v>182000</v>
      </c>
      <c r="H9" s="184" t="s">
        <v>252</v>
      </c>
      <c r="I9" s="184">
        <f>I10</f>
        <v>182000</v>
      </c>
      <c r="J9" s="184" t="s">
        <v>252</v>
      </c>
      <c r="K9" s="184">
        <f>K10</f>
        <v>-182000</v>
      </c>
      <c r="L9" s="184" t="s">
        <v>252</v>
      </c>
      <c r="M9" s="184">
        <f>M10</f>
        <v>-182000</v>
      </c>
      <c r="N9" s="184">
        <f>F9+J9</f>
        <v>0</v>
      </c>
      <c r="O9" s="184" t="s">
        <v>252</v>
      </c>
      <c r="P9" s="184" t="s">
        <v>252</v>
      </c>
      <c r="Q9" s="184" t="s">
        <v>252</v>
      </c>
    </row>
    <row r="10" spans="1:21" ht="45">
      <c r="B10" s="186" t="s">
        <v>64</v>
      </c>
      <c r="C10" s="186"/>
      <c r="D10" s="186"/>
      <c r="E10" s="187" t="s">
        <v>92</v>
      </c>
      <c r="F10" s="188">
        <f>F11</f>
        <v>0</v>
      </c>
      <c r="G10" s="188">
        <f>G11</f>
        <v>182000</v>
      </c>
      <c r="H10" s="188" t="s">
        <v>252</v>
      </c>
      <c r="I10" s="188">
        <f>I11</f>
        <v>182000</v>
      </c>
      <c r="J10" s="188" t="s">
        <v>252</v>
      </c>
      <c r="K10" s="188">
        <f>K11</f>
        <v>-182000</v>
      </c>
      <c r="L10" s="188" t="s">
        <v>252</v>
      </c>
      <c r="M10" s="188">
        <f>M11</f>
        <v>-182000</v>
      </c>
      <c r="N10" s="188">
        <f t="shared" ref="N10:N13" si="0">F10+J10</f>
        <v>0</v>
      </c>
      <c r="O10" s="188" t="s">
        <v>252</v>
      </c>
      <c r="P10" s="188" t="s">
        <v>252</v>
      </c>
      <c r="Q10" s="188" t="s">
        <v>252</v>
      </c>
    </row>
    <row r="11" spans="1:21" ht="45">
      <c r="B11" s="182" t="s">
        <v>812</v>
      </c>
      <c r="C11" s="189" t="s">
        <v>813</v>
      </c>
      <c r="D11" s="189"/>
      <c r="E11" s="46" t="s">
        <v>811</v>
      </c>
      <c r="F11" s="188">
        <f>F12+F13</f>
        <v>0</v>
      </c>
      <c r="G11" s="184">
        <f>G12+G13</f>
        <v>182000</v>
      </c>
      <c r="H11" s="184" t="s">
        <v>252</v>
      </c>
      <c r="I11" s="184">
        <f>I12+I13</f>
        <v>182000</v>
      </c>
      <c r="J11" s="184" t="s">
        <v>252</v>
      </c>
      <c r="K11" s="184">
        <f>K12+K13</f>
        <v>-182000</v>
      </c>
      <c r="L11" s="184" t="s">
        <v>252</v>
      </c>
      <c r="M11" s="184">
        <f>M12+M13</f>
        <v>-182000</v>
      </c>
      <c r="N11" s="184">
        <f t="shared" si="0"/>
        <v>0</v>
      </c>
      <c r="O11" s="184" t="s">
        <v>252</v>
      </c>
      <c r="P11" s="184" t="s">
        <v>252</v>
      </c>
      <c r="Q11" s="184" t="s">
        <v>252</v>
      </c>
    </row>
    <row r="12" spans="1:21" ht="15">
      <c r="B12" s="186" t="s">
        <v>814</v>
      </c>
      <c r="C12" s="190" t="s">
        <v>816</v>
      </c>
      <c r="D12" s="190" t="s">
        <v>120</v>
      </c>
      <c r="E12" s="61" t="s">
        <v>384</v>
      </c>
      <c r="F12" s="191">
        <v>0</v>
      </c>
      <c r="G12" s="191">
        <v>182000</v>
      </c>
      <c r="H12" s="191" t="s">
        <v>252</v>
      </c>
      <c r="I12" s="191">
        <f>F12+G12</f>
        <v>182000</v>
      </c>
      <c r="J12" s="191" t="s">
        <v>252</v>
      </c>
      <c r="K12" s="191" t="s">
        <v>252</v>
      </c>
      <c r="L12" s="191" t="s">
        <v>252</v>
      </c>
      <c r="M12" s="191" t="s">
        <v>252</v>
      </c>
      <c r="N12" s="191">
        <f t="shared" si="0"/>
        <v>0</v>
      </c>
      <c r="O12" s="227">
        <f>G12+K12</f>
        <v>182000</v>
      </c>
      <c r="P12" s="191" t="s">
        <v>252</v>
      </c>
      <c r="Q12" s="227">
        <f>I12+M12</f>
        <v>182000</v>
      </c>
    </row>
    <row r="13" spans="1:21" ht="15">
      <c r="B13" s="186" t="s">
        <v>815</v>
      </c>
      <c r="C13" s="190" t="s">
        <v>817</v>
      </c>
      <c r="D13" s="190" t="s">
        <v>120</v>
      </c>
      <c r="E13" s="61" t="s">
        <v>385</v>
      </c>
      <c r="F13" s="191"/>
      <c r="G13" s="191"/>
      <c r="H13" s="191" t="s">
        <v>252</v>
      </c>
      <c r="I13" s="191" t="s">
        <v>252</v>
      </c>
      <c r="J13" s="191" t="s">
        <v>252</v>
      </c>
      <c r="K13" s="191">
        <v>-182000</v>
      </c>
      <c r="L13" s="191" t="s">
        <v>252</v>
      </c>
      <c r="M13" s="227">
        <f>J13+K13</f>
        <v>-182000</v>
      </c>
      <c r="N13" s="191">
        <f t="shared" si="0"/>
        <v>0</v>
      </c>
      <c r="O13" s="227">
        <f>G13+K13</f>
        <v>-182000</v>
      </c>
      <c r="P13" s="191" t="s">
        <v>252</v>
      </c>
      <c r="Q13" s="227">
        <f>I13+M13</f>
        <v>-182000</v>
      </c>
    </row>
    <row r="14" spans="1:21" ht="27.75" customHeight="1">
      <c r="B14" s="256"/>
      <c r="C14" s="256"/>
      <c r="D14" s="257"/>
      <c r="E14" s="253" t="s">
        <v>60</v>
      </c>
      <c r="F14" s="260" t="str">
        <f>J14</f>
        <v>0,0</v>
      </c>
      <c r="G14" s="260">
        <f>G9</f>
        <v>182000</v>
      </c>
      <c r="H14" s="260" t="str">
        <f t="shared" ref="H14:O14" si="1">H9</f>
        <v>0,0</v>
      </c>
      <c r="I14" s="260">
        <f t="shared" si="1"/>
        <v>182000</v>
      </c>
      <c r="J14" s="260" t="str">
        <f>J9</f>
        <v>0,0</v>
      </c>
      <c r="K14" s="260">
        <f>K9</f>
        <v>-182000</v>
      </c>
      <c r="L14" s="260" t="str">
        <f>L9</f>
        <v>0,0</v>
      </c>
      <c r="M14" s="260">
        <f t="shared" si="1"/>
        <v>-182000</v>
      </c>
      <c r="N14" s="260" t="str">
        <f>L14</f>
        <v>0,0</v>
      </c>
      <c r="O14" s="260" t="str">
        <f t="shared" si="1"/>
        <v>0,0</v>
      </c>
      <c r="P14" s="260" t="str">
        <f>P9</f>
        <v>0,0</v>
      </c>
      <c r="Q14" s="260" t="str">
        <f>P14</f>
        <v>0,0</v>
      </c>
    </row>
    <row r="15" spans="1:21" ht="29.25" customHeight="1">
      <c r="D15" s="552" t="s">
        <v>246</v>
      </c>
      <c r="E15" s="552"/>
      <c r="F15" s="552"/>
      <c r="G15" s="552"/>
      <c r="H15" s="552"/>
      <c r="I15" s="552"/>
      <c r="J15" s="552"/>
      <c r="K15" s="552"/>
      <c r="L15" s="552"/>
    </row>
  </sheetData>
  <mergeCells count="19">
    <mergeCell ref="D15:L15"/>
    <mergeCell ref="G7:G8"/>
    <mergeCell ref="I7:I8"/>
    <mergeCell ref="J7:J8"/>
    <mergeCell ref="K7:K8"/>
    <mergeCell ref="M2:Q2"/>
    <mergeCell ref="E3:M4"/>
    <mergeCell ref="B6:B8"/>
    <mergeCell ref="C6:C8"/>
    <mergeCell ref="D6:D8"/>
    <mergeCell ref="E6:E8"/>
    <mergeCell ref="F6:I6"/>
    <mergeCell ref="J6:M6"/>
    <mergeCell ref="N6:Q6"/>
    <mergeCell ref="F7:F8"/>
    <mergeCell ref="O7:O8"/>
    <mergeCell ref="Q7:Q8"/>
    <mergeCell ref="M7:M8"/>
    <mergeCell ref="N7:N8"/>
  </mergeCells>
  <printOptions horizontalCentered="1"/>
  <pageMargins left="0.19685039370078741" right="0" top="0.59055118110236227" bottom="0.39370078740157483" header="0.31496062992125984" footer="0.31496062992125984"/>
  <pageSetup paperSize="9" scale="6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Q214"/>
  <sheetViews>
    <sheetView tabSelected="1" view="pageBreakPreview" topLeftCell="B1" zoomScale="80" zoomScaleNormal="40" zoomScaleSheetLayoutView="80" workbookViewId="0">
      <pane ySplit="5" topLeftCell="A142" activePane="bottomLeft" state="frozen"/>
      <selection activeCell="B1" sqref="B1"/>
      <selection pane="bottomLeft" activeCell="G143" sqref="G143"/>
    </sheetView>
  </sheetViews>
  <sheetFormatPr defaultColWidth="7.85546875" defaultRowHeight="12.75"/>
  <cols>
    <col min="1" max="1" width="3.28515625" style="33" hidden="1" customWidth="1"/>
    <col min="2" max="2" width="13" style="522" customWidth="1"/>
    <col min="3" max="3" width="12" style="522" customWidth="1"/>
    <col min="4" max="4" width="13.7109375" style="522" customWidth="1"/>
    <col min="5" max="5" width="41.5703125" style="522" customWidth="1"/>
    <col min="6" max="6" width="38.5703125" style="522" customWidth="1"/>
    <col min="7" max="10" width="18.140625" style="522" customWidth="1"/>
    <col min="11" max="11" width="10.5703125" style="34" bestFit="1" customWidth="1"/>
    <col min="12" max="12" width="16.5703125" style="34" customWidth="1"/>
    <col min="13" max="13" width="13.7109375" style="34" customWidth="1"/>
    <col min="14" max="14" width="12.7109375" style="34" customWidth="1"/>
    <col min="15" max="16384" width="7.85546875" style="34"/>
  </cols>
  <sheetData>
    <row r="1" spans="1:16" s="32" customFormat="1" ht="22.5" customHeight="1">
      <c r="A1" s="31"/>
      <c r="B1" s="602"/>
      <c r="C1" s="602"/>
      <c r="D1" s="602"/>
      <c r="E1" s="602"/>
      <c r="F1" s="602"/>
      <c r="G1" s="602"/>
      <c r="H1" s="602"/>
      <c r="I1" s="602"/>
      <c r="J1" s="602"/>
    </row>
    <row r="2" spans="1:16" ht="69.75" customHeight="1">
      <c r="G2" s="587" t="s">
        <v>942</v>
      </c>
      <c r="H2" s="587"/>
      <c r="I2" s="587"/>
      <c r="J2" s="587"/>
    </row>
    <row r="3" spans="1:16" ht="45.6" customHeight="1">
      <c r="B3" s="603" t="s">
        <v>654</v>
      </c>
      <c r="C3" s="604"/>
      <c r="D3" s="604"/>
      <c r="E3" s="604"/>
      <c r="F3" s="604"/>
      <c r="G3" s="604"/>
      <c r="H3" s="604"/>
      <c r="I3" s="604"/>
      <c r="J3" s="604"/>
    </row>
    <row r="4" spans="1:16" ht="18.75">
      <c r="B4" s="518"/>
      <c r="C4" s="519"/>
      <c r="D4" s="519"/>
      <c r="E4" s="519"/>
      <c r="F4" s="520"/>
      <c r="G4" s="520"/>
      <c r="H4" s="521"/>
      <c r="I4" s="520"/>
      <c r="J4" s="523" t="s">
        <v>137</v>
      </c>
    </row>
    <row r="5" spans="1:16" ht="107.25" customHeight="1">
      <c r="A5" s="40"/>
      <c r="B5" s="41" t="s">
        <v>41</v>
      </c>
      <c r="C5" s="41" t="s">
        <v>61</v>
      </c>
      <c r="D5" s="41" t="s">
        <v>43</v>
      </c>
      <c r="E5" s="42" t="s">
        <v>56</v>
      </c>
      <c r="F5" s="43" t="s">
        <v>134</v>
      </c>
      <c r="G5" s="43" t="s">
        <v>135</v>
      </c>
      <c r="H5" s="43" t="s">
        <v>57</v>
      </c>
      <c r="I5" s="43" t="s">
        <v>58</v>
      </c>
      <c r="J5" s="43" t="s">
        <v>59</v>
      </c>
    </row>
    <row r="6" spans="1:16" ht="30">
      <c r="A6" s="40"/>
      <c r="B6" s="459" t="s">
        <v>310</v>
      </c>
      <c r="C6" s="459"/>
      <c r="D6" s="459"/>
      <c r="E6" s="456" t="s">
        <v>312</v>
      </c>
      <c r="F6" s="495"/>
      <c r="G6" s="495"/>
      <c r="H6" s="495"/>
      <c r="I6" s="495"/>
      <c r="J6" s="499">
        <f>J7</f>
        <v>11788136</v>
      </c>
    </row>
    <row r="7" spans="1:16" ht="42.75">
      <c r="A7" s="40"/>
      <c r="B7" s="476" t="s">
        <v>311</v>
      </c>
      <c r="C7" s="476"/>
      <c r="D7" s="476"/>
      <c r="E7" s="460" t="s">
        <v>313</v>
      </c>
      <c r="F7" s="495"/>
      <c r="G7" s="495"/>
      <c r="H7" s="495"/>
      <c r="I7" s="495"/>
      <c r="J7" s="500">
        <f>SUM(J8:J13)</f>
        <v>11788136</v>
      </c>
    </row>
    <row r="8" spans="1:16" ht="93.75" customHeight="1">
      <c r="A8" s="40"/>
      <c r="B8" s="512" t="s">
        <v>438</v>
      </c>
      <c r="C8" s="512" t="s">
        <v>439</v>
      </c>
      <c r="D8" s="512" t="s">
        <v>440</v>
      </c>
      <c r="E8" s="512" t="s">
        <v>437</v>
      </c>
      <c r="F8" s="55" t="s">
        <v>136</v>
      </c>
      <c r="G8" s="43"/>
      <c r="H8" s="43"/>
      <c r="I8" s="43"/>
      <c r="J8" s="513">
        <f>(525200)+1807600-86000</f>
        <v>2246800</v>
      </c>
    </row>
    <row r="9" spans="1:16" ht="45">
      <c r="A9" s="40"/>
      <c r="B9" s="512" t="s">
        <v>442</v>
      </c>
      <c r="C9" s="512" t="s">
        <v>443</v>
      </c>
      <c r="D9" s="512" t="s">
        <v>440</v>
      </c>
      <c r="E9" s="512" t="s">
        <v>441</v>
      </c>
      <c r="F9" s="55" t="s">
        <v>136</v>
      </c>
      <c r="G9" s="43"/>
      <c r="H9" s="43"/>
      <c r="I9" s="43"/>
      <c r="J9" s="513">
        <f>(76000+50000)+318000</f>
        <v>444000</v>
      </c>
    </row>
    <row r="10" spans="1:16" ht="45">
      <c r="A10" s="40"/>
      <c r="B10" s="512" t="s">
        <v>658</v>
      </c>
      <c r="C10" s="288" t="s">
        <v>383</v>
      </c>
      <c r="D10" s="288" t="s">
        <v>334</v>
      </c>
      <c r="E10" s="512" t="s">
        <v>91</v>
      </c>
      <c r="F10" s="58" t="s">
        <v>732</v>
      </c>
      <c r="G10" s="43"/>
      <c r="H10" s="43"/>
      <c r="I10" s="43"/>
      <c r="J10" s="513">
        <v>1300000</v>
      </c>
      <c r="L10" s="320"/>
      <c r="M10" s="320"/>
      <c r="N10" s="320"/>
      <c r="O10" s="320"/>
      <c r="P10" s="320"/>
    </row>
    <row r="11" spans="1:16" ht="60">
      <c r="A11" s="40"/>
      <c r="B11" s="512" t="s">
        <v>658</v>
      </c>
      <c r="C11" s="288" t="s">
        <v>383</v>
      </c>
      <c r="D11" s="288" t="s">
        <v>334</v>
      </c>
      <c r="E11" s="512" t="s">
        <v>91</v>
      </c>
      <c r="F11" s="58" t="s">
        <v>733</v>
      </c>
      <c r="G11" s="513">
        <v>1200000</v>
      </c>
      <c r="H11" s="483">
        <f>I11/G11*100</f>
        <v>0</v>
      </c>
      <c r="I11" s="513">
        <v>0</v>
      </c>
      <c r="J11" s="513">
        <v>1200000</v>
      </c>
      <c r="L11" s="320"/>
      <c r="M11" s="320"/>
      <c r="N11" s="320"/>
      <c r="O11" s="320"/>
      <c r="P11" s="320"/>
    </row>
    <row r="12" spans="1:16" ht="30">
      <c r="A12" s="40"/>
      <c r="B12" s="548" t="s">
        <v>448</v>
      </c>
      <c r="C12" s="548" t="s">
        <v>449</v>
      </c>
      <c r="D12" s="548" t="s">
        <v>450</v>
      </c>
      <c r="E12" s="547" t="s">
        <v>451</v>
      </c>
      <c r="F12" s="55" t="s">
        <v>136</v>
      </c>
      <c r="G12" s="549"/>
      <c r="H12" s="483"/>
      <c r="I12" s="549"/>
      <c r="J12" s="549">
        <v>1200000</v>
      </c>
      <c r="L12" s="320"/>
      <c r="M12" s="320"/>
      <c r="N12" s="320"/>
      <c r="O12" s="320"/>
      <c r="P12" s="320"/>
    </row>
    <row r="13" spans="1:16" ht="60">
      <c r="A13" s="40"/>
      <c r="B13" s="512" t="s">
        <v>844</v>
      </c>
      <c r="C13" s="512" t="s">
        <v>845</v>
      </c>
      <c r="D13" s="512" t="s">
        <v>106</v>
      </c>
      <c r="E13" s="512" t="s">
        <v>846</v>
      </c>
      <c r="F13" s="55" t="s">
        <v>136</v>
      </c>
      <c r="G13" s="513"/>
      <c r="H13" s="483"/>
      <c r="I13" s="513"/>
      <c r="J13" s="513">
        <f>5497336-100000</f>
        <v>5397336</v>
      </c>
      <c r="L13" s="320"/>
      <c r="M13" s="320"/>
      <c r="N13" s="320"/>
      <c r="O13" s="320"/>
      <c r="P13" s="320"/>
    </row>
    <row r="14" spans="1:16" ht="45">
      <c r="A14" s="75"/>
      <c r="B14" s="459" t="s">
        <v>314</v>
      </c>
      <c r="C14" s="493"/>
      <c r="D14" s="493"/>
      <c r="E14" s="456" t="s">
        <v>1</v>
      </c>
      <c r="F14" s="494"/>
      <c r="G14" s="494"/>
      <c r="H14" s="494"/>
      <c r="I14" s="494"/>
      <c r="J14" s="474">
        <f>J15</f>
        <v>41599326</v>
      </c>
    </row>
    <row r="15" spans="1:16" ht="42.75">
      <c r="A15" s="75"/>
      <c r="B15" s="476" t="s">
        <v>315</v>
      </c>
      <c r="C15" s="495"/>
      <c r="D15" s="496"/>
      <c r="E15" s="460" t="s">
        <v>2</v>
      </c>
      <c r="F15" s="486"/>
      <c r="G15" s="486"/>
      <c r="H15" s="486"/>
      <c r="I15" s="486"/>
      <c r="J15" s="475">
        <f>SUM(J16:J28)-J27</f>
        <v>41599326</v>
      </c>
    </row>
    <row r="16" spans="1:16" ht="15">
      <c r="B16" s="512" t="s">
        <v>386</v>
      </c>
      <c r="C16" s="512" t="s">
        <v>387</v>
      </c>
      <c r="D16" s="512" t="s">
        <v>389</v>
      </c>
      <c r="E16" s="512" t="s">
        <v>390</v>
      </c>
      <c r="F16" s="55" t="s">
        <v>136</v>
      </c>
      <c r="G16" s="54"/>
      <c r="H16" s="54"/>
      <c r="I16" s="54"/>
      <c r="J16" s="52">
        <f>(2466200+2000000+60000+353242+55000+2*50000)+777000+1256600-41349+80000-100000+100000</f>
        <v>7106693</v>
      </c>
    </row>
    <row r="17" spans="1:10" ht="89.25" customHeight="1">
      <c r="B17" s="512" t="s">
        <v>392</v>
      </c>
      <c r="C17" s="512" t="s">
        <v>388</v>
      </c>
      <c r="D17" s="512" t="s">
        <v>393</v>
      </c>
      <c r="E17" s="512" t="s">
        <v>391</v>
      </c>
      <c r="F17" s="55" t="s">
        <v>136</v>
      </c>
      <c r="G17" s="54"/>
      <c r="H17" s="54"/>
      <c r="I17" s="54"/>
      <c r="J17" s="53">
        <f>(1348532-150000+200000+500000+297437+100000)+4419450+583700+666579+2794000-86612</f>
        <v>10673086</v>
      </c>
    </row>
    <row r="18" spans="1:10" ht="89.25" customHeight="1">
      <c r="B18" s="512" t="s">
        <v>392</v>
      </c>
      <c r="C18" s="512" t="s">
        <v>388</v>
      </c>
      <c r="D18" s="512" t="s">
        <v>393</v>
      </c>
      <c r="E18" s="512" t="s">
        <v>391</v>
      </c>
      <c r="F18" s="86" t="s">
        <v>726</v>
      </c>
      <c r="G18" s="54"/>
      <c r="H18" s="54"/>
      <c r="I18" s="54"/>
      <c r="J18" s="53">
        <v>150000</v>
      </c>
    </row>
    <row r="19" spans="1:10" ht="89.25" customHeight="1">
      <c r="B19" s="533" t="s">
        <v>392</v>
      </c>
      <c r="C19" s="533" t="s">
        <v>388</v>
      </c>
      <c r="D19" s="533" t="s">
        <v>393</v>
      </c>
      <c r="E19" s="533" t="s">
        <v>391</v>
      </c>
      <c r="F19" s="86" t="s">
        <v>843</v>
      </c>
      <c r="G19" s="60"/>
      <c r="H19" s="60"/>
      <c r="I19" s="60"/>
      <c r="J19" s="534">
        <v>67900</v>
      </c>
    </row>
    <row r="20" spans="1:10" ht="89.25" customHeight="1">
      <c r="B20" s="512" t="s">
        <v>392</v>
      </c>
      <c r="C20" s="512" t="s">
        <v>388</v>
      </c>
      <c r="D20" s="512" t="s">
        <v>393</v>
      </c>
      <c r="E20" s="512" t="s">
        <v>391</v>
      </c>
      <c r="F20" s="86" t="s">
        <v>775</v>
      </c>
      <c r="G20" s="54">
        <v>1498800</v>
      </c>
      <c r="H20" s="483">
        <f>I20/G20*100</f>
        <v>0</v>
      </c>
      <c r="I20" s="54">
        <v>0</v>
      </c>
      <c r="J20" s="53">
        <v>749800</v>
      </c>
    </row>
    <row r="21" spans="1:10" ht="89.25" customHeight="1">
      <c r="B21" s="512" t="s">
        <v>392</v>
      </c>
      <c r="C21" s="512" t="s">
        <v>388</v>
      </c>
      <c r="D21" s="512" t="s">
        <v>393</v>
      </c>
      <c r="E21" s="512" t="s">
        <v>391</v>
      </c>
      <c r="F21" s="86" t="s">
        <v>776</v>
      </c>
      <c r="G21" s="54">
        <v>1498800</v>
      </c>
      <c r="H21" s="483">
        <f>I21/G21*100</f>
        <v>0</v>
      </c>
      <c r="I21" s="54">
        <v>0</v>
      </c>
      <c r="J21" s="53">
        <v>749800</v>
      </c>
    </row>
    <row r="22" spans="1:10" ht="90">
      <c r="B22" s="512" t="s">
        <v>397</v>
      </c>
      <c r="C22" s="512" t="s">
        <v>396</v>
      </c>
      <c r="D22" s="512" t="s">
        <v>398</v>
      </c>
      <c r="E22" s="512" t="s">
        <v>47</v>
      </c>
      <c r="F22" s="55" t="s">
        <v>136</v>
      </c>
      <c r="G22" s="54"/>
      <c r="H22" s="54"/>
      <c r="I22" s="54"/>
      <c r="J22" s="53">
        <f>(300000)+138200+6849-200</f>
        <v>444849</v>
      </c>
    </row>
    <row r="23" spans="1:10" ht="45">
      <c r="B23" s="512" t="s">
        <v>399</v>
      </c>
      <c r="C23" s="512" t="s">
        <v>373</v>
      </c>
      <c r="D23" s="512" t="s">
        <v>354</v>
      </c>
      <c r="E23" s="512" t="s">
        <v>48</v>
      </c>
      <c r="F23" s="55" t="s">
        <v>136</v>
      </c>
      <c r="G23" s="54"/>
      <c r="H23" s="54"/>
      <c r="I23" s="54"/>
      <c r="J23" s="53">
        <f>(4000000)+605000</f>
        <v>4605000</v>
      </c>
    </row>
    <row r="24" spans="1:10" ht="45">
      <c r="B24" s="535" t="s">
        <v>399</v>
      </c>
      <c r="C24" s="535" t="s">
        <v>373</v>
      </c>
      <c r="D24" s="535" t="s">
        <v>354</v>
      </c>
      <c r="E24" s="535" t="s">
        <v>48</v>
      </c>
      <c r="F24" s="58" t="s">
        <v>938</v>
      </c>
      <c r="G24" s="54"/>
      <c r="H24" s="54"/>
      <c r="I24" s="54"/>
      <c r="J24" s="53">
        <v>470000</v>
      </c>
    </row>
    <row r="25" spans="1:10" ht="30">
      <c r="B25" s="512" t="s">
        <v>405</v>
      </c>
      <c r="C25" s="512" t="s">
        <v>406</v>
      </c>
      <c r="D25" s="512" t="s">
        <v>407</v>
      </c>
      <c r="E25" s="512" t="s">
        <v>404</v>
      </c>
      <c r="F25" s="55" t="s">
        <v>136</v>
      </c>
      <c r="G25" s="54"/>
      <c r="H25" s="54"/>
      <c r="I25" s="54"/>
      <c r="J25" s="53">
        <v>100450</v>
      </c>
    </row>
    <row r="26" spans="1:10" ht="30">
      <c r="B26" s="512" t="s">
        <v>409</v>
      </c>
      <c r="C26" s="512" t="s">
        <v>410</v>
      </c>
      <c r="D26" s="512"/>
      <c r="E26" s="511" t="s">
        <v>408</v>
      </c>
      <c r="F26" s="55" t="s">
        <v>136</v>
      </c>
      <c r="G26" s="54"/>
      <c r="H26" s="54"/>
      <c r="I26" s="54"/>
      <c r="J26" s="53">
        <f>J27</f>
        <v>48000</v>
      </c>
    </row>
    <row r="27" spans="1:10" ht="30">
      <c r="B27" s="63" t="s">
        <v>670</v>
      </c>
      <c r="C27" s="63" t="s">
        <v>671</v>
      </c>
      <c r="D27" s="63" t="s">
        <v>407</v>
      </c>
      <c r="E27" s="63" t="s">
        <v>669</v>
      </c>
      <c r="F27" s="67" t="s">
        <v>136</v>
      </c>
      <c r="G27" s="54"/>
      <c r="H27" s="54"/>
      <c r="I27" s="54"/>
      <c r="J27" s="69">
        <v>48000</v>
      </c>
    </row>
    <row r="28" spans="1:10" ht="19.5" customHeight="1">
      <c r="B28" s="512" t="s">
        <v>412</v>
      </c>
      <c r="C28" s="512" t="s">
        <v>413</v>
      </c>
      <c r="D28" s="512" t="s">
        <v>414</v>
      </c>
      <c r="E28" s="512" t="s">
        <v>102</v>
      </c>
      <c r="F28" s="55" t="s">
        <v>136</v>
      </c>
      <c r="G28" s="54"/>
      <c r="H28" s="54"/>
      <c r="I28" s="54"/>
      <c r="J28" s="53">
        <f>(9478748-106000)+7061000</f>
        <v>16433748</v>
      </c>
    </row>
    <row r="29" spans="1:10" ht="45">
      <c r="B29" s="454" t="s">
        <v>316</v>
      </c>
      <c r="C29" s="455"/>
      <c r="D29" s="455"/>
      <c r="E29" s="456" t="s">
        <v>53</v>
      </c>
      <c r="F29" s="486"/>
      <c r="G29" s="486"/>
      <c r="H29" s="486"/>
      <c r="I29" s="486"/>
      <c r="J29" s="474">
        <f>J30</f>
        <v>22015653</v>
      </c>
    </row>
    <row r="30" spans="1:10" ht="42.75">
      <c r="B30" s="459" t="s">
        <v>317</v>
      </c>
      <c r="C30" s="459"/>
      <c r="D30" s="459"/>
      <c r="E30" s="460" t="s">
        <v>93</v>
      </c>
      <c r="F30" s="486"/>
      <c r="G30" s="486"/>
      <c r="H30" s="486"/>
      <c r="I30" s="486"/>
      <c r="J30" s="475">
        <f>J31+J34+J35+J40+J41+J43+J45+J32+J33+J36+J38+J37+J39</f>
        <v>22015653</v>
      </c>
    </row>
    <row r="31" spans="1:10" ht="30">
      <c r="A31" s="34"/>
      <c r="B31" s="512" t="s">
        <v>415</v>
      </c>
      <c r="C31" s="512" t="s">
        <v>411</v>
      </c>
      <c r="D31" s="512" t="s">
        <v>416</v>
      </c>
      <c r="E31" s="512" t="s">
        <v>55</v>
      </c>
      <c r="F31" s="55" t="s">
        <v>136</v>
      </c>
      <c r="G31" s="54"/>
      <c r="H31" s="54"/>
      <c r="I31" s="54"/>
      <c r="J31" s="53">
        <f>(4250000+1000000)+10417168-25620-12940+88000</f>
        <v>15716608</v>
      </c>
    </row>
    <row r="32" spans="1:10" ht="75">
      <c r="A32" s="453"/>
      <c r="B32" s="512" t="s">
        <v>415</v>
      </c>
      <c r="C32" s="512" t="s">
        <v>411</v>
      </c>
      <c r="D32" s="512" t="s">
        <v>416</v>
      </c>
      <c r="E32" s="512" t="s">
        <v>55</v>
      </c>
      <c r="F32" s="86" t="s">
        <v>826</v>
      </c>
      <c r="G32" s="513">
        <v>1139887</v>
      </c>
      <c r="H32" s="483">
        <f>I32/G32*100</f>
        <v>0</v>
      </c>
      <c r="I32" s="513">
        <v>0</v>
      </c>
      <c r="J32" s="513">
        <v>1139887</v>
      </c>
    </row>
    <row r="33" spans="1:10" ht="120">
      <c r="A33" s="453"/>
      <c r="B33" s="512" t="s">
        <v>415</v>
      </c>
      <c r="C33" s="512" t="s">
        <v>411</v>
      </c>
      <c r="D33" s="512" t="s">
        <v>416</v>
      </c>
      <c r="E33" s="512" t="s">
        <v>55</v>
      </c>
      <c r="F33" s="86" t="s">
        <v>825</v>
      </c>
      <c r="G33" s="60"/>
      <c r="H33" s="60"/>
      <c r="I33" s="60"/>
      <c r="J33" s="513">
        <v>93600</v>
      </c>
    </row>
    <row r="34" spans="1:10" ht="52.5" customHeight="1">
      <c r="A34" s="34"/>
      <c r="B34" s="512" t="s">
        <v>417</v>
      </c>
      <c r="C34" s="512" t="s">
        <v>418</v>
      </c>
      <c r="D34" s="512" t="s">
        <v>419</v>
      </c>
      <c r="E34" s="512" t="s">
        <v>420</v>
      </c>
      <c r="F34" s="55" t="s">
        <v>136</v>
      </c>
      <c r="G34" s="524"/>
      <c r="H34" s="524"/>
      <c r="I34" s="524"/>
      <c r="J34" s="53">
        <v>597150</v>
      </c>
    </row>
    <row r="35" spans="1:10" ht="52.5" customHeight="1">
      <c r="A35" s="34"/>
      <c r="B35" s="512" t="s">
        <v>421</v>
      </c>
      <c r="C35" s="512" t="s">
        <v>422</v>
      </c>
      <c r="D35" s="512" t="s">
        <v>423</v>
      </c>
      <c r="E35" s="512" t="s">
        <v>748</v>
      </c>
      <c r="F35" s="55" t="s">
        <v>136</v>
      </c>
      <c r="G35" s="524"/>
      <c r="H35" s="524"/>
      <c r="I35" s="524"/>
      <c r="J35" s="53">
        <f>(0)+1040960+22000+12148</f>
        <v>1075108</v>
      </c>
    </row>
    <row r="36" spans="1:10" ht="78" customHeight="1">
      <c r="A36" s="34"/>
      <c r="B36" s="512" t="s">
        <v>421</v>
      </c>
      <c r="C36" s="512" t="s">
        <v>422</v>
      </c>
      <c r="D36" s="512" t="s">
        <v>423</v>
      </c>
      <c r="E36" s="512" t="s">
        <v>748</v>
      </c>
      <c r="F36" s="86" t="s">
        <v>827</v>
      </c>
      <c r="G36" s="60"/>
      <c r="H36" s="60"/>
      <c r="I36" s="60"/>
      <c r="J36" s="513">
        <v>26500</v>
      </c>
    </row>
    <row r="37" spans="1:10" ht="75.75" customHeight="1">
      <c r="A37" s="34"/>
      <c r="B37" s="512" t="s">
        <v>421</v>
      </c>
      <c r="C37" s="512" t="s">
        <v>422</v>
      </c>
      <c r="D37" s="512" t="s">
        <v>423</v>
      </c>
      <c r="E37" s="512" t="s">
        <v>748</v>
      </c>
      <c r="F37" s="86" t="s">
        <v>828</v>
      </c>
      <c r="G37" s="513">
        <v>351000</v>
      </c>
      <c r="H37" s="483">
        <f>I37/G37*100</f>
        <v>0</v>
      </c>
      <c r="I37" s="513">
        <v>0</v>
      </c>
      <c r="J37" s="513">
        <v>351000</v>
      </c>
    </row>
    <row r="38" spans="1:10" ht="95.25" customHeight="1">
      <c r="A38" s="34"/>
      <c r="B38" s="512" t="s">
        <v>421</v>
      </c>
      <c r="C38" s="512" t="s">
        <v>422</v>
      </c>
      <c r="D38" s="512" t="s">
        <v>423</v>
      </c>
      <c r="E38" s="512" t="s">
        <v>748</v>
      </c>
      <c r="F38" s="86" t="s">
        <v>829</v>
      </c>
      <c r="G38" s="60"/>
      <c r="H38" s="60"/>
      <c r="I38" s="60"/>
      <c r="J38" s="513">
        <v>19000</v>
      </c>
    </row>
    <row r="39" spans="1:10" ht="69.75" customHeight="1">
      <c r="A39" s="34"/>
      <c r="B39" s="512" t="s">
        <v>421</v>
      </c>
      <c r="C39" s="512" t="s">
        <v>422</v>
      </c>
      <c r="D39" s="512" t="s">
        <v>423</v>
      </c>
      <c r="E39" s="512" t="s">
        <v>748</v>
      </c>
      <c r="F39" s="86" t="s">
        <v>830</v>
      </c>
      <c r="G39" s="513">
        <v>180000</v>
      </c>
      <c r="H39" s="483">
        <f>I39/G39*100</f>
        <v>0</v>
      </c>
      <c r="I39" s="513">
        <v>0</v>
      </c>
      <c r="J39" s="513">
        <v>180000</v>
      </c>
    </row>
    <row r="40" spans="1:10" ht="52.5" customHeight="1">
      <c r="A40" s="34"/>
      <c r="B40" s="512" t="s">
        <v>424</v>
      </c>
      <c r="C40" s="512" t="s">
        <v>425</v>
      </c>
      <c r="D40" s="512" t="s">
        <v>426</v>
      </c>
      <c r="E40" s="512" t="s">
        <v>427</v>
      </c>
      <c r="F40" s="55" t="s">
        <v>136</v>
      </c>
      <c r="G40" s="524"/>
      <c r="H40" s="524"/>
      <c r="I40" s="524"/>
      <c r="J40" s="53">
        <v>89000</v>
      </c>
    </row>
    <row r="41" spans="1:10" ht="52.5" customHeight="1">
      <c r="A41" s="34"/>
      <c r="B41" s="512" t="s">
        <v>428</v>
      </c>
      <c r="C41" s="512" t="s">
        <v>429</v>
      </c>
      <c r="D41" s="512"/>
      <c r="E41" s="512" t="s">
        <v>749</v>
      </c>
      <c r="F41" s="55" t="s">
        <v>136</v>
      </c>
      <c r="G41" s="524"/>
      <c r="H41" s="524"/>
      <c r="I41" s="524"/>
      <c r="J41" s="53">
        <f>J42</f>
        <v>2255000</v>
      </c>
    </row>
    <row r="42" spans="1:10" ht="52.5" customHeight="1">
      <c r="A42" s="34"/>
      <c r="B42" s="63" t="s">
        <v>430</v>
      </c>
      <c r="C42" s="332" t="s">
        <v>431</v>
      </c>
      <c r="D42" s="332" t="s">
        <v>750</v>
      </c>
      <c r="E42" s="63" t="s">
        <v>432</v>
      </c>
      <c r="F42" s="67" t="s">
        <v>136</v>
      </c>
      <c r="G42" s="524"/>
      <c r="H42" s="524"/>
      <c r="I42" s="524"/>
      <c r="J42" s="69">
        <f>(540000+1000000)+715000</f>
        <v>2255000</v>
      </c>
    </row>
    <row r="43" spans="1:10" ht="52.5" customHeight="1">
      <c r="A43" s="34"/>
      <c r="B43" s="512" t="s">
        <v>433</v>
      </c>
      <c r="C43" s="511" t="s">
        <v>434</v>
      </c>
      <c r="D43" s="511"/>
      <c r="E43" s="511" t="s">
        <v>436</v>
      </c>
      <c r="F43" s="55" t="s">
        <v>136</v>
      </c>
      <c r="G43" s="524"/>
      <c r="H43" s="524"/>
      <c r="I43" s="524"/>
      <c r="J43" s="53">
        <f>J44</f>
        <v>20000</v>
      </c>
    </row>
    <row r="44" spans="1:10" ht="52.5" customHeight="1">
      <c r="A44" s="34"/>
      <c r="B44" s="63" t="s">
        <v>674</v>
      </c>
      <c r="C44" s="63" t="s">
        <v>676</v>
      </c>
      <c r="D44" s="511" t="s">
        <v>435</v>
      </c>
      <c r="E44" s="400" t="s">
        <v>672</v>
      </c>
      <c r="F44" s="67" t="s">
        <v>136</v>
      </c>
      <c r="G44" s="524"/>
      <c r="H44" s="524"/>
      <c r="I44" s="524"/>
      <c r="J44" s="69">
        <f>30000-10000</f>
        <v>20000</v>
      </c>
    </row>
    <row r="45" spans="1:10" ht="52.5" customHeight="1">
      <c r="A45" s="34"/>
      <c r="B45" s="512" t="s">
        <v>818</v>
      </c>
      <c r="C45" s="511" t="s">
        <v>819</v>
      </c>
      <c r="D45" s="511" t="s">
        <v>106</v>
      </c>
      <c r="E45" s="511" t="s">
        <v>820</v>
      </c>
      <c r="F45" s="55" t="s">
        <v>136</v>
      </c>
      <c r="G45" s="524"/>
      <c r="H45" s="524"/>
      <c r="I45" s="524"/>
      <c r="J45" s="53">
        <v>452800</v>
      </c>
    </row>
    <row r="46" spans="1:10" ht="45">
      <c r="A46" s="34"/>
      <c r="B46" s="459" t="s">
        <v>318</v>
      </c>
      <c r="C46" s="459"/>
      <c r="D46" s="459"/>
      <c r="E46" s="456" t="s">
        <v>94</v>
      </c>
      <c r="F46" s="486"/>
      <c r="G46" s="486"/>
      <c r="H46" s="486"/>
      <c r="I46" s="486"/>
      <c r="J46" s="474">
        <f>J47</f>
        <v>3680000</v>
      </c>
    </row>
    <row r="47" spans="1:10" ht="57">
      <c r="A47" s="34"/>
      <c r="B47" s="476" t="s">
        <v>319</v>
      </c>
      <c r="C47" s="476"/>
      <c r="D47" s="476"/>
      <c r="E47" s="460" t="s">
        <v>95</v>
      </c>
      <c r="F47" s="486"/>
      <c r="G47" s="486"/>
      <c r="H47" s="486"/>
      <c r="I47" s="486"/>
      <c r="J47" s="475">
        <f>J50+J53+J48+J54+J55+J56+J57+J59</f>
        <v>3680000</v>
      </c>
    </row>
    <row r="48" spans="1:10" ht="75">
      <c r="A48" s="34"/>
      <c r="B48" s="511" t="s">
        <v>524</v>
      </c>
      <c r="C48" s="511" t="s">
        <v>525</v>
      </c>
      <c r="D48" s="511"/>
      <c r="E48" s="321" t="s">
        <v>523</v>
      </c>
      <c r="F48" s="322"/>
      <c r="G48" s="312"/>
      <c r="H48" s="312"/>
      <c r="I48" s="312"/>
      <c r="J48" s="53">
        <f>J49</f>
        <v>100000</v>
      </c>
    </row>
    <row r="49" spans="1:10" ht="45">
      <c r="A49" s="34"/>
      <c r="B49" s="332" t="s">
        <v>526</v>
      </c>
      <c r="C49" s="332" t="s">
        <v>527</v>
      </c>
      <c r="D49" s="332" t="s">
        <v>395</v>
      </c>
      <c r="E49" s="70" t="s">
        <v>528</v>
      </c>
      <c r="F49" s="67" t="s">
        <v>136</v>
      </c>
      <c r="G49" s="323"/>
      <c r="H49" s="323"/>
      <c r="I49" s="323"/>
      <c r="J49" s="69">
        <v>100000</v>
      </c>
    </row>
    <row r="50" spans="1:10" ht="60">
      <c r="A50" s="34"/>
      <c r="B50" s="512" t="s">
        <v>517</v>
      </c>
      <c r="C50" s="512" t="s">
        <v>518</v>
      </c>
      <c r="D50" s="512"/>
      <c r="E50" s="512" t="s">
        <v>51</v>
      </c>
      <c r="F50" s="55"/>
      <c r="G50" s="55"/>
      <c r="H50" s="55"/>
      <c r="I50" s="55"/>
      <c r="J50" s="72">
        <f>J51+J52</f>
        <v>574200</v>
      </c>
    </row>
    <row r="51" spans="1:10" ht="60">
      <c r="A51" s="34"/>
      <c r="B51" s="63" t="s">
        <v>521</v>
      </c>
      <c r="C51" s="63" t="s">
        <v>519</v>
      </c>
      <c r="D51" s="63" t="s">
        <v>388</v>
      </c>
      <c r="E51" s="63" t="s">
        <v>52</v>
      </c>
      <c r="F51" s="67" t="s">
        <v>136</v>
      </c>
      <c r="G51" s="67"/>
      <c r="H51" s="67"/>
      <c r="I51" s="67"/>
      <c r="J51" s="71">
        <f>(112000)+43500</f>
        <v>155500</v>
      </c>
    </row>
    <row r="52" spans="1:10" ht="30">
      <c r="A52" s="34"/>
      <c r="B52" s="63" t="s">
        <v>522</v>
      </c>
      <c r="C52" s="63" t="s">
        <v>520</v>
      </c>
      <c r="D52" s="63" t="s">
        <v>388</v>
      </c>
      <c r="E52" s="63" t="s">
        <v>516</v>
      </c>
      <c r="F52" s="67" t="s">
        <v>136</v>
      </c>
      <c r="G52" s="67"/>
      <c r="H52" s="67"/>
      <c r="I52" s="67"/>
      <c r="J52" s="71">
        <f>12000+406700</f>
        <v>418700</v>
      </c>
    </row>
    <row r="53" spans="1:10" ht="19.5" customHeight="1">
      <c r="A53" s="34"/>
      <c r="B53" s="512" t="s">
        <v>513</v>
      </c>
      <c r="C53" s="512" t="s">
        <v>372</v>
      </c>
      <c r="D53" s="512" t="s">
        <v>373</v>
      </c>
      <c r="E53" s="512" t="s">
        <v>374</v>
      </c>
      <c r="F53" s="55" t="s">
        <v>136</v>
      </c>
      <c r="G53" s="55"/>
      <c r="H53" s="55"/>
      <c r="I53" s="55"/>
      <c r="J53" s="72">
        <v>100000</v>
      </c>
    </row>
    <row r="54" spans="1:10" ht="34.5" customHeight="1">
      <c r="A54" s="34"/>
      <c r="B54" s="512" t="s">
        <v>513</v>
      </c>
      <c r="C54" s="512" t="s">
        <v>372</v>
      </c>
      <c r="D54" s="512" t="s">
        <v>373</v>
      </c>
      <c r="E54" s="512" t="s">
        <v>374</v>
      </c>
      <c r="F54" s="58" t="s">
        <v>777</v>
      </c>
      <c r="G54" s="513">
        <v>200000</v>
      </c>
      <c r="H54" s="483">
        <f>I54/G54*100</f>
        <v>0</v>
      </c>
      <c r="I54" s="513">
        <v>0</v>
      </c>
      <c r="J54" s="72">
        <v>200000</v>
      </c>
    </row>
    <row r="55" spans="1:10" ht="33.75" customHeight="1">
      <c r="A55" s="34"/>
      <c r="B55" s="512" t="s">
        <v>513</v>
      </c>
      <c r="C55" s="512" t="s">
        <v>372</v>
      </c>
      <c r="D55" s="512" t="s">
        <v>373</v>
      </c>
      <c r="E55" s="512" t="s">
        <v>374</v>
      </c>
      <c r="F55" s="58" t="s">
        <v>778</v>
      </c>
      <c r="G55" s="513">
        <v>50000</v>
      </c>
      <c r="H55" s="483">
        <f>I55/G55*100</f>
        <v>0</v>
      </c>
      <c r="I55" s="513">
        <v>0</v>
      </c>
      <c r="J55" s="72">
        <v>50000</v>
      </c>
    </row>
    <row r="56" spans="1:10" ht="36.75" customHeight="1">
      <c r="A56" s="34"/>
      <c r="B56" s="512" t="s">
        <v>513</v>
      </c>
      <c r="C56" s="512" t="s">
        <v>372</v>
      </c>
      <c r="D56" s="512" t="s">
        <v>373</v>
      </c>
      <c r="E56" s="512" t="s">
        <v>374</v>
      </c>
      <c r="F56" s="58" t="s">
        <v>779</v>
      </c>
      <c r="G56" s="513">
        <v>50000</v>
      </c>
      <c r="H56" s="483">
        <f>I56/G56*100</f>
        <v>0</v>
      </c>
      <c r="I56" s="513">
        <v>0</v>
      </c>
      <c r="J56" s="72">
        <v>50000</v>
      </c>
    </row>
    <row r="57" spans="1:10" ht="36.75" customHeight="1">
      <c r="A57" s="34"/>
      <c r="B57" s="512" t="s">
        <v>698</v>
      </c>
      <c r="C57" s="512" t="s">
        <v>699</v>
      </c>
      <c r="D57" s="512"/>
      <c r="E57" s="512" t="s">
        <v>374</v>
      </c>
      <c r="F57" s="55" t="s">
        <v>136</v>
      </c>
      <c r="G57" s="513"/>
      <c r="H57" s="483"/>
      <c r="I57" s="513"/>
      <c r="J57" s="72">
        <f>J58</f>
        <v>105800</v>
      </c>
    </row>
    <row r="58" spans="1:10" ht="45">
      <c r="A58" s="34"/>
      <c r="B58" s="63" t="s">
        <v>696</v>
      </c>
      <c r="C58" s="63" t="s">
        <v>700</v>
      </c>
      <c r="D58" s="63" t="s">
        <v>373</v>
      </c>
      <c r="E58" s="400" t="s">
        <v>702</v>
      </c>
      <c r="F58" s="67" t="s">
        <v>136</v>
      </c>
      <c r="G58" s="513"/>
      <c r="H58" s="483"/>
      <c r="I58" s="513"/>
      <c r="J58" s="71">
        <f>24000+81800</f>
        <v>105800</v>
      </c>
    </row>
    <row r="59" spans="1:10" ht="30">
      <c r="A59" s="34"/>
      <c r="B59" s="512" t="s">
        <v>855</v>
      </c>
      <c r="C59" s="512" t="s">
        <v>720</v>
      </c>
      <c r="D59" s="512"/>
      <c r="E59" s="512" t="s">
        <v>856</v>
      </c>
      <c r="F59" s="55" t="s">
        <v>136</v>
      </c>
      <c r="G59" s="513"/>
      <c r="H59" s="483"/>
      <c r="I59" s="513"/>
      <c r="J59" s="72">
        <f>J60</f>
        <v>2500000</v>
      </c>
    </row>
    <row r="60" spans="1:10" ht="45">
      <c r="A60" s="34"/>
      <c r="B60" s="63" t="s">
        <v>859</v>
      </c>
      <c r="C60" s="63" t="s">
        <v>857</v>
      </c>
      <c r="D60" s="63" t="s">
        <v>722</v>
      </c>
      <c r="E60" s="400" t="s">
        <v>858</v>
      </c>
      <c r="F60" s="67" t="s">
        <v>136</v>
      </c>
      <c r="G60" s="513"/>
      <c r="H60" s="483"/>
      <c r="I60" s="513"/>
      <c r="J60" s="71">
        <v>2500000</v>
      </c>
    </row>
    <row r="61" spans="1:10" ht="45">
      <c r="A61" s="34"/>
      <c r="B61" s="481">
        <v>1000000</v>
      </c>
      <c r="C61" s="481"/>
      <c r="D61" s="481"/>
      <c r="E61" s="459" t="s">
        <v>68</v>
      </c>
      <c r="F61" s="486"/>
      <c r="G61" s="486"/>
      <c r="H61" s="486"/>
      <c r="I61" s="486"/>
      <c r="J61" s="474">
        <f>J62</f>
        <v>8859520</v>
      </c>
    </row>
    <row r="62" spans="1:10" ht="42.75">
      <c r="A62" s="34"/>
      <c r="B62" s="482">
        <v>1010000</v>
      </c>
      <c r="C62" s="482"/>
      <c r="D62" s="482"/>
      <c r="E62" s="476" t="s">
        <v>96</v>
      </c>
      <c r="F62" s="486"/>
      <c r="G62" s="486"/>
      <c r="H62" s="486"/>
      <c r="I62" s="486"/>
      <c r="J62" s="475">
        <f>SUM(J63:J70)+J72</f>
        <v>8859520</v>
      </c>
    </row>
    <row r="63" spans="1:10" ht="60">
      <c r="A63" s="34"/>
      <c r="B63" s="512" t="s">
        <v>49</v>
      </c>
      <c r="C63" s="512" t="s">
        <v>353</v>
      </c>
      <c r="D63" s="512" t="s">
        <v>354</v>
      </c>
      <c r="E63" s="512" t="s">
        <v>352</v>
      </c>
      <c r="F63" s="55" t="s">
        <v>136</v>
      </c>
      <c r="G63" s="60"/>
      <c r="H63" s="60"/>
      <c r="I63" s="60"/>
      <c r="J63" s="83">
        <v>1607000</v>
      </c>
    </row>
    <row r="64" spans="1:10" ht="15">
      <c r="A64" s="34"/>
      <c r="B64" s="512" t="s">
        <v>342</v>
      </c>
      <c r="C64" s="512" t="s">
        <v>343</v>
      </c>
      <c r="D64" s="512" t="s">
        <v>344</v>
      </c>
      <c r="E64" s="512" t="s">
        <v>345</v>
      </c>
      <c r="F64" s="55" t="s">
        <v>136</v>
      </c>
      <c r="G64" s="60"/>
      <c r="H64" s="60"/>
      <c r="I64" s="60"/>
      <c r="J64" s="72">
        <v>530000</v>
      </c>
    </row>
    <row r="65" spans="1:10" ht="15">
      <c r="A65" s="34"/>
      <c r="B65" s="512" t="s">
        <v>346</v>
      </c>
      <c r="C65" s="512" t="s">
        <v>347</v>
      </c>
      <c r="D65" s="512" t="s">
        <v>344</v>
      </c>
      <c r="E65" s="512" t="s">
        <v>348</v>
      </c>
      <c r="F65" s="55" t="s">
        <v>136</v>
      </c>
      <c r="G65" s="60"/>
      <c r="H65" s="60"/>
      <c r="I65" s="60"/>
      <c r="J65" s="72">
        <v>192720</v>
      </c>
    </row>
    <row r="66" spans="1:10" ht="75">
      <c r="A66" s="34"/>
      <c r="B66" s="533" t="s">
        <v>346</v>
      </c>
      <c r="C66" s="533" t="s">
        <v>347</v>
      </c>
      <c r="D66" s="533" t="s">
        <v>344</v>
      </c>
      <c r="E66" s="533" t="s">
        <v>348</v>
      </c>
      <c r="F66" s="86" t="s">
        <v>833</v>
      </c>
      <c r="G66" s="60"/>
      <c r="H66" s="60"/>
      <c r="I66" s="60"/>
      <c r="J66" s="83">
        <v>230000</v>
      </c>
    </row>
    <row r="67" spans="1:10" ht="60">
      <c r="A67" s="34"/>
      <c r="B67" s="512" t="s">
        <v>346</v>
      </c>
      <c r="C67" s="512" t="s">
        <v>347</v>
      </c>
      <c r="D67" s="512" t="s">
        <v>344</v>
      </c>
      <c r="E67" s="512" t="s">
        <v>348</v>
      </c>
      <c r="F67" s="58" t="s">
        <v>44</v>
      </c>
      <c r="G67" s="72">
        <v>26997397.190000001</v>
      </c>
      <c r="H67" s="483">
        <f t="shared" ref="H67:H69" si="0">I67/G67*100</f>
        <v>78.113445683613321</v>
      </c>
      <c r="I67" s="72">
        <f>G67-(2908800)-J67</f>
        <v>21088597.190000001</v>
      </c>
      <c r="J67" s="72">
        <v>3000000</v>
      </c>
    </row>
    <row r="68" spans="1:10" ht="45">
      <c r="A68" s="34"/>
      <c r="B68" s="512" t="s">
        <v>349</v>
      </c>
      <c r="C68" s="512" t="s">
        <v>337</v>
      </c>
      <c r="D68" s="512" t="s">
        <v>350</v>
      </c>
      <c r="E68" s="512" t="s">
        <v>351</v>
      </c>
      <c r="F68" s="55" t="s">
        <v>136</v>
      </c>
      <c r="G68" s="72"/>
      <c r="H68" s="483"/>
      <c r="I68" s="72"/>
      <c r="J68" s="72">
        <v>1955500</v>
      </c>
    </row>
    <row r="69" spans="1:10" ht="75">
      <c r="A69" s="34"/>
      <c r="B69" s="512" t="s">
        <v>349</v>
      </c>
      <c r="C69" s="512" t="s">
        <v>337</v>
      </c>
      <c r="D69" s="512" t="s">
        <v>350</v>
      </c>
      <c r="E69" s="512" t="s">
        <v>351</v>
      </c>
      <c r="F69" s="58" t="s">
        <v>302</v>
      </c>
      <c r="G69" s="72">
        <v>3495937</v>
      </c>
      <c r="H69" s="483">
        <f t="shared" si="0"/>
        <v>0</v>
      </c>
      <c r="I69" s="72">
        <v>0</v>
      </c>
      <c r="J69" s="72">
        <v>1229800</v>
      </c>
    </row>
    <row r="70" spans="1:10" ht="30">
      <c r="A70" s="34"/>
      <c r="B70" s="512" t="s">
        <v>356</v>
      </c>
      <c r="C70" s="512" t="s">
        <v>357</v>
      </c>
      <c r="D70" s="512"/>
      <c r="E70" s="512" t="s">
        <v>355</v>
      </c>
      <c r="F70" s="55" t="s">
        <v>136</v>
      </c>
      <c r="G70" s="72"/>
      <c r="H70" s="483"/>
      <c r="I70" s="72"/>
      <c r="J70" s="72">
        <f>J71</f>
        <v>87500</v>
      </c>
    </row>
    <row r="71" spans="1:10" ht="30">
      <c r="A71" s="34"/>
      <c r="B71" s="63" t="s">
        <v>705</v>
      </c>
      <c r="C71" s="63" t="s">
        <v>706</v>
      </c>
      <c r="D71" s="63" t="s">
        <v>358</v>
      </c>
      <c r="E71" s="63" t="s">
        <v>704</v>
      </c>
      <c r="F71" s="67" t="s">
        <v>136</v>
      </c>
      <c r="G71" s="71"/>
      <c r="H71" s="484"/>
      <c r="I71" s="71"/>
      <c r="J71" s="71">
        <v>87500</v>
      </c>
    </row>
    <row r="72" spans="1:10" ht="30">
      <c r="A72" s="34"/>
      <c r="B72" s="512" t="s">
        <v>839</v>
      </c>
      <c r="C72" s="512" t="s">
        <v>383</v>
      </c>
      <c r="D72" s="512" t="s">
        <v>334</v>
      </c>
      <c r="E72" s="512" t="s">
        <v>838</v>
      </c>
      <c r="F72" s="55" t="s">
        <v>136</v>
      </c>
      <c r="G72" s="71"/>
      <c r="H72" s="484"/>
      <c r="I72" s="71"/>
      <c r="J72" s="71">
        <v>27000</v>
      </c>
    </row>
    <row r="73" spans="1:10" ht="45">
      <c r="A73" s="34"/>
      <c r="B73" s="459" t="s">
        <v>65</v>
      </c>
      <c r="C73" s="459"/>
      <c r="D73" s="459"/>
      <c r="E73" s="459" t="s">
        <v>66</v>
      </c>
      <c r="F73" s="477"/>
      <c r="G73" s="486"/>
      <c r="H73" s="486"/>
      <c r="I73" s="486"/>
      <c r="J73" s="487">
        <f>J74</f>
        <v>6060428.3200000003</v>
      </c>
    </row>
    <row r="74" spans="1:10" ht="42.75">
      <c r="A74" s="34"/>
      <c r="B74" s="476" t="s">
        <v>64</v>
      </c>
      <c r="C74" s="476"/>
      <c r="D74" s="476"/>
      <c r="E74" s="476" t="s">
        <v>92</v>
      </c>
      <c r="F74" s="477"/>
      <c r="G74" s="486"/>
      <c r="H74" s="486"/>
      <c r="I74" s="486"/>
      <c r="J74" s="488">
        <f>J79+J86+J77+J75+J84</f>
        <v>6060428.3200000003</v>
      </c>
    </row>
    <row r="75" spans="1:10" ht="30">
      <c r="A75" s="34"/>
      <c r="B75" s="512" t="s">
        <v>359</v>
      </c>
      <c r="C75" s="512" t="s">
        <v>360</v>
      </c>
      <c r="D75" s="512"/>
      <c r="E75" s="512" t="s">
        <v>109</v>
      </c>
      <c r="F75" s="55" t="s">
        <v>136</v>
      </c>
      <c r="G75" s="60"/>
      <c r="H75" s="60"/>
      <c r="I75" s="60"/>
      <c r="J75" s="513">
        <f>J76</f>
        <v>153092</v>
      </c>
    </row>
    <row r="76" spans="1:10" s="545" customFormat="1" ht="45">
      <c r="B76" s="63" t="s">
        <v>361</v>
      </c>
      <c r="C76" s="63" t="s">
        <v>362</v>
      </c>
      <c r="D76" s="63" t="s">
        <v>363</v>
      </c>
      <c r="E76" s="63" t="s">
        <v>364</v>
      </c>
      <c r="F76" s="67" t="s">
        <v>136</v>
      </c>
      <c r="G76" s="384"/>
      <c r="H76" s="384"/>
      <c r="I76" s="384"/>
      <c r="J76" s="64">
        <v>153092</v>
      </c>
    </row>
    <row r="77" spans="1:10" ht="30">
      <c r="A77" s="34"/>
      <c r="B77" s="512" t="s">
        <v>108</v>
      </c>
      <c r="C77" s="512" t="s">
        <v>338</v>
      </c>
      <c r="D77" s="512"/>
      <c r="E77" s="512" t="s">
        <v>78</v>
      </c>
      <c r="F77" s="55" t="s">
        <v>136</v>
      </c>
      <c r="G77" s="489"/>
      <c r="H77" s="489"/>
      <c r="I77" s="489"/>
      <c r="J77" s="513">
        <f>J78</f>
        <v>636872</v>
      </c>
    </row>
    <row r="78" spans="1:10" s="545" customFormat="1" ht="30">
      <c r="B78" s="63" t="s">
        <v>370</v>
      </c>
      <c r="C78" s="63" t="s">
        <v>371</v>
      </c>
      <c r="D78" s="63" t="s">
        <v>363</v>
      </c>
      <c r="E78" s="63" t="s">
        <v>34</v>
      </c>
      <c r="F78" s="67" t="s">
        <v>136</v>
      </c>
      <c r="G78" s="546"/>
      <c r="H78" s="546"/>
      <c r="I78" s="546"/>
      <c r="J78" s="64">
        <v>636872</v>
      </c>
    </row>
    <row r="79" spans="1:10" ht="30">
      <c r="A79" s="34"/>
      <c r="B79" s="51" t="s">
        <v>80</v>
      </c>
      <c r="C79" s="51"/>
      <c r="D79" s="50"/>
      <c r="E79" s="51" t="s">
        <v>81</v>
      </c>
      <c r="F79" s="59"/>
      <c r="G79" s="60"/>
      <c r="H79" s="60"/>
      <c r="I79" s="60"/>
      <c r="J79" s="513">
        <f>SUM(J80:J83)</f>
        <v>2693064.3200000003</v>
      </c>
    </row>
    <row r="80" spans="1:10" s="545" customFormat="1" ht="45">
      <c r="B80" s="63" t="s">
        <v>79</v>
      </c>
      <c r="C80" s="63" t="s">
        <v>376</v>
      </c>
      <c r="D80" s="63" t="s">
        <v>380</v>
      </c>
      <c r="E80" s="63" t="s">
        <v>117</v>
      </c>
      <c r="F80" s="67" t="s">
        <v>136</v>
      </c>
      <c r="G80" s="67"/>
      <c r="H80" s="67"/>
      <c r="I80" s="67"/>
      <c r="J80" s="69">
        <f>(1436800)-1374895.68+371460-60000</f>
        <v>373364.32000000007</v>
      </c>
    </row>
    <row r="81" spans="1:10" s="545" customFormat="1" ht="75">
      <c r="B81" s="63" t="s">
        <v>79</v>
      </c>
      <c r="C81" s="63" t="s">
        <v>376</v>
      </c>
      <c r="D81" s="63" t="s">
        <v>380</v>
      </c>
      <c r="E81" s="63" t="s">
        <v>117</v>
      </c>
      <c r="F81" s="74" t="s">
        <v>920</v>
      </c>
      <c r="G81" s="67"/>
      <c r="H81" s="67"/>
      <c r="I81" s="67"/>
      <c r="J81" s="69">
        <v>195500</v>
      </c>
    </row>
    <row r="82" spans="1:10" ht="105">
      <c r="A82" s="34"/>
      <c r="B82" s="63" t="s">
        <v>79</v>
      </c>
      <c r="C82" s="63" t="s">
        <v>376</v>
      </c>
      <c r="D82" s="63" t="s">
        <v>380</v>
      </c>
      <c r="E82" s="63" t="s">
        <v>117</v>
      </c>
      <c r="F82" s="74" t="s">
        <v>842</v>
      </c>
      <c r="G82" s="67">
        <v>5311662</v>
      </c>
      <c r="H82" s="484">
        <f t="shared" ref="H82:H86" si="1">I82/G82*100</f>
        <v>0</v>
      </c>
      <c r="I82" s="67">
        <v>0</v>
      </c>
      <c r="J82" s="69">
        <v>1002100</v>
      </c>
    </row>
    <row r="83" spans="1:10" ht="75">
      <c r="A83" s="34"/>
      <c r="B83" s="63" t="s">
        <v>79</v>
      </c>
      <c r="C83" s="63" t="s">
        <v>376</v>
      </c>
      <c r="D83" s="63" t="s">
        <v>380</v>
      </c>
      <c r="E83" s="63" t="s">
        <v>117</v>
      </c>
      <c r="F83" s="74" t="s">
        <v>841</v>
      </c>
      <c r="G83" s="67">
        <v>4924335</v>
      </c>
      <c r="H83" s="484">
        <f t="shared" si="1"/>
        <v>8.1229242385806087E-7</v>
      </c>
      <c r="I83" s="67">
        <f>G83-3784849.36-17466-1122100+80.4</f>
        <v>4.0000000130390845E-2</v>
      </c>
      <c r="J83" s="69">
        <v>1122100</v>
      </c>
    </row>
    <row r="84" spans="1:10" ht="30">
      <c r="A84" s="34"/>
      <c r="B84" s="512" t="s">
        <v>119</v>
      </c>
      <c r="C84" s="512" t="s">
        <v>378</v>
      </c>
      <c r="D84" s="512"/>
      <c r="E84" s="512" t="s">
        <v>83</v>
      </c>
      <c r="F84" s="55" t="s">
        <v>136</v>
      </c>
      <c r="G84" s="67"/>
      <c r="H84" s="484"/>
      <c r="I84" s="67"/>
      <c r="J84" s="53">
        <f>J85</f>
        <v>77400</v>
      </c>
    </row>
    <row r="85" spans="1:10" ht="30">
      <c r="A85" s="34"/>
      <c r="B85" s="269" t="s">
        <v>86</v>
      </c>
      <c r="C85" s="269" t="s">
        <v>381</v>
      </c>
      <c r="D85" s="269" t="s">
        <v>380</v>
      </c>
      <c r="E85" s="63" t="s">
        <v>87</v>
      </c>
      <c r="F85" s="67" t="s">
        <v>136</v>
      </c>
      <c r="G85" s="67"/>
      <c r="H85" s="484"/>
      <c r="I85" s="67"/>
      <c r="J85" s="69">
        <f>32400+45000</f>
        <v>77400</v>
      </c>
    </row>
    <row r="86" spans="1:10" ht="105">
      <c r="A86" s="34"/>
      <c r="B86" s="288" t="s">
        <v>382</v>
      </c>
      <c r="C86" s="288" t="s">
        <v>383</v>
      </c>
      <c r="D86" s="288" t="s">
        <v>334</v>
      </c>
      <c r="E86" s="512" t="s">
        <v>91</v>
      </c>
      <c r="F86" s="58" t="s">
        <v>727</v>
      </c>
      <c r="G86" s="72">
        <v>6319252.7999999998</v>
      </c>
      <c r="H86" s="483">
        <f t="shared" si="1"/>
        <v>60.43836068720023</v>
      </c>
      <c r="I86" s="72">
        <f>G86-J86</f>
        <v>3819252.8</v>
      </c>
      <c r="J86" s="53">
        <v>2500000</v>
      </c>
    </row>
    <row r="87" spans="1:10" ht="45">
      <c r="A87" s="34"/>
      <c r="B87" s="459" t="s">
        <v>320</v>
      </c>
      <c r="C87" s="459"/>
      <c r="D87" s="459"/>
      <c r="E87" s="459" t="s">
        <v>67</v>
      </c>
      <c r="F87" s="486"/>
      <c r="G87" s="486"/>
      <c r="H87" s="486"/>
      <c r="I87" s="486"/>
      <c r="J87" s="474">
        <f>J88</f>
        <v>230530521</v>
      </c>
    </row>
    <row r="88" spans="1:10" ht="45" customHeight="1">
      <c r="A88" s="34"/>
      <c r="B88" s="476" t="s">
        <v>321</v>
      </c>
      <c r="C88" s="476"/>
      <c r="D88" s="476"/>
      <c r="E88" s="476" t="s">
        <v>97</v>
      </c>
      <c r="F88" s="486"/>
      <c r="G88" s="486"/>
      <c r="H88" s="486"/>
      <c r="I88" s="486"/>
      <c r="J88" s="475">
        <f>J89+J93+J94+J102+J103+J105+J106</f>
        <v>230530521</v>
      </c>
    </row>
    <row r="89" spans="1:10" ht="53.25" customHeight="1">
      <c r="A89" s="34"/>
      <c r="B89" s="512" t="s">
        <v>538</v>
      </c>
      <c r="C89" s="512" t="s">
        <v>539</v>
      </c>
      <c r="D89" s="512"/>
      <c r="E89" s="377" t="s">
        <v>542</v>
      </c>
      <c r="F89" s="59" t="s">
        <v>136</v>
      </c>
      <c r="G89" s="60"/>
      <c r="H89" s="60"/>
      <c r="I89" s="60"/>
      <c r="J89" s="234">
        <f>J90+J91+J92</f>
        <v>45266500</v>
      </c>
    </row>
    <row r="90" spans="1:10" ht="36" customHeight="1">
      <c r="A90" s="34"/>
      <c r="B90" s="63" t="s">
        <v>540</v>
      </c>
      <c r="C90" s="63" t="s">
        <v>541</v>
      </c>
      <c r="D90" s="63" t="s">
        <v>544</v>
      </c>
      <c r="E90" s="525" t="s">
        <v>543</v>
      </c>
      <c r="F90" s="84" t="s">
        <v>136</v>
      </c>
      <c r="G90" s="84"/>
      <c r="H90" s="84"/>
      <c r="I90" s="84"/>
      <c r="J90" s="231">
        <f>(1400000)+2866500</f>
        <v>4266500</v>
      </c>
    </row>
    <row r="91" spans="1:10" ht="37.5" customHeight="1">
      <c r="A91" s="34"/>
      <c r="B91" s="63" t="s">
        <v>579</v>
      </c>
      <c r="C91" s="63" t="s">
        <v>580</v>
      </c>
      <c r="D91" s="63" t="s">
        <v>544</v>
      </c>
      <c r="E91" s="525" t="s">
        <v>581</v>
      </c>
      <c r="F91" s="84" t="s">
        <v>136</v>
      </c>
      <c r="G91" s="84"/>
      <c r="H91" s="84"/>
      <c r="I91" s="84"/>
      <c r="J91" s="231">
        <v>5000000</v>
      </c>
    </row>
    <row r="92" spans="1:10" ht="53.25" customHeight="1">
      <c r="A92" s="34"/>
      <c r="B92" s="63" t="s">
        <v>545</v>
      </c>
      <c r="C92" s="63" t="s">
        <v>546</v>
      </c>
      <c r="D92" s="63" t="s">
        <v>544</v>
      </c>
      <c r="E92" s="525" t="s">
        <v>547</v>
      </c>
      <c r="F92" s="84" t="s">
        <v>136</v>
      </c>
      <c r="G92" s="84"/>
      <c r="H92" s="84"/>
      <c r="I92" s="84"/>
      <c r="J92" s="231">
        <f>(34000000)+2000000</f>
        <v>36000000</v>
      </c>
    </row>
    <row r="93" spans="1:10" ht="37.5" customHeight="1">
      <c r="A93" s="34"/>
      <c r="B93" s="512" t="s">
        <v>551</v>
      </c>
      <c r="C93" s="512" t="s">
        <v>552</v>
      </c>
      <c r="D93" s="512" t="s">
        <v>544</v>
      </c>
      <c r="E93" s="377" t="s">
        <v>553</v>
      </c>
      <c r="F93" s="59" t="s">
        <v>136</v>
      </c>
      <c r="G93" s="59"/>
      <c r="H93" s="59"/>
      <c r="I93" s="59"/>
      <c r="J93" s="234">
        <f>(10282110)+8145732+450000</f>
        <v>18877842</v>
      </c>
    </row>
    <row r="94" spans="1:10" ht="37.5" customHeight="1">
      <c r="A94" s="34"/>
      <c r="B94" s="512" t="s">
        <v>583</v>
      </c>
      <c r="C94" s="512" t="s">
        <v>584</v>
      </c>
      <c r="D94" s="512" t="s">
        <v>582</v>
      </c>
      <c r="E94" s="377" t="s">
        <v>637</v>
      </c>
      <c r="F94" s="59" t="s">
        <v>121</v>
      </c>
      <c r="G94" s="59"/>
      <c r="H94" s="59"/>
      <c r="I94" s="59"/>
      <c r="J94" s="513">
        <f>J95+J96+J97+J98+J99+J100+J101</f>
        <v>25000000</v>
      </c>
    </row>
    <row r="95" spans="1:10" ht="38.25" customHeight="1">
      <c r="A95" s="34"/>
      <c r="B95" s="63" t="s">
        <v>583</v>
      </c>
      <c r="C95" s="63" t="s">
        <v>584</v>
      </c>
      <c r="D95" s="63" t="s">
        <v>582</v>
      </c>
      <c r="E95" s="525" t="s">
        <v>637</v>
      </c>
      <c r="F95" s="66" t="s">
        <v>138</v>
      </c>
      <c r="G95" s="84"/>
      <c r="H95" s="84"/>
      <c r="I95" s="84"/>
      <c r="J95" s="231">
        <v>1500000</v>
      </c>
    </row>
    <row r="96" spans="1:10" ht="126.75" customHeight="1">
      <c r="A96" s="34"/>
      <c r="B96" s="63" t="s">
        <v>583</v>
      </c>
      <c r="C96" s="63" t="s">
        <v>584</v>
      </c>
      <c r="D96" s="63" t="s">
        <v>582</v>
      </c>
      <c r="E96" s="525" t="s">
        <v>637</v>
      </c>
      <c r="F96" s="66" t="s">
        <v>728</v>
      </c>
      <c r="G96" s="84">
        <v>12358847</v>
      </c>
      <c r="H96" s="484">
        <f t="shared" ref="H96" si="2">I96/G96*100</f>
        <v>59.543151557746441</v>
      </c>
      <c r="I96" s="84">
        <v>7358847</v>
      </c>
      <c r="J96" s="231">
        <v>5000000</v>
      </c>
    </row>
    <row r="97" spans="1:10" ht="55.5" customHeight="1">
      <c r="A97" s="34"/>
      <c r="B97" s="63" t="s">
        <v>583</v>
      </c>
      <c r="C97" s="63" t="s">
        <v>584</v>
      </c>
      <c r="D97" s="63" t="s">
        <v>582</v>
      </c>
      <c r="E97" s="525" t="s">
        <v>637</v>
      </c>
      <c r="F97" s="66" t="s">
        <v>305</v>
      </c>
      <c r="G97" s="84"/>
      <c r="H97" s="84"/>
      <c r="I97" s="84"/>
      <c r="J97" s="231">
        <v>4000000</v>
      </c>
    </row>
    <row r="98" spans="1:10" ht="33.75" customHeight="1">
      <c r="A98" s="34"/>
      <c r="B98" s="63" t="s">
        <v>583</v>
      </c>
      <c r="C98" s="63" t="s">
        <v>584</v>
      </c>
      <c r="D98" s="63" t="s">
        <v>582</v>
      </c>
      <c r="E98" s="525" t="s">
        <v>637</v>
      </c>
      <c r="F98" s="66" t="s">
        <v>638</v>
      </c>
      <c r="G98" s="84"/>
      <c r="H98" s="84"/>
      <c r="I98" s="84"/>
      <c r="J98" s="231">
        <v>2000000</v>
      </c>
    </row>
    <row r="99" spans="1:10" ht="58.5" customHeight="1">
      <c r="A99" s="34"/>
      <c r="B99" s="63" t="s">
        <v>583</v>
      </c>
      <c r="C99" s="63" t="s">
        <v>584</v>
      </c>
      <c r="D99" s="63" t="s">
        <v>582</v>
      </c>
      <c r="E99" s="525" t="s">
        <v>637</v>
      </c>
      <c r="F99" s="66" t="s">
        <v>639</v>
      </c>
      <c r="G99" s="84"/>
      <c r="H99" s="84"/>
      <c r="I99" s="84"/>
      <c r="J99" s="231">
        <v>2000000</v>
      </c>
    </row>
    <row r="100" spans="1:10" ht="66" customHeight="1">
      <c r="A100" s="34"/>
      <c r="B100" s="63" t="s">
        <v>583</v>
      </c>
      <c r="C100" s="63" t="s">
        <v>584</v>
      </c>
      <c r="D100" s="63" t="s">
        <v>582</v>
      </c>
      <c r="E100" s="525" t="s">
        <v>637</v>
      </c>
      <c r="F100" s="66" t="s">
        <v>640</v>
      </c>
      <c r="G100" s="84"/>
      <c r="H100" s="84"/>
      <c r="I100" s="84"/>
      <c r="J100" s="231">
        <v>500000</v>
      </c>
    </row>
    <row r="101" spans="1:10" ht="59.25" customHeight="1">
      <c r="A101" s="34"/>
      <c r="B101" s="63" t="s">
        <v>583</v>
      </c>
      <c r="C101" s="63" t="s">
        <v>584</v>
      </c>
      <c r="D101" s="63" t="s">
        <v>582</v>
      </c>
      <c r="E101" s="525" t="s">
        <v>637</v>
      </c>
      <c r="F101" s="66" t="s">
        <v>3</v>
      </c>
      <c r="G101" s="84">
        <v>181970000</v>
      </c>
      <c r="H101" s="484">
        <f t="shared" ref="H101" si="3">I101/G101*100</f>
        <v>28.724515029949991</v>
      </c>
      <c r="I101" s="84">
        <f>57270000-5000000</f>
        <v>52270000</v>
      </c>
      <c r="J101" s="231">
        <f>(5000000)+5000000</f>
        <v>10000000</v>
      </c>
    </row>
    <row r="102" spans="1:10" ht="63" customHeight="1">
      <c r="A102" s="34"/>
      <c r="B102" s="63" t="s">
        <v>737</v>
      </c>
      <c r="C102" s="63" t="s">
        <v>621</v>
      </c>
      <c r="D102" s="63" t="s">
        <v>582</v>
      </c>
      <c r="E102" s="525" t="s">
        <v>738</v>
      </c>
      <c r="F102" s="66" t="s">
        <v>739</v>
      </c>
      <c r="G102" s="84"/>
      <c r="H102" s="84"/>
      <c r="I102" s="84"/>
      <c r="J102" s="231">
        <v>700000</v>
      </c>
    </row>
    <row r="103" spans="1:10" ht="42" customHeight="1">
      <c r="A103" s="34"/>
      <c r="B103" s="512" t="s">
        <v>561</v>
      </c>
      <c r="C103" s="512" t="s">
        <v>562</v>
      </c>
      <c r="D103" s="512"/>
      <c r="E103" s="377" t="s">
        <v>563</v>
      </c>
      <c r="F103" s="59" t="s">
        <v>136</v>
      </c>
      <c r="G103" s="59"/>
      <c r="H103" s="59"/>
      <c r="I103" s="59"/>
      <c r="J103" s="234">
        <f>J104</f>
        <v>82966210</v>
      </c>
    </row>
    <row r="104" spans="1:10" ht="66" customHeight="1">
      <c r="A104" s="34"/>
      <c r="B104" s="63" t="s">
        <v>564</v>
      </c>
      <c r="C104" s="63" t="s">
        <v>565</v>
      </c>
      <c r="D104" s="63" t="s">
        <v>567</v>
      </c>
      <c r="E104" s="525" t="s">
        <v>566</v>
      </c>
      <c r="F104" s="84" t="s">
        <v>136</v>
      </c>
      <c r="G104" s="84"/>
      <c r="H104" s="84"/>
      <c r="I104" s="84"/>
      <c r="J104" s="231">
        <f>(58865000)+25301210-1200000</f>
        <v>82966210</v>
      </c>
    </row>
    <row r="105" spans="1:10" ht="26.25" customHeight="1">
      <c r="A105" s="34"/>
      <c r="B105" s="512" t="s">
        <v>568</v>
      </c>
      <c r="C105" s="512" t="s">
        <v>413</v>
      </c>
      <c r="D105" s="512" t="s">
        <v>414</v>
      </c>
      <c r="E105" s="377" t="s">
        <v>102</v>
      </c>
      <c r="F105" s="59" t="s">
        <v>136</v>
      </c>
      <c r="G105" s="84"/>
      <c r="H105" s="84"/>
      <c r="I105" s="84"/>
      <c r="J105" s="234">
        <f>(2000000)+1500000</f>
        <v>3500000</v>
      </c>
    </row>
    <row r="106" spans="1:10" ht="36.75" customHeight="1">
      <c r="A106" s="34"/>
      <c r="B106" s="512" t="s">
        <v>587</v>
      </c>
      <c r="C106" s="512" t="s">
        <v>383</v>
      </c>
      <c r="D106" s="512" t="s">
        <v>334</v>
      </c>
      <c r="E106" s="377" t="s">
        <v>91</v>
      </c>
      <c r="F106" s="59" t="s">
        <v>121</v>
      </c>
      <c r="G106" s="84" t="s">
        <v>299</v>
      </c>
      <c r="H106" s="84"/>
      <c r="I106" s="84"/>
      <c r="J106" s="234">
        <f>SUM(J107:J161)</f>
        <v>54219969</v>
      </c>
    </row>
    <row r="107" spans="1:10" ht="75">
      <c r="A107" s="34"/>
      <c r="B107" s="63" t="s">
        <v>587</v>
      </c>
      <c r="C107" s="63" t="s">
        <v>383</v>
      </c>
      <c r="D107" s="63" t="s">
        <v>334</v>
      </c>
      <c r="E107" s="516" t="s">
        <v>91</v>
      </c>
      <c r="F107" s="515" t="s">
        <v>887</v>
      </c>
      <c r="G107" s="84"/>
      <c r="H107" s="84"/>
      <c r="I107" s="84"/>
      <c r="J107" s="231">
        <v>625000</v>
      </c>
    </row>
    <row r="108" spans="1:10" ht="75">
      <c r="A108" s="34"/>
      <c r="B108" s="63" t="s">
        <v>587</v>
      </c>
      <c r="C108" s="63" t="s">
        <v>383</v>
      </c>
      <c r="D108" s="63" t="s">
        <v>334</v>
      </c>
      <c r="E108" s="516" t="s">
        <v>91</v>
      </c>
      <c r="F108" s="515" t="s">
        <v>888</v>
      </c>
      <c r="G108" s="84"/>
      <c r="H108" s="84"/>
      <c r="I108" s="84"/>
      <c r="J108" s="231">
        <v>2800000</v>
      </c>
    </row>
    <row r="109" spans="1:10" ht="60">
      <c r="A109" s="34"/>
      <c r="B109" s="63" t="s">
        <v>587</v>
      </c>
      <c r="C109" s="63" t="s">
        <v>383</v>
      </c>
      <c r="D109" s="63" t="s">
        <v>334</v>
      </c>
      <c r="E109" s="516" t="s">
        <v>91</v>
      </c>
      <c r="F109" s="515" t="s">
        <v>889</v>
      </c>
      <c r="G109" s="84"/>
      <c r="H109" s="84"/>
      <c r="I109" s="84"/>
      <c r="J109" s="231">
        <v>322000</v>
      </c>
    </row>
    <row r="110" spans="1:10" ht="45">
      <c r="A110" s="34"/>
      <c r="B110" s="63" t="s">
        <v>587</v>
      </c>
      <c r="C110" s="63" t="s">
        <v>383</v>
      </c>
      <c r="D110" s="63" t="s">
        <v>334</v>
      </c>
      <c r="E110" s="516" t="s">
        <v>91</v>
      </c>
      <c r="F110" s="515" t="s">
        <v>890</v>
      </c>
      <c r="G110" s="84"/>
      <c r="H110" s="84"/>
      <c r="I110" s="84"/>
      <c r="J110" s="231">
        <v>71904</v>
      </c>
    </row>
    <row r="111" spans="1:10" ht="45">
      <c r="A111" s="34"/>
      <c r="B111" s="63" t="s">
        <v>587</v>
      </c>
      <c r="C111" s="63" t="s">
        <v>383</v>
      </c>
      <c r="D111" s="63" t="s">
        <v>334</v>
      </c>
      <c r="E111" s="516" t="s">
        <v>91</v>
      </c>
      <c r="F111" s="515" t="s">
        <v>891</v>
      </c>
      <c r="G111" s="84"/>
      <c r="H111" s="84"/>
      <c r="I111" s="84"/>
      <c r="J111" s="231">
        <v>3325590</v>
      </c>
    </row>
    <row r="112" spans="1:10" ht="60">
      <c r="A112" s="34"/>
      <c r="B112" s="63" t="s">
        <v>587</v>
      </c>
      <c r="C112" s="63" t="s">
        <v>383</v>
      </c>
      <c r="D112" s="63" t="s">
        <v>334</v>
      </c>
      <c r="E112" s="516" t="s">
        <v>91</v>
      </c>
      <c r="F112" s="515" t="s">
        <v>892</v>
      </c>
      <c r="G112" s="84"/>
      <c r="H112" s="84"/>
      <c r="I112" s="84"/>
      <c r="J112" s="231">
        <v>120752</v>
      </c>
    </row>
    <row r="113" spans="1:10" ht="65.25" customHeight="1">
      <c r="A113" s="34"/>
      <c r="B113" s="63" t="s">
        <v>587</v>
      </c>
      <c r="C113" s="63" t="s">
        <v>383</v>
      </c>
      <c r="D113" s="63" t="s">
        <v>334</v>
      </c>
      <c r="E113" s="525" t="s">
        <v>91</v>
      </c>
      <c r="F113" s="516" t="s">
        <v>641</v>
      </c>
      <c r="G113" s="84"/>
      <c r="H113" s="84"/>
      <c r="I113" s="84"/>
      <c r="J113" s="231">
        <v>353700</v>
      </c>
    </row>
    <row r="114" spans="1:10" ht="77.25" customHeight="1">
      <c r="A114" s="34"/>
      <c r="B114" s="63" t="s">
        <v>587</v>
      </c>
      <c r="C114" s="63" t="s">
        <v>383</v>
      </c>
      <c r="D114" s="63" t="s">
        <v>334</v>
      </c>
      <c r="E114" s="525" t="s">
        <v>91</v>
      </c>
      <c r="F114" s="516" t="s">
        <v>642</v>
      </c>
      <c r="G114" s="84"/>
      <c r="H114" s="84"/>
      <c r="I114" s="84"/>
      <c r="J114" s="231">
        <f>450000-450000</f>
        <v>0</v>
      </c>
    </row>
    <row r="115" spans="1:10" ht="77.25" customHeight="1">
      <c r="A115" s="34"/>
      <c r="B115" s="63" t="s">
        <v>587</v>
      </c>
      <c r="C115" s="63" t="s">
        <v>383</v>
      </c>
      <c r="D115" s="63" t="s">
        <v>334</v>
      </c>
      <c r="E115" s="525" t="s">
        <v>91</v>
      </c>
      <c r="F115" s="516" t="s">
        <v>893</v>
      </c>
      <c r="G115" s="84"/>
      <c r="H115" s="84"/>
      <c r="I115" s="84"/>
      <c r="J115" s="231">
        <v>1820000</v>
      </c>
    </row>
    <row r="116" spans="1:10" ht="77.25" customHeight="1">
      <c r="A116" s="34"/>
      <c r="B116" s="63" t="s">
        <v>587</v>
      </c>
      <c r="C116" s="63" t="s">
        <v>383</v>
      </c>
      <c r="D116" s="63" t="s">
        <v>334</v>
      </c>
      <c r="E116" s="525" t="s">
        <v>91</v>
      </c>
      <c r="F116" s="516" t="s">
        <v>894</v>
      </c>
      <c r="G116" s="84"/>
      <c r="H116" s="84"/>
      <c r="I116" s="84"/>
      <c r="J116" s="231">
        <v>797000</v>
      </c>
    </row>
    <row r="117" spans="1:10" ht="77.25" customHeight="1">
      <c r="A117" s="34"/>
      <c r="B117" s="63" t="s">
        <v>587</v>
      </c>
      <c r="C117" s="63" t="s">
        <v>383</v>
      </c>
      <c r="D117" s="63" t="s">
        <v>334</v>
      </c>
      <c r="E117" s="525" t="s">
        <v>91</v>
      </c>
      <c r="F117" s="516" t="s">
        <v>895</v>
      </c>
      <c r="G117" s="84"/>
      <c r="H117" s="84"/>
      <c r="I117" s="84"/>
      <c r="J117" s="231">
        <v>238000</v>
      </c>
    </row>
    <row r="118" spans="1:10" ht="132" customHeight="1">
      <c r="A118" s="34"/>
      <c r="B118" s="63" t="s">
        <v>587</v>
      </c>
      <c r="C118" s="63" t="s">
        <v>383</v>
      </c>
      <c r="D118" s="63" t="s">
        <v>334</v>
      </c>
      <c r="E118" s="525" t="s">
        <v>91</v>
      </c>
      <c r="F118" s="516" t="s">
        <v>937</v>
      </c>
      <c r="G118" s="84"/>
      <c r="H118" s="84"/>
      <c r="I118" s="84"/>
      <c r="J118" s="231">
        <v>1200000</v>
      </c>
    </row>
    <row r="119" spans="1:10" ht="77.25" customHeight="1">
      <c r="A119" s="34"/>
      <c r="B119" s="63" t="s">
        <v>587</v>
      </c>
      <c r="C119" s="63" t="s">
        <v>383</v>
      </c>
      <c r="D119" s="63" t="s">
        <v>334</v>
      </c>
      <c r="E119" s="525" t="s">
        <v>91</v>
      </c>
      <c r="F119" s="515" t="s">
        <v>896</v>
      </c>
      <c r="G119" s="84"/>
      <c r="H119" s="84"/>
      <c r="I119" s="84"/>
      <c r="J119" s="231">
        <v>90000</v>
      </c>
    </row>
    <row r="120" spans="1:10" ht="77.25" customHeight="1">
      <c r="A120" s="34"/>
      <c r="B120" s="63" t="s">
        <v>587</v>
      </c>
      <c r="C120" s="63" t="s">
        <v>383</v>
      </c>
      <c r="D120" s="63" t="s">
        <v>334</v>
      </c>
      <c r="E120" s="525" t="s">
        <v>91</v>
      </c>
      <c r="F120" s="515" t="s">
        <v>897</v>
      </c>
      <c r="G120" s="84"/>
      <c r="H120" s="84"/>
      <c r="I120" s="84"/>
      <c r="J120" s="231">
        <v>109200</v>
      </c>
    </row>
    <row r="121" spans="1:10" ht="77.25" customHeight="1">
      <c r="A121" s="34"/>
      <c r="B121" s="63" t="s">
        <v>587</v>
      </c>
      <c r="C121" s="63" t="s">
        <v>383</v>
      </c>
      <c r="D121" s="63" t="s">
        <v>334</v>
      </c>
      <c r="E121" s="525" t="s">
        <v>91</v>
      </c>
      <c r="F121" s="515" t="s">
        <v>898</v>
      </c>
      <c r="G121" s="84"/>
      <c r="H121" s="84"/>
      <c r="I121" s="84"/>
      <c r="J121" s="231">
        <v>350000</v>
      </c>
    </row>
    <row r="122" spans="1:10" ht="69" customHeight="1">
      <c r="A122" s="34"/>
      <c r="B122" s="63" t="s">
        <v>587</v>
      </c>
      <c r="C122" s="63" t="s">
        <v>383</v>
      </c>
      <c r="D122" s="63" t="s">
        <v>334</v>
      </c>
      <c r="E122" s="525" t="s">
        <v>91</v>
      </c>
      <c r="F122" s="516" t="s">
        <v>647</v>
      </c>
      <c r="G122" s="84"/>
      <c r="H122" s="84"/>
      <c r="I122" s="84"/>
      <c r="J122" s="517">
        <v>550000</v>
      </c>
    </row>
    <row r="123" spans="1:10" ht="126">
      <c r="A123" s="34"/>
      <c r="B123" s="63" t="s">
        <v>587</v>
      </c>
      <c r="C123" s="63" t="s">
        <v>383</v>
      </c>
      <c r="D123" s="63" t="s">
        <v>334</v>
      </c>
      <c r="E123" s="525" t="s">
        <v>91</v>
      </c>
      <c r="F123" s="516" t="s">
        <v>659</v>
      </c>
      <c r="G123" s="84"/>
      <c r="H123" s="84"/>
      <c r="I123" s="84"/>
      <c r="J123" s="231">
        <f>(2000000)+5371102</f>
        <v>7371102</v>
      </c>
    </row>
    <row r="124" spans="1:10" ht="110.25">
      <c r="A124" s="34"/>
      <c r="B124" s="63" t="s">
        <v>587</v>
      </c>
      <c r="C124" s="63" t="s">
        <v>383</v>
      </c>
      <c r="D124" s="63" t="s">
        <v>334</v>
      </c>
      <c r="E124" s="525" t="s">
        <v>91</v>
      </c>
      <c r="F124" s="526" t="s">
        <v>899</v>
      </c>
      <c r="G124" s="84"/>
      <c r="H124" s="84"/>
      <c r="I124" s="84"/>
      <c r="J124" s="231">
        <v>298804</v>
      </c>
    </row>
    <row r="125" spans="1:10" ht="94.5">
      <c r="A125" s="34"/>
      <c r="B125" s="63" t="s">
        <v>587</v>
      </c>
      <c r="C125" s="63" t="s">
        <v>383</v>
      </c>
      <c r="D125" s="63" t="s">
        <v>334</v>
      </c>
      <c r="E125" s="525" t="s">
        <v>91</v>
      </c>
      <c r="F125" s="526" t="s">
        <v>924</v>
      </c>
      <c r="G125" s="84"/>
      <c r="H125" s="84"/>
      <c r="I125" s="84"/>
      <c r="J125" s="231">
        <v>1908200</v>
      </c>
    </row>
    <row r="126" spans="1:10" ht="110.25">
      <c r="A126" s="34"/>
      <c r="B126" s="63" t="s">
        <v>587</v>
      </c>
      <c r="C126" s="63" t="s">
        <v>383</v>
      </c>
      <c r="D126" s="63" t="s">
        <v>334</v>
      </c>
      <c r="E126" s="525" t="s">
        <v>91</v>
      </c>
      <c r="F126" s="526" t="s">
        <v>900</v>
      </c>
      <c r="G126" s="84"/>
      <c r="H126" s="84"/>
      <c r="I126" s="84"/>
      <c r="J126" s="231">
        <v>543210</v>
      </c>
    </row>
    <row r="127" spans="1:10" ht="110.25">
      <c r="A127" s="34"/>
      <c r="B127" s="63" t="s">
        <v>587</v>
      </c>
      <c r="C127" s="63" t="s">
        <v>383</v>
      </c>
      <c r="D127" s="63" t="s">
        <v>334</v>
      </c>
      <c r="E127" s="525" t="s">
        <v>91</v>
      </c>
      <c r="F127" s="526" t="s">
        <v>901</v>
      </c>
      <c r="G127" s="84"/>
      <c r="H127" s="84"/>
      <c r="I127" s="84"/>
      <c r="J127" s="231">
        <v>517586</v>
      </c>
    </row>
    <row r="128" spans="1:10" ht="78.75">
      <c r="A128" s="34"/>
      <c r="B128" s="63" t="s">
        <v>587</v>
      </c>
      <c r="C128" s="63" t="s">
        <v>383</v>
      </c>
      <c r="D128" s="63" t="s">
        <v>334</v>
      </c>
      <c r="E128" s="525" t="s">
        <v>91</v>
      </c>
      <c r="F128" s="526" t="s">
        <v>925</v>
      </c>
      <c r="G128" s="84"/>
      <c r="H128" s="84"/>
      <c r="I128" s="84"/>
      <c r="J128" s="231">
        <v>700000</v>
      </c>
    </row>
    <row r="129" spans="1:10" ht="102" customHeight="1">
      <c r="A129" s="34"/>
      <c r="B129" s="63" t="s">
        <v>587</v>
      </c>
      <c r="C129" s="63" t="s">
        <v>383</v>
      </c>
      <c r="D129" s="63" t="s">
        <v>334</v>
      </c>
      <c r="E129" s="525" t="s">
        <v>91</v>
      </c>
      <c r="F129" s="526" t="s">
        <v>944</v>
      </c>
      <c r="G129" s="84"/>
      <c r="H129" s="84"/>
      <c r="I129" s="84"/>
      <c r="J129" s="231">
        <v>1330000</v>
      </c>
    </row>
    <row r="130" spans="1:10" ht="89.25" customHeight="1">
      <c r="A130" s="34"/>
      <c r="B130" s="63" t="s">
        <v>587</v>
      </c>
      <c r="C130" s="63" t="s">
        <v>383</v>
      </c>
      <c r="D130" s="63" t="s">
        <v>334</v>
      </c>
      <c r="E130" s="525" t="s">
        <v>91</v>
      </c>
      <c r="F130" s="527" t="s">
        <v>945</v>
      </c>
      <c r="G130" s="84"/>
      <c r="H130" s="84"/>
      <c r="I130" s="84"/>
      <c r="J130" s="231">
        <v>2000000</v>
      </c>
    </row>
    <row r="131" spans="1:10" ht="141.75">
      <c r="A131" s="34"/>
      <c r="B131" s="63" t="s">
        <v>587</v>
      </c>
      <c r="C131" s="63" t="s">
        <v>383</v>
      </c>
      <c r="D131" s="63" t="s">
        <v>334</v>
      </c>
      <c r="E131" s="525" t="s">
        <v>91</v>
      </c>
      <c r="F131" s="527" t="s">
        <v>946</v>
      </c>
      <c r="G131" s="84"/>
      <c r="H131" s="84"/>
      <c r="I131" s="84"/>
      <c r="J131" s="231">
        <v>2000000</v>
      </c>
    </row>
    <row r="132" spans="1:10" ht="78.75">
      <c r="A132" s="34"/>
      <c r="B132" s="63" t="s">
        <v>587</v>
      </c>
      <c r="C132" s="63" t="s">
        <v>383</v>
      </c>
      <c r="D132" s="63" t="s">
        <v>334</v>
      </c>
      <c r="E132" s="525" t="s">
        <v>91</v>
      </c>
      <c r="F132" s="527" t="s">
        <v>947</v>
      </c>
      <c r="G132" s="84"/>
      <c r="H132" s="84"/>
      <c r="I132" s="84"/>
      <c r="J132" s="231">
        <v>383000</v>
      </c>
    </row>
    <row r="133" spans="1:10" ht="94.5">
      <c r="A133" s="34"/>
      <c r="B133" s="63" t="s">
        <v>587</v>
      </c>
      <c r="C133" s="63" t="s">
        <v>383</v>
      </c>
      <c r="D133" s="63" t="s">
        <v>334</v>
      </c>
      <c r="E133" s="525" t="s">
        <v>91</v>
      </c>
      <c r="F133" s="527" t="s">
        <v>902</v>
      </c>
      <c r="G133" s="84"/>
      <c r="H133" s="84"/>
      <c r="I133" s="84"/>
      <c r="J133" s="231">
        <v>208964</v>
      </c>
    </row>
    <row r="134" spans="1:10" ht="110.25">
      <c r="A134" s="34"/>
      <c r="B134" s="63" t="s">
        <v>587</v>
      </c>
      <c r="C134" s="63" t="s">
        <v>383</v>
      </c>
      <c r="D134" s="63" t="s">
        <v>334</v>
      </c>
      <c r="E134" s="525" t="s">
        <v>91</v>
      </c>
      <c r="F134" s="528" t="s">
        <v>903</v>
      </c>
      <c r="G134" s="84"/>
      <c r="H134" s="84"/>
      <c r="I134" s="84"/>
      <c r="J134" s="231">
        <v>546450</v>
      </c>
    </row>
    <row r="135" spans="1:10" ht="126">
      <c r="A135" s="34"/>
      <c r="B135" s="63" t="s">
        <v>587</v>
      </c>
      <c r="C135" s="63" t="s">
        <v>383</v>
      </c>
      <c r="D135" s="63" t="s">
        <v>334</v>
      </c>
      <c r="E135" s="525" t="s">
        <v>91</v>
      </c>
      <c r="F135" s="527" t="s">
        <v>904</v>
      </c>
      <c r="G135" s="84"/>
      <c r="H135" s="84"/>
      <c r="I135" s="84"/>
      <c r="J135" s="231">
        <v>421426</v>
      </c>
    </row>
    <row r="136" spans="1:10" ht="126">
      <c r="A136" s="34"/>
      <c r="B136" s="63" t="s">
        <v>587</v>
      </c>
      <c r="C136" s="63" t="s">
        <v>383</v>
      </c>
      <c r="D136" s="63" t="s">
        <v>334</v>
      </c>
      <c r="E136" s="525" t="s">
        <v>91</v>
      </c>
      <c r="F136" s="527" t="s">
        <v>929</v>
      </c>
      <c r="G136" s="84"/>
      <c r="H136" s="84"/>
      <c r="I136" s="84"/>
      <c r="J136" s="231">
        <v>109000</v>
      </c>
    </row>
    <row r="137" spans="1:10" ht="78.75">
      <c r="A137" s="34"/>
      <c r="B137" s="63" t="s">
        <v>587</v>
      </c>
      <c r="C137" s="63" t="s">
        <v>383</v>
      </c>
      <c r="D137" s="63" t="s">
        <v>334</v>
      </c>
      <c r="E137" s="525" t="s">
        <v>91</v>
      </c>
      <c r="F137" s="527" t="s">
        <v>948</v>
      </c>
      <c r="G137" s="84"/>
      <c r="H137" s="84"/>
      <c r="I137" s="84"/>
      <c r="J137" s="231">
        <v>675000</v>
      </c>
    </row>
    <row r="138" spans="1:10" ht="173.25">
      <c r="A138" s="34"/>
      <c r="B138" s="63" t="s">
        <v>587</v>
      </c>
      <c r="C138" s="63" t="s">
        <v>383</v>
      </c>
      <c r="D138" s="63" t="s">
        <v>334</v>
      </c>
      <c r="E138" s="525" t="s">
        <v>91</v>
      </c>
      <c r="F138" s="528" t="s">
        <v>928</v>
      </c>
      <c r="G138" s="84"/>
      <c r="H138" s="84"/>
      <c r="I138" s="84"/>
      <c r="J138" s="231">
        <v>3385670</v>
      </c>
    </row>
    <row r="139" spans="1:10" ht="110.25">
      <c r="A139" s="34"/>
      <c r="B139" s="63" t="s">
        <v>587</v>
      </c>
      <c r="C139" s="63" t="s">
        <v>383</v>
      </c>
      <c r="D139" s="63" t="s">
        <v>334</v>
      </c>
      <c r="E139" s="525" t="s">
        <v>91</v>
      </c>
      <c r="F139" s="527" t="s">
        <v>930</v>
      </c>
      <c r="G139" s="84"/>
      <c r="H139" s="84"/>
      <c r="I139" s="84"/>
      <c r="J139" s="231">
        <v>898020</v>
      </c>
    </row>
    <row r="140" spans="1:10" ht="78.75">
      <c r="A140" s="34"/>
      <c r="B140" s="63" t="s">
        <v>587</v>
      </c>
      <c r="C140" s="63" t="s">
        <v>383</v>
      </c>
      <c r="D140" s="63" t="s">
        <v>334</v>
      </c>
      <c r="E140" s="525" t="s">
        <v>91</v>
      </c>
      <c r="F140" s="527" t="s">
        <v>931</v>
      </c>
      <c r="G140" s="84"/>
      <c r="H140" s="84"/>
      <c r="I140" s="84"/>
      <c r="J140" s="231">
        <v>300000</v>
      </c>
    </row>
    <row r="141" spans="1:10" ht="84" customHeight="1">
      <c r="A141" s="34"/>
      <c r="B141" s="63" t="s">
        <v>587</v>
      </c>
      <c r="C141" s="63" t="s">
        <v>383</v>
      </c>
      <c r="D141" s="63" t="s">
        <v>334</v>
      </c>
      <c r="E141" s="525" t="s">
        <v>91</v>
      </c>
      <c r="F141" s="516" t="s">
        <v>932</v>
      </c>
      <c r="G141" s="84"/>
      <c r="H141" s="84"/>
      <c r="I141" s="84"/>
      <c r="J141" s="231">
        <v>2500000</v>
      </c>
    </row>
    <row r="142" spans="1:10" ht="128.25" customHeight="1">
      <c r="A142" s="34"/>
      <c r="B142" s="63" t="s">
        <v>587</v>
      </c>
      <c r="C142" s="63" t="s">
        <v>383</v>
      </c>
      <c r="D142" s="63" t="s">
        <v>334</v>
      </c>
      <c r="E142" s="525" t="s">
        <v>91</v>
      </c>
      <c r="F142" s="516" t="s">
        <v>958</v>
      </c>
      <c r="G142" s="84"/>
      <c r="H142" s="84"/>
      <c r="I142" s="84"/>
      <c r="J142" s="231">
        <v>900000</v>
      </c>
    </row>
    <row r="143" spans="1:10" ht="121.5" customHeight="1">
      <c r="A143" s="34"/>
      <c r="B143" s="63" t="s">
        <v>587</v>
      </c>
      <c r="C143" s="63" t="s">
        <v>383</v>
      </c>
      <c r="D143" s="63" t="s">
        <v>334</v>
      </c>
      <c r="E143" s="525" t="s">
        <v>91</v>
      </c>
      <c r="F143" s="516" t="s">
        <v>959</v>
      </c>
      <c r="G143" s="84"/>
      <c r="H143" s="84"/>
      <c r="I143" s="84"/>
      <c r="J143" s="231">
        <v>900000</v>
      </c>
    </row>
    <row r="144" spans="1:10" ht="110.25">
      <c r="A144" s="34"/>
      <c r="B144" s="63" t="s">
        <v>587</v>
      </c>
      <c r="C144" s="63" t="s">
        <v>383</v>
      </c>
      <c r="D144" s="63" t="s">
        <v>334</v>
      </c>
      <c r="E144" s="525" t="s">
        <v>91</v>
      </c>
      <c r="F144" s="526" t="s">
        <v>933</v>
      </c>
      <c r="G144" s="84"/>
      <c r="H144" s="84"/>
      <c r="I144" s="84"/>
      <c r="J144" s="231">
        <v>1100000</v>
      </c>
    </row>
    <row r="145" spans="1:10" ht="126">
      <c r="A145" s="34"/>
      <c r="B145" s="63" t="s">
        <v>587</v>
      </c>
      <c r="C145" s="63" t="s">
        <v>383</v>
      </c>
      <c r="D145" s="63" t="s">
        <v>334</v>
      </c>
      <c r="E145" s="525" t="s">
        <v>91</v>
      </c>
      <c r="F145" s="526" t="s">
        <v>934</v>
      </c>
      <c r="G145" s="84"/>
      <c r="H145" s="84"/>
      <c r="I145" s="84"/>
      <c r="J145" s="231">
        <v>1170000</v>
      </c>
    </row>
    <row r="146" spans="1:10" ht="108.75" customHeight="1">
      <c r="A146" s="34"/>
      <c r="B146" s="63" t="s">
        <v>587</v>
      </c>
      <c r="C146" s="63" t="s">
        <v>383</v>
      </c>
      <c r="D146" s="63" t="s">
        <v>334</v>
      </c>
      <c r="E146" s="525" t="s">
        <v>91</v>
      </c>
      <c r="F146" s="526" t="s">
        <v>950</v>
      </c>
      <c r="G146" s="84"/>
      <c r="H146" s="84"/>
      <c r="I146" s="84"/>
      <c r="J146" s="231">
        <v>1300000</v>
      </c>
    </row>
    <row r="147" spans="1:10" ht="94.5">
      <c r="A147" s="34"/>
      <c r="B147" s="63" t="s">
        <v>587</v>
      </c>
      <c r="C147" s="63" t="s">
        <v>383</v>
      </c>
      <c r="D147" s="63" t="s">
        <v>334</v>
      </c>
      <c r="E147" s="525" t="s">
        <v>91</v>
      </c>
      <c r="F147" s="526" t="s">
        <v>949</v>
      </c>
      <c r="G147" s="84"/>
      <c r="H147" s="84"/>
      <c r="I147" s="84"/>
      <c r="J147" s="231">
        <v>1430000</v>
      </c>
    </row>
    <row r="148" spans="1:10" ht="110.25">
      <c r="A148" s="34"/>
      <c r="B148" s="63" t="s">
        <v>587</v>
      </c>
      <c r="C148" s="63" t="s">
        <v>383</v>
      </c>
      <c r="D148" s="63" t="s">
        <v>334</v>
      </c>
      <c r="E148" s="525" t="s">
        <v>91</v>
      </c>
      <c r="F148" s="516" t="s">
        <v>935</v>
      </c>
      <c r="G148" s="84"/>
      <c r="H148" s="84"/>
      <c r="I148" s="84"/>
      <c r="J148" s="231">
        <v>1000000</v>
      </c>
    </row>
    <row r="149" spans="1:10" ht="75">
      <c r="A149" s="34"/>
      <c r="B149" s="63" t="s">
        <v>587</v>
      </c>
      <c r="C149" s="63" t="s">
        <v>383</v>
      </c>
      <c r="D149" s="63" t="s">
        <v>334</v>
      </c>
      <c r="E149" s="525" t="s">
        <v>91</v>
      </c>
      <c r="F149" s="515" t="s">
        <v>905</v>
      </c>
      <c r="G149" s="84"/>
      <c r="H149" s="84"/>
      <c r="I149" s="84"/>
      <c r="J149" s="231">
        <v>2326868</v>
      </c>
    </row>
    <row r="150" spans="1:10" ht="110.25">
      <c r="A150" s="34"/>
      <c r="B150" s="63" t="s">
        <v>587</v>
      </c>
      <c r="C150" s="63" t="s">
        <v>383</v>
      </c>
      <c r="D150" s="63" t="s">
        <v>334</v>
      </c>
      <c r="E150" s="525" t="s">
        <v>91</v>
      </c>
      <c r="F150" s="516" t="s">
        <v>906</v>
      </c>
      <c r="G150" s="84"/>
      <c r="H150" s="84"/>
      <c r="I150" s="84"/>
      <c r="J150" s="231">
        <v>3496790</v>
      </c>
    </row>
    <row r="151" spans="1:10" ht="105.75" customHeight="1">
      <c r="A151" s="34"/>
      <c r="B151" s="63" t="s">
        <v>587</v>
      </c>
      <c r="C151" s="63" t="s">
        <v>383</v>
      </c>
      <c r="D151" s="63" t="s">
        <v>334</v>
      </c>
      <c r="E151" s="525" t="s">
        <v>91</v>
      </c>
      <c r="F151" s="515" t="s">
        <v>923</v>
      </c>
      <c r="G151" s="84"/>
      <c r="H151" s="84"/>
      <c r="I151" s="84"/>
      <c r="J151" s="231">
        <v>280881</v>
      </c>
    </row>
    <row r="152" spans="1:10" ht="120">
      <c r="A152" s="34"/>
      <c r="B152" s="63" t="s">
        <v>587</v>
      </c>
      <c r="C152" s="63" t="s">
        <v>383</v>
      </c>
      <c r="D152" s="63" t="s">
        <v>334</v>
      </c>
      <c r="E152" s="525" t="s">
        <v>91</v>
      </c>
      <c r="F152" s="515" t="s">
        <v>927</v>
      </c>
      <c r="G152" s="84"/>
      <c r="H152" s="84"/>
      <c r="I152" s="84"/>
      <c r="J152" s="231">
        <v>122352</v>
      </c>
    </row>
    <row r="153" spans="1:10" ht="60">
      <c r="A153" s="34"/>
      <c r="B153" s="63" t="s">
        <v>587</v>
      </c>
      <c r="C153" s="63" t="s">
        <v>383</v>
      </c>
      <c r="D153" s="63" t="s">
        <v>334</v>
      </c>
      <c r="E153" s="525" t="s">
        <v>91</v>
      </c>
      <c r="F153" s="515" t="s">
        <v>907</v>
      </c>
      <c r="G153" s="84"/>
      <c r="H153" s="84"/>
      <c r="I153" s="84"/>
      <c r="J153" s="231">
        <v>960000</v>
      </c>
    </row>
    <row r="154" spans="1:10" ht="75">
      <c r="A154" s="34"/>
      <c r="B154" s="63" t="s">
        <v>587</v>
      </c>
      <c r="C154" s="63" t="s">
        <v>383</v>
      </c>
      <c r="D154" s="63" t="s">
        <v>334</v>
      </c>
      <c r="E154" s="525" t="s">
        <v>91</v>
      </c>
      <c r="F154" s="515" t="s">
        <v>908</v>
      </c>
      <c r="G154" s="84"/>
      <c r="H154" s="84"/>
      <c r="I154" s="84"/>
      <c r="J154" s="231">
        <v>15500</v>
      </c>
    </row>
    <row r="155" spans="1:10" ht="75">
      <c r="A155" s="34"/>
      <c r="B155" s="63" t="s">
        <v>587</v>
      </c>
      <c r="C155" s="63" t="s">
        <v>383</v>
      </c>
      <c r="D155" s="63" t="s">
        <v>334</v>
      </c>
      <c r="E155" s="525" t="s">
        <v>91</v>
      </c>
      <c r="F155" s="515" t="s">
        <v>909</v>
      </c>
      <c r="G155" s="84"/>
      <c r="H155" s="84"/>
      <c r="I155" s="84"/>
      <c r="J155" s="231">
        <v>31000</v>
      </c>
    </row>
    <row r="156" spans="1:10" ht="75">
      <c r="A156" s="34"/>
      <c r="B156" s="63" t="s">
        <v>587</v>
      </c>
      <c r="C156" s="63" t="s">
        <v>383</v>
      </c>
      <c r="D156" s="63" t="s">
        <v>334</v>
      </c>
      <c r="E156" s="525" t="s">
        <v>91</v>
      </c>
      <c r="F156" s="515" t="s">
        <v>910</v>
      </c>
      <c r="G156" s="84"/>
      <c r="H156" s="84"/>
      <c r="I156" s="84"/>
      <c r="J156" s="231">
        <v>31000</v>
      </c>
    </row>
    <row r="157" spans="1:10" ht="75">
      <c r="A157" s="34"/>
      <c r="B157" s="63" t="s">
        <v>587</v>
      </c>
      <c r="C157" s="63" t="s">
        <v>383</v>
      </c>
      <c r="D157" s="63" t="s">
        <v>334</v>
      </c>
      <c r="E157" s="525" t="s">
        <v>91</v>
      </c>
      <c r="F157" s="515" t="s">
        <v>911</v>
      </c>
      <c r="G157" s="84"/>
      <c r="H157" s="84"/>
      <c r="I157" s="84"/>
      <c r="J157" s="231">
        <v>31000</v>
      </c>
    </row>
    <row r="158" spans="1:10" ht="75">
      <c r="A158" s="34"/>
      <c r="B158" s="63" t="s">
        <v>587</v>
      </c>
      <c r="C158" s="63" t="s">
        <v>383</v>
      </c>
      <c r="D158" s="63" t="s">
        <v>334</v>
      </c>
      <c r="E158" s="525" t="s">
        <v>91</v>
      </c>
      <c r="F158" s="515" t="s">
        <v>912</v>
      </c>
      <c r="G158" s="84"/>
      <c r="H158" s="84"/>
      <c r="I158" s="84"/>
      <c r="J158" s="231">
        <v>62000</v>
      </c>
    </row>
    <row r="159" spans="1:10" ht="75">
      <c r="A159" s="34"/>
      <c r="B159" s="63" t="s">
        <v>587</v>
      </c>
      <c r="C159" s="63" t="s">
        <v>383</v>
      </c>
      <c r="D159" s="63" t="s">
        <v>334</v>
      </c>
      <c r="E159" s="525" t="s">
        <v>91</v>
      </c>
      <c r="F159" s="515" t="s">
        <v>913</v>
      </c>
      <c r="G159" s="84"/>
      <c r="H159" s="84"/>
      <c r="I159" s="84"/>
      <c r="J159" s="231">
        <v>62000</v>
      </c>
    </row>
    <row r="160" spans="1:10" ht="75">
      <c r="A160" s="34"/>
      <c r="B160" s="63" t="s">
        <v>587</v>
      </c>
      <c r="C160" s="63" t="s">
        <v>383</v>
      </c>
      <c r="D160" s="63" t="s">
        <v>334</v>
      </c>
      <c r="E160" s="525" t="s">
        <v>91</v>
      </c>
      <c r="F160" s="515" t="s">
        <v>914</v>
      </c>
      <c r="G160" s="84"/>
      <c r="H160" s="84"/>
      <c r="I160" s="84"/>
      <c r="J160" s="231">
        <v>31000</v>
      </c>
    </row>
    <row r="161" spans="1:11" ht="75">
      <c r="A161" s="34"/>
      <c r="B161" s="63" t="s">
        <v>587</v>
      </c>
      <c r="C161" s="63" t="s">
        <v>383</v>
      </c>
      <c r="D161" s="63" t="s">
        <v>334</v>
      </c>
      <c r="E161" s="525" t="s">
        <v>91</v>
      </c>
      <c r="F161" s="515" t="s">
        <v>915</v>
      </c>
      <c r="G161" s="84"/>
      <c r="H161" s="84"/>
      <c r="I161" s="84"/>
      <c r="J161" s="231">
        <v>100000</v>
      </c>
    </row>
    <row r="162" spans="1:11" ht="75">
      <c r="A162" s="34"/>
      <c r="B162" s="459" t="s">
        <v>69</v>
      </c>
      <c r="C162" s="459"/>
      <c r="D162" s="459"/>
      <c r="E162" s="459" t="s">
        <v>71</v>
      </c>
      <c r="F162" s="486"/>
      <c r="G162" s="486"/>
      <c r="H162" s="486"/>
      <c r="I162" s="486"/>
      <c r="J162" s="474">
        <f>J163</f>
        <v>91200000</v>
      </c>
    </row>
    <row r="163" spans="1:11" ht="71.25">
      <c r="A163" s="34"/>
      <c r="B163" s="476" t="s">
        <v>70</v>
      </c>
      <c r="C163" s="476"/>
      <c r="D163" s="476"/>
      <c r="E163" s="476" t="s">
        <v>98</v>
      </c>
      <c r="F163" s="486"/>
      <c r="G163" s="486"/>
      <c r="H163" s="486"/>
      <c r="I163" s="486"/>
      <c r="J163" s="475">
        <f>J164+J179+J181+J183+J184+J185+J186+J187+J188+J189+J190+J193+J182+J191+J192+J180</f>
        <v>91200000</v>
      </c>
    </row>
    <row r="164" spans="1:11" ht="30">
      <c r="A164" s="34"/>
      <c r="B164" s="512" t="s">
        <v>611</v>
      </c>
      <c r="C164" s="512" t="s">
        <v>612</v>
      </c>
      <c r="D164" s="512"/>
      <c r="E164" s="512" t="s">
        <v>610</v>
      </c>
      <c r="F164" s="529"/>
      <c r="G164" s="59"/>
      <c r="H164" s="59"/>
      <c r="I164" s="59"/>
      <c r="J164" s="358">
        <f>SUM(J165:J178)</f>
        <v>59678000</v>
      </c>
    </row>
    <row r="165" spans="1:11" ht="45">
      <c r="A165" s="34"/>
      <c r="B165" s="63" t="s">
        <v>614</v>
      </c>
      <c r="C165" s="63" t="s">
        <v>615</v>
      </c>
      <c r="D165" s="63" t="s">
        <v>582</v>
      </c>
      <c r="E165" s="63" t="s">
        <v>613</v>
      </c>
      <c r="F165" s="382" t="s">
        <v>951</v>
      </c>
      <c r="G165" s="383">
        <f>(107107060)+7608340</f>
        <v>114715400</v>
      </c>
      <c r="H165" s="484">
        <f t="shared" ref="H165:H173" si="4">I165/G165*100</f>
        <v>47.685576653178217</v>
      </c>
      <c r="I165" s="383">
        <f>(57094360)-10000000+7608340</f>
        <v>54702700</v>
      </c>
      <c r="J165" s="385">
        <f>(9888000)+10000000</f>
        <v>19888000</v>
      </c>
    </row>
    <row r="166" spans="1:11" ht="60">
      <c r="A166" s="34"/>
      <c r="B166" s="63" t="s">
        <v>614</v>
      </c>
      <c r="C166" s="63" t="s">
        <v>615</v>
      </c>
      <c r="D166" s="63" t="s">
        <v>582</v>
      </c>
      <c r="E166" s="63" t="s">
        <v>613</v>
      </c>
      <c r="F166" s="386" t="s">
        <v>875</v>
      </c>
      <c r="G166" s="383">
        <f>(18108013)+12288187</f>
        <v>30396200</v>
      </c>
      <c r="H166" s="484">
        <f t="shared" si="4"/>
        <v>81.819437956060298</v>
      </c>
      <c r="I166" s="383">
        <f>(12581813)+12288187</f>
        <v>24870000</v>
      </c>
      <c r="J166" s="385">
        <v>5000000</v>
      </c>
      <c r="K166" s="320"/>
    </row>
    <row r="167" spans="1:11" ht="60">
      <c r="A167" s="34"/>
      <c r="B167" s="63" t="s">
        <v>614</v>
      </c>
      <c r="C167" s="63" t="s">
        <v>615</v>
      </c>
      <c r="D167" s="63" t="s">
        <v>582</v>
      </c>
      <c r="E167" s="63" t="s">
        <v>613</v>
      </c>
      <c r="F167" s="387" t="s">
        <v>876</v>
      </c>
      <c r="G167" s="383">
        <f>(16227530.39)+2103069.61</f>
        <v>18330600</v>
      </c>
      <c r="H167" s="484">
        <f t="shared" si="4"/>
        <v>0</v>
      </c>
      <c r="I167" s="383">
        <v>0</v>
      </c>
      <c r="J167" s="385">
        <f>(4000000)+2000000</f>
        <v>6000000</v>
      </c>
    </row>
    <row r="168" spans="1:11" ht="60">
      <c r="A168" s="34"/>
      <c r="B168" s="63" t="s">
        <v>614</v>
      </c>
      <c r="C168" s="63" t="s">
        <v>615</v>
      </c>
      <c r="D168" s="63" t="s">
        <v>582</v>
      </c>
      <c r="E168" s="63" t="s">
        <v>613</v>
      </c>
      <c r="F168" s="386" t="s">
        <v>4</v>
      </c>
      <c r="G168" s="383">
        <f>(24955463)+5054637</f>
        <v>30010100</v>
      </c>
      <c r="H168" s="484">
        <f t="shared" si="4"/>
        <v>76.546229436089845</v>
      </c>
      <c r="I168" s="383">
        <f>(19916963)-2000000+5054637</f>
        <v>22971600</v>
      </c>
      <c r="J168" s="385">
        <f>(3000000)+2000000</f>
        <v>5000000</v>
      </c>
    </row>
    <row r="169" spans="1:11" ht="90">
      <c r="A169" s="34"/>
      <c r="B169" s="63" t="s">
        <v>614</v>
      </c>
      <c r="C169" s="63" t="s">
        <v>615</v>
      </c>
      <c r="D169" s="63" t="s">
        <v>582</v>
      </c>
      <c r="E169" s="63" t="s">
        <v>613</v>
      </c>
      <c r="F169" s="386" t="s">
        <v>5</v>
      </c>
      <c r="G169" s="383">
        <f>(6639195)+3899305</f>
        <v>10538500</v>
      </c>
      <c r="H169" s="484">
        <f t="shared" si="4"/>
        <v>31.824263415097025</v>
      </c>
      <c r="I169" s="383">
        <f>(2454495)-3000000+3899305</f>
        <v>3353800</v>
      </c>
      <c r="J169" s="385">
        <f>(3000000)+3000000</f>
        <v>6000000</v>
      </c>
    </row>
    <row r="170" spans="1:11" ht="75">
      <c r="A170" s="34"/>
      <c r="B170" s="63" t="s">
        <v>614</v>
      </c>
      <c r="C170" s="63" t="s">
        <v>615</v>
      </c>
      <c r="D170" s="63" t="s">
        <v>582</v>
      </c>
      <c r="E170" s="63" t="s">
        <v>613</v>
      </c>
      <c r="F170" s="386" t="s">
        <v>877</v>
      </c>
      <c r="G170" s="383">
        <f>(15302238)+15435062</f>
        <v>30737300</v>
      </c>
      <c r="H170" s="484">
        <f t="shared" si="4"/>
        <v>71.335966399130697</v>
      </c>
      <c r="I170" s="383">
        <f>(7491688)-1000000+15435062</f>
        <v>21926750</v>
      </c>
      <c r="J170" s="385">
        <f>(3000000)+1000000</f>
        <v>4000000</v>
      </c>
    </row>
    <row r="171" spans="1:11" ht="105">
      <c r="A171" s="34"/>
      <c r="B171" s="63" t="s">
        <v>614</v>
      </c>
      <c r="C171" s="63" t="s">
        <v>615</v>
      </c>
      <c r="D171" s="63" t="s">
        <v>582</v>
      </c>
      <c r="E171" s="63" t="s">
        <v>613</v>
      </c>
      <c r="F171" s="386" t="s">
        <v>822</v>
      </c>
      <c r="G171" s="383">
        <v>1919400</v>
      </c>
      <c r="H171" s="484">
        <f t="shared" si="4"/>
        <v>36.06335313118683</v>
      </c>
      <c r="I171" s="383">
        <f>692200</f>
        <v>692200</v>
      </c>
      <c r="J171" s="385">
        <v>300000</v>
      </c>
    </row>
    <row r="172" spans="1:11" ht="60">
      <c r="A172" s="34"/>
      <c r="B172" s="63" t="s">
        <v>614</v>
      </c>
      <c r="C172" s="63" t="s">
        <v>615</v>
      </c>
      <c r="D172" s="63" t="s">
        <v>582</v>
      </c>
      <c r="E172" s="63" t="s">
        <v>613</v>
      </c>
      <c r="F172" s="386" t="s">
        <v>661</v>
      </c>
      <c r="G172" s="383">
        <v>9300000</v>
      </c>
      <c r="H172" s="484">
        <f t="shared" si="4"/>
        <v>56.98924731182796</v>
      </c>
      <c r="I172" s="383">
        <v>5300000</v>
      </c>
      <c r="J172" s="385">
        <v>4000000</v>
      </c>
    </row>
    <row r="173" spans="1:11" ht="105">
      <c r="A173" s="34"/>
      <c r="B173" s="63" t="s">
        <v>614</v>
      </c>
      <c r="C173" s="63" t="s">
        <v>615</v>
      </c>
      <c r="D173" s="63" t="s">
        <v>582</v>
      </c>
      <c r="E173" s="63" t="s">
        <v>613</v>
      </c>
      <c r="F173" s="386" t="s">
        <v>662</v>
      </c>
      <c r="G173" s="383">
        <v>8700000</v>
      </c>
      <c r="H173" s="484">
        <f t="shared" si="4"/>
        <v>54.022988505747129</v>
      </c>
      <c r="I173" s="383">
        <v>4700000</v>
      </c>
      <c r="J173" s="385">
        <v>4000000</v>
      </c>
    </row>
    <row r="174" spans="1:11" ht="120">
      <c r="A174" s="34"/>
      <c r="B174" s="63" t="s">
        <v>614</v>
      </c>
      <c r="C174" s="63" t="s">
        <v>615</v>
      </c>
      <c r="D174" s="63" t="s">
        <v>582</v>
      </c>
      <c r="E174" s="63" t="s">
        <v>613</v>
      </c>
      <c r="F174" s="386" t="s">
        <v>823</v>
      </c>
      <c r="G174" s="383"/>
      <c r="H174" s="384"/>
      <c r="I174" s="383"/>
      <c r="J174" s="385">
        <v>250000</v>
      </c>
    </row>
    <row r="175" spans="1:11" ht="105">
      <c r="A175" s="34"/>
      <c r="B175" s="63" t="s">
        <v>616</v>
      </c>
      <c r="C175" s="63" t="s">
        <v>617</v>
      </c>
      <c r="D175" s="63" t="s">
        <v>582</v>
      </c>
      <c r="E175" s="63" t="s">
        <v>618</v>
      </c>
      <c r="F175" s="389" t="s">
        <v>952</v>
      </c>
      <c r="G175" s="383"/>
      <c r="H175" s="384"/>
      <c r="I175" s="383"/>
      <c r="J175" s="385">
        <f>(510000)+80000</f>
        <v>590000</v>
      </c>
    </row>
    <row r="176" spans="1:11" ht="90">
      <c r="A176" s="34"/>
      <c r="B176" s="63" t="s">
        <v>616</v>
      </c>
      <c r="C176" s="63" t="s">
        <v>617</v>
      </c>
      <c r="D176" s="63" t="s">
        <v>582</v>
      </c>
      <c r="E176" s="63" t="s">
        <v>618</v>
      </c>
      <c r="F176" s="388" t="s">
        <v>878</v>
      </c>
      <c r="G176" s="383"/>
      <c r="H176" s="384"/>
      <c r="I176" s="383"/>
      <c r="J176" s="385">
        <f>(5000000)-2000000-1000000+250000</f>
        <v>2250000</v>
      </c>
    </row>
    <row r="177" spans="1:10" ht="75">
      <c r="A177" s="34"/>
      <c r="B177" s="63" t="s">
        <v>616</v>
      </c>
      <c r="C177" s="63" t="s">
        <v>617</v>
      </c>
      <c r="D177" s="63" t="s">
        <v>582</v>
      </c>
      <c r="E177" s="63" t="s">
        <v>618</v>
      </c>
      <c r="F177" s="468" t="s">
        <v>879</v>
      </c>
      <c r="G177" s="383"/>
      <c r="H177" s="384"/>
      <c r="I177" s="383"/>
      <c r="J177" s="385">
        <v>1200000</v>
      </c>
    </row>
    <row r="178" spans="1:10" ht="75">
      <c r="A178" s="34"/>
      <c r="B178" s="63" t="s">
        <v>616</v>
      </c>
      <c r="C178" s="63" t="s">
        <v>617</v>
      </c>
      <c r="D178" s="63" t="s">
        <v>582</v>
      </c>
      <c r="E178" s="63" t="s">
        <v>618</v>
      </c>
      <c r="F178" s="468" t="s">
        <v>880</v>
      </c>
      <c r="G178" s="383"/>
      <c r="H178" s="384"/>
      <c r="I178" s="383"/>
      <c r="J178" s="385">
        <v>1200000</v>
      </c>
    </row>
    <row r="179" spans="1:10" ht="75">
      <c r="A179" s="34"/>
      <c r="B179" s="512" t="s">
        <v>620</v>
      </c>
      <c r="C179" s="512" t="s">
        <v>621</v>
      </c>
      <c r="D179" s="512" t="s">
        <v>582</v>
      </c>
      <c r="E179" s="512" t="s">
        <v>619</v>
      </c>
      <c r="F179" s="85" t="s">
        <v>953</v>
      </c>
      <c r="G179" s="378">
        <f>(16874496)+1019604</f>
        <v>17894100</v>
      </c>
      <c r="H179" s="483">
        <f t="shared" ref="H179" si="5">I179/G179*100</f>
        <v>21.68035274196523</v>
      </c>
      <c r="I179" s="378">
        <f>(5859900)-3000000+1019604</f>
        <v>3879504</v>
      </c>
      <c r="J179" s="358">
        <f>(3000000)+3000000</f>
        <v>6000000</v>
      </c>
    </row>
    <row r="180" spans="1:10" ht="60">
      <c r="A180" s="34"/>
      <c r="B180" s="550" t="s">
        <v>620</v>
      </c>
      <c r="C180" s="550" t="s">
        <v>621</v>
      </c>
      <c r="D180" s="550" t="s">
        <v>582</v>
      </c>
      <c r="E180" s="550" t="s">
        <v>619</v>
      </c>
      <c r="F180" s="85" t="s">
        <v>957</v>
      </c>
      <c r="G180" s="378"/>
      <c r="H180" s="483"/>
      <c r="I180" s="378"/>
      <c r="J180" s="358">
        <f>1000000-250000</f>
        <v>750000</v>
      </c>
    </row>
    <row r="181" spans="1:10" ht="60">
      <c r="A181" s="34"/>
      <c r="B181" s="512" t="s">
        <v>620</v>
      </c>
      <c r="C181" s="512" t="s">
        <v>621</v>
      </c>
      <c r="D181" s="512" t="s">
        <v>582</v>
      </c>
      <c r="E181" s="512" t="s">
        <v>619</v>
      </c>
      <c r="F181" s="85" t="s">
        <v>881</v>
      </c>
      <c r="G181" s="378"/>
      <c r="H181" s="384"/>
      <c r="I181" s="378"/>
      <c r="J181" s="358">
        <v>230000</v>
      </c>
    </row>
    <row r="182" spans="1:10" ht="75">
      <c r="A182" s="34"/>
      <c r="B182" s="512" t="s">
        <v>620</v>
      </c>
      <c r="C182" s="512" t="s">
        <v>621</v>
      </c>
      <c r="D182" s="512" t="s">
        <v>582</v>
      </c>
      <c r="E182" s="512" t="s">
        <v>619</v>
      </c>
      <c r="F182" s="85" t="s">
        <v>954</v>
      </c>
      <c r="G182" s="378"/>
      <c r="H182" s="384"/>
      <c r="I182" s="378"/>
      <c r="J182" s="358">
        <v>360000</v>
      </c>
    </row>
    <row r="183" spans="1:10" ht="75">
      <c r="A183" s="34"/>
      <c r="B183" s="512" t="s">
        <v>620</v>
      </c>
      <c r="C183" s="512" t="s">
        <v>621</v>
      </c>
      <c r="D183" s="512" t="s">
        <v>582</v>
      </c>
      <c r="E183" s="512" t="s">
        <v>619</v>
      </c>
      <c r="F183" s="85" t="s">
        <v>882</v>
      </c>
      <c r="G183" s="378"/>
      <c r="H183" s="384"/>
      <c r="I183" s="378"/>
      <c r="J183" s="358">
        <v>100000</v>
      </c>
    </row>
    <row r="184" spans="1:10" ht="60">
      <c r="A184" s="34"/>
      <c r="B184" s="512" t="s">
        <v>620</v>
      </c>
      <c r="C184" s="512" t="s">
        <v>621</v>
      </c>
      <c r="D184" s="512" t="s">
        <v>582</v>
      </c>
      <c r="E184" s="512" t="s">
        <v>619</v>
      </c>
      <c r="F184" s="85" t="s">
        <v>145</v>
      </c>
      <c r="G184" s="378"/>
      <c r="H184" s="384"/>
      <c r="I184" s="378"/>
      <c r="J184" s="358">
        <v>152000</v>
      </c>
    </row>
    <row r="185" spans="1:10" ht="75">
      <c r="A185" s="34"/>
      <c r="B185" s="512" t="s">
        <v>620</v>
      </c>
      <c r="C185" s="512" t="s">
        <v>621</v>
      </c>
      <c r="D185" s="512" t="s">
        <v>582</v>
      </c>
      <c r="E185" s="512" t="s">
        <v>619</v>
      </c>
      <c r="F185" s="85" t="s">
        <v>883</v>
      </c>
      <c r="G185" s="378"/>
      <c r="H185" s="384"/>
      <c r="I185" s="378"/>
      <c r="J185" s="358">
        <v>460000</v>
      </c>
    </row>
    <row r="186" spans="1:10" ht="60">
      <c r="A186" s="34"/>
      <c r="B186" s="512" t="s">
        <v>620</v>
      </c>
      <c r="C186" s="512" t="s">
        <v>621</v>
      </c>
      <c r="D186" s="512" t="s">
        <v>582</v>
      </c>
      <c r="E186" s="512" t="s">
        <v>619</v>
      </c>
      <c r="F186" s="85" t="s">
        <v>884</v>
      </c>
      <c r="G186" s="378"/>
      <c r="H186" s="384"/>
      <c r="I186" s="378"/>
      <c r="J186" s="358">
        <f>(500000)+80000</f>
        <v>580000</v>
      </c>
    </row>
    <row r="187" spans="1:10" ht="75">
      <c r="A187" s="34"/>
      <c r="B187" s="512" t="s">
        <v>620</v>
      </c>
      <c r="C187" s="512" t="s">
        <v>621</v>
      </c>
      <c r="D187" s="512" t="s">
        <v>582</v>
      </c>
      <c r="E187" s="512" t="s">
        <v>619</v>
      </c>
      <c r="F187" s="85" t="s">
        <v>955</v>
      </c>
      <c r="G187" s="378"/>
      <c r="H187" s="384"/>
      <c r="I187" s="378"/>
      <c r="J187" s="358">
        <v>570000</v>
      </c>
    </row>
    <row r="188" spans="1:10" ht="45">
      <c r="A188" s="34"/>
      <c r="B188" s="512" t="s">
        <v>620</v>
      </c>
      <c r="C188" s="512" t="s">
        <v>621</v>
      </c>
      <c r="D188" s="512" t="s">
        <v>582</v>
      </c>
      <c r="E188" s="512" t="s">
        <v>619</v>
      </c>
      <c r="F188" s="85" t="s">
        <v>885</v>
      </c>
      <c r="G188" s="378">
        <v>32296985</v>
      </c>
      <c r="H188" s="483">
        <f t="shared" ref="H188:H192" si="6">I188/G188*100</f>
        <v>62.077621177332809</v>
      </c>
      <c r="I188" s="378">
        <f>(27049200)-7000000</f>
        <v>20049200</v>
      </c>
      <c r="J188" s="358">
        <f>(5000000)+7000000</f>
        <v>12000000</v>
      </c>
    </row>
    <row r="189" spans="1:10" ht="75">
      <c r="A189" s="34"/>
      <c r="B189" s="512" t="s">
        <v>620</v>
      </c>
      <c r="C189" s="512" t="s">
        <v>621</v>
      </c>
      <c r="D189" s="512" t="s">
        <v>582</v>
      </c>
      <c r="E189" s="512" t="s">
        <v>619</v>
      </c>
      <c r="F189" s="85" t="s">
        <v>886</v>
      </c>
      <c r="G189" s="378">
        <f>(10111121)+2079379</f>
        <v>12190500</v>
      </c>
      <c r="H189" s="483">
        <f t="shared" si="6"/>
        <v>8.8542635658914719</v>
      </c>
      <c r="I189" s="378">
        <f>(3000000)-4000000+2079379</f>
        <v>1079379</v>
      </c>
      <c r="J189" s="358">
        <f>(4000000)+4000000</f>
        <v>8000000</v>
      </c>
    </row>
    <row r="190" spans="1:10" ht="60">
      <c r="A190" s="34"/>
      <c r="B190" s="512" t="s">
        <v>620</v>
      </c>
      <c r="C190" s="512" t="s">
        <v>621</v>
      </c>
      <c r="D190" s="512" t="s">
        <v>582</v>
      </c>
      <c r="E190" s="512" t="s">
        <v>619</v>
      </c>
      <c r="F190" s="472" t="s">
        <v>648</v>
      </c>
      <c r="G190" s="378">
        <v>2912000</v>
      </c>
      <c r="H190" s="483">
        <f t="shared" si="6"/>
        <v>23.550824175824175</v>
      </c>
      <c r="I190" s="378">
        <v>685800</v>
      </c>
      <c r="J190" s="358">
        <v>940000</v>
      </c>
    </row>
    <row r="191" spans="1:10" ht="90">
      <c r="A191" s="34"/>
      <c r="B191" s="512" t="s">
        <v>620</v>
      </c>
      <c r="C191" s="512" t="s">
        <v>621</v>
      </c>
      <c r="D191" s="512" t="s">
        <v>582</v>
      </c>
      <c r="E191" s="512" t="s">
        <v>619</v>
      </c>
      <c r="F191" s="473" t="s">
        <v>824</v>
      </c>
      <c r="G191" s="378"/>
      <c r="H191" s="384"/>
      <c r="I191" s="378"/>
      <c r="J191" s="358">
        <v>200000</v>
      </c>
    </row>
    <row r="192" spans="1:10" ht="60">
      <c r="A192" s="34"/>
      <c r="B192" s="512" t="s">
        <v>620</v>
      </c>
      <c r="C192" s="512" t="s">
        <v>621</v>
      </c>
      <c r="D192" s="512" t="s">
        <v>582</v>
      </c>
      <c r="E192" s="512" t="s">
        <v>619</v>
      </c>
      <c r="F192" s="473" t="s">
        <v>956</v>
      </c>
      <c r="G192" s="378">
        <v>25849000</v>
      </c>
      <c r="H192" s="483">
        <f t="shared" si="6"/>
        <v>94.367286935664822</v>
      </c>
      <c r="I192" s="378">
        <v>24393000</v>
      </c>
      <c r="J192" s="358">
        <v>1000000</v>
      </c>
    </row>
    <row r="193" spans="1:10" ht="45">
      <c r="A193" s="34"/>
      <c r="B193" s="512" t="s">
        <v>622</v>
      </c>
      <c r="C193" s="512" t="s">
        <v>383</v>
      </c>
      <c r="D193" s="512" t="s">
        <v>334</v>
      </c>
      <c r="E193" s="512" t="s">
        <v>91</v>
      </c>
      <c r="F193" s="413" t="s">
        <v>301</v>
      </c>
      <c r="G193" s="83"/>
      <c r="H193" s="384"/>
      <c r="I193" s="83"/>
      <c r="J193" s="358">
        <v>180000</v>
      </c>
    </row>
    <row r="194" spans="1:10" ht="75">
      <c r="A194" s="34"/>
      <c r="B194" s="459" t="s">
        <v>322</v>
      </c>
      <c r="C194" s="459"/>
      <c r="D194" s="459"/>
      <c r="E194" s="459" t="s">
        <v>72</v>
      </c>
      <c r="F194" s="477"/>
      <c r="G194" s="486"/>
      <c r="H194" s="486"/>
      <c r="I194" s="486"/>
      <c r="J194" s="474">
        <f>J195</f>
        <v>3306300</v>
      </c>
    </row>
    <row r="195" spans="1:10" ht="71.25">
      <c r="A195" s="34"/>
      <c r="B195" s="476" t="s">
        <v>323</v>
      </c>
      <c r="C195" s="476"/>
      <c r="D195" s="476"/>
      <c r="E195" s="476" t="s">
        <v>99</v>
      </c>
      <c r="F195" s="477"/>
      <c r="G195" s="486"/>
      <c r="H195" s="486"/>
      <c r="I195" s="486"/>
      <c r="J195" s="475">
        <f>SUM(J196:J198)</f>
        <v>3306300</v>
      </c>
    </row>
    <row r="196" spans="1:10" ht="60">
      <c r="A196" s="34"/>
      <c r="B196" s="512" t="s">
        <v>592</v>
      </c>
      <c r="C196" s="512" t="s">
        <v>593</v>
      </c>
      <c r="D196" s="512" t="s">
        <v>582</v>
      </c>
      <c r="E196" s="512" t="s">
        <v>594</v>
      </c>
      <c r="F196" s="86" t="s">
        <v>862</v>
      </c>
      <c r="G196" s="60"/>
      <c r="H196" s="60"/>
      <c r="I196" s="60"/>
      <c r="J196" s="83">
        <v>2376000</v>
      </c>
    </row>
    <row r="197" spans="1:10" ht="60">
      <c r="A197" s="34"/>
      <c r="B197" s="512" t="s">
        <v>592</v>
      </c>
      <c r="C197" s="512" t="s">
        <v>593</v>
      </c>
      <c r="D197" s="512" t="s">
        <v>582</v>
      </c>
      <c r="E197" s="512" t="s">
        <v>594</v>
      </c>
      <c r="F197" s="86" t="s">
        <v>863</v>
      </c>
      <c r="G197" s="60"/>
      <c r="H197" s="60"/>
      <c r="I197" s="60"/>
      <c r="J197" s="83">
        <v>150300</v>
      </c>
    </row>
    <row r="198" spans="1:10" ht="30">
      <c r="A198" s="34"/>
      <c r="B198" s="512" t="s">
        <v>592</v>
      </c>
      <c r="C198" s="512" t="s">
        <v>593</v>
      </c>
      <c r="D198" s="512" t="s">
        <v>582</v>
      </c>
      <c r="E198" s="512" t="s">
        <v>594</v>
      </c>
      <c r="F198" s="56" t="s">
        <v>643</v>
      </c>
      <c r="G198" s="55"/>
      <c r="H198" s="55"/>
      <c r="I198" s="55"/>
      <c r="J198" s="72">
        <v>780000</v>
      </c>
    </row>
    <row r="199" spans="1:10" ht="30">
      <c r="A199" s="34"/>
      <c r="B199" s="459" t="s">
        <v>328</v>
      </c>
      <c r="C199" s="459"/>
      <c r="D199" s="459"/>
      <c r="E199" s="459" t="s">
        <v>783</v>
      </c>
      <c r="F199" s="477"/>
      <c r="G199" s="486"/>
      <c r="H199" s="486"/>
      <c r="I199" s="486"/>
      <c r="J199" s="474">
        <f>J200</f>
        <v>900000</v>
      </c>
    </row>
    <row r="200" spans="1:10" ht="42.75">
      <c r="A200" s="34"/>
      <c r="B200" s="476" t="s">
        <v>329</v>
      </c>
      <c r="C200" s="476"/>
      <c r="D200" s="476"/>
      <c r="E200" s="476" t="s">
        <v>784</v>
      </c>
      <c r="F200" s="486"/>
      <c r="G200" s="486"/>
      <c r="H200" s="486"/>
      <c r="I200" s="486"/>
      <c r="J200" s="475">
        <f>J201+J202</f>
        <v>900000</v>
      </c>
    </row>
    <row r="201" spans="1:10" ht="45">
      <c r="A201" s="34"/>
      <c r="B201" s="512" t="s">
        <v>773</v>
      </c>
      <c r="C201" s="512" t="s">
        <v>774</v>
      </c>
      <c r="D201" s="512" t="s">
        <v>334</v>
      </c>
      <c r="E201" s="512" t="s">
        <v>512</v>
      </c>
      <c r="F201" s="478" t="s">
        <v>832</v>
      </c>
      <c r="G201" s="530"/>
      <c r="H201" s="530"/>
      <c r="I201" s="530"/>
      <c r="J201" s="234">
        <v>500000</v>
      </c>
    </row>
    <row r="202" spans="1:10" ht="15">
      <c r="A202" s="34"/>
      <c r="B202" s="512" t="s">
        <v>505</v>
      </c>
      <c r="C202" s="512" t="s">
        <v>459</v>
      </c>
      <c r="D202" s="512" t="s">
        <v>334</v>
      </c>
      <c r="E202" s="512" t="s">
        <v>457</v>
      </c>
      <c r="F202" s="59" t="s">
        <v>136</v>
      </c>
      <c r="G202" s="530"/>
      <c r="H202" s="530"/>
      <c r="I202" s="530"/>
      <c r="J202" s="234">
        <f>J203</f>
        <v>400000</v>
      </c>
    </row>
    <row r="203" spans="1:10" ht="30">
      <c r="A203" s="34"/>
      <c r="B203" s="63" t="s">
        <v>506</v>
      </c>
      <c r="C203" s="63" t="s">
        <v>507</v>
      </c>
      <c r="D203" s="63" t="s">
        <v>334</v>
      </c>
      <c r="E203" s="63" t="s">
        <v>504</v>
      </c>
      <c r="F203" s="84" t="s">
        <v>136</v>
      </c>
      <c r="G203" s="530"/>
      <c r="H203" s="530"/>
      <c r="I203" s="530"/>
      <c r="J203" s="234">
        <f>(0)+400000</f>
        <v>400000</v>
      </c>
    </row>
    <row r="204" spans="1:10" ht="75">
      <c r="A204" s="34"/>
      <c r="B204" s="459" t="s">
        <v>324</v>
      </c>
      <c r="C204" s="459"/>
      <c r="D204" s="459"/>
      <c r="E204" s="459" t="s">
        <v>785</v>
      </c>
      <c r="F204" s="486"/>
      <c r="G204" s="486"/>
      <c r="H204" s="486"/>
      <c r="I204" s="486"/>
      <c r="J204" s="474">
        <f>J205</f>
        <v>1705000</v>
      </c>
    </row>
    <row r="205" spans="1:10" ht="71.25">
      <c r="A205" s="34"/>
      <c r="B205" s="476" t="s">
        <v>325</v>
      </c>
      <c r="C205" s="476"/>
      <c r="D205" s="476"/>
      <c r="E205" s="476" t="s">
        <v>786</v>
      </c>
      <c r="F205" s="486"/>
      <c r="G205" s="486"/>
      <c r="H205" s="486"/>
      <c r="I205" s="486"/>
      <c r="J205" s="475">
        <f>SUM(J206:J211)</f>
        <v>1705000</v>
      </c>
    </row>
    <row r="206" spans="1:10" ht="30">
      <c r="A206" s="34"/>
      <c r="B206" s="512" t="s">
        <v>589</v>
      </c>
      <c r="C206" s="512" t="s">
        <v>590</v>
      </c>
      <c r="D206" s="512" t="s">
        <v>591</v>
      </c>
      <c r="E206" s="512" t="s">
        <v>588</v>
      </c>
      <c r="F206" s="56" t="s">
        <v>88</v>
      </c>
      <c r="G206" s="55"/>
      <c r="H206" s="55"/>
      <c r="I206" s="55"/>
      <c r="J206" s="72">
        <v>100000</v>
      </c>
    </row>
    <row r="207" spans="1:10" ht="30">
      <c r="A207" s="34"/>
      <c r="B207" s="512" t="s">
        <v>589</v>
      </c>
      <c r="C207" s="512" t="s">
        <v>590</v>
      </c>
      <c r="D207" s="512" t="s">
        <v>591</v>
      </c>
      <c r="E207" s="512" t="s">
        <v>588</v>
      </c>
      <c r="F207" s="56" t="s">
        <v>89</v>
      </c>
      <c r="G207" s="55"/>
      <c r="H207" s="55"/>
      <c r="I207" s="55"/>
      <c r="J207" s="72">
        <v>43000</v>
      </c>
    </row>
    <row r="208" spans="1:10" ht="45">
      <c r="A208" s="34"/>
      <c r="B208" s="512" t="s">
        <v>589</v>
      </c>
      <c r="C208" s="512" t="s">
        <v>590</v>
      </c>
      <c r="D208" s="512" t="s">
        <v>591</v>
      </c>
      <c r="E208" s="512" t="s">
        <v>588</v>
      </c>
      <c r="F208" s="56" t="s">
        <v>644</v>
      </c>
      <c r="G208" s="55"/>
      <c r="H208" s="55"/>
      <c r="I208" s="55"/>
      <c r="J208" s="72">
        <v>20000</v>
      </c>
    </row>
    <row r="209" spans="1:17" ht="30">
      <c r="A209" s="34"/>
      <c r="B209" s="512" t="s">
        <v>589</v>
      </c>
      <c r="C209" s="512" t="s">
        <v>590</v>
      </c>
      <c r="D209" s="512" t="s">
        <v>591</v>
      </c>
      <c r="E209" s="512" t="s">
        <v>588</v>
      </c>
      <c r="F209" s="56" t="s">
        <v>867</v>
      </c>
      <c r="G209" s="55"/>
      <c r="H209" s="55"/>
      <c r="I209" s="55"/>
      <c r="J209" s="72">
        <v>1405000</v>
      </c>
    </row>
    <row r="210" spans="1:17" ht="30">
      <c r="A210" s="34"/>
      <c r="B210" s="512" t="s">
        <v>589</v>
      </c>
      <c r="C210" s="512" t="s">
        <v>590</v>
      </c>
      <c r="D210" s="512" t="s">
        <v>591</v>
      </c>
      <c r="E210" s="512" t="s">
        <v>588</v>
      </c>
      <c r="F210" s="56" t="s">
        <v>90</v>
      </c>
      <c r="G210" s="55"/>
      <c r="H210" s="55"/>
      <c r="I210" s="55"/>
      <c r="J210" s="72">
        <v>85000</v>
      </c>
    </row>
    <row r="211" spans="1:17" ht="45">
      <c r="A211" s="34"/>
      <c r="B211" s="512" t="s">
        <v>864</v>
      </c>
      <c r="C211" s="512" t="s">
        <v>865</v>
      </c>
      <c r="D211" s="512" t="s">
        <v>334</v>
      </c>
      <c r="E211" s="512" t="s">
        <v>866</v>
      </c>
      <c r="F211" s="56" t="s">
        <v>645</v>
      </c>
      <c r="G211" s="55"/>
      <c r="H211" s="55"/>
      <c r="I211" s="55"/>
      <c r="J211" s="72">
        <v>52000</v>
      </c>
    </row>
    <row r="212" spans="1:17" ht="24.75" customHeight="1">
      <c r="A212" s="75"/>
      <c r="B212" s="256"/>
      <c r="C212" s="256"/>
      <c r="D212" s="257"/>
      <c r="E212" s="253" t="s">
        <v>60</v>
      </c>
      <c r="F212" s="531"/>
      <c r="G212" s="531"/>
      <c r="H212" s="531"/>
      <c r="I212" s="531"/>
      <c r="J212" s="259">
        <f>J6+J14+J73+J29+J46+J61+J87+J162+J194+J204+J199</f>
        <v>421644884.31999999</v>
      </c>
      <c r="K212" s="34" t="b">
        <f>J212='dod3'!O189</f>
        <v>1</v>
      </c>
    </row>
    <row r="213" spans="1:17" ht="15.75">
      <c r="B213" s="600" t="s">
        <v>646</v>
      </c>
      <c r="C213" s="601"/>
      <c r="D213" s="601"/>
      <c r="E213" s="601"/>
      <c r="F213" s="601"/>
      <c r="G213" s="601"/>
      <c r="H213" s="601"/>
      <c r="I213" s="601"/>
      <c r="J213" s="601"/>
      <c r="K213" s="601"/>
      <c r="L213" s="601"/>
      <c r="M213" s="601"/>
      <c r="N213" s="601"/>
      <c r="O213" s="601"/>
      <c r="P213" s="601"/>
      <c r="Q213" s="601"/>
    </row>
    <row r="214" spans="1:17" ht="42.75" customHeight="1">
      <c r="B214" s="599" t="s">
        <v>297</v>
      </c>
      <c r="C214" s="599"/>
      <c r="D214" s="599"/>
      <c r="E214" s="599"/>
      <c r="F214" s="599"/>
      <c r="G214" s="599"/>
      <c r="H214" s="599"/>
      <c r="I214" s="599"/>
      <c r="J214" s="599"/>
    </row>
  </sheetData>
  <mergeCells count="5">
    <mergeCell ref="B214:J214"/>
    <mergeCell ref="B213:Q213"/>
    <mergeCell ref="B1:J1"/>
    <mergeCell ref="G2:J2"/>
    <mergeCell ref="B3:J3"/>
  </mergeCells>
  <phoneticPr fontId="16" type="noConversion"/>
  <printOptions horizontalCentered="1"/>
  <pageMargins left="0.82677165354330717" right="0" top="0.31496062992125984" bottom="0.31496062992125984" header="0.23622047244094491" footer="0.19685039370078741"/>
  <pageSetup paperSize="9" scale="70" orientation="landscape" r:id="rId1"/>
  <headerFooter alignWithMargins="0">
    <oddFooter>&amp;R&amp;P</oddFooter>
  </headerFooter>
  <rowBreaks count="6" manualBreakCount="6">
    <brk id="140" min="1" max="9" man="1"/>
    <brk id="148" min="1" max="9" man="1"/>
    <brk id="169" min="1" max="9" man="1"/>
    <brk id="178" min="1" max="9" man="1"/>
    <brk id="189" min="1" max="9" man="1"/>
    <brk id="214" max="9" man="1"/>
  </rowBreaks>
</worksheet>
</file>

<file path=xl/worksheets/sheet6.xml><?xml version="1.0" encoding="utf-8"?>
<worksheet xmlns="http://schemas.openxmlformats.org/spreadsheetml/2006/main" xmlns:r="http://schemas.openxmlformats.org/officeDocument/2006/relationships">
  <dimension ref="A1:H42"/>
  <sheetViews>
    <sheetView view="pageBreakPreview" zoomScale="85" zoomScaleNormal="85" zoomScaleSheetLayoutView="85" workbookViewId="0">
      <selection activeCell="H27" sqref="H27"/>
    </sheetView>
  </sheetViews>
  <sheetFormatPr defaultColWidth="9.140625" defaultRowHeight="12.75"/>
  <cols>
    <col min="1" max="1" width="7" style="193" customWidth="1"/>
    <col min="2" max="2" width="23.5703125" style="193" customWidth="1"/>
    <col min="3" max="3" width="83.5703125" style="193" customWidth="1"/>
    <col min="4" max="4" width="18.28515625" style="193" customWidth="1"/>
    <col min="5" max="5" width="17" style="193" customWidth="1"/>
    <col min="6" max="6" width="14.7109375" style="193" customWidth="1"/>
    <col min="7" max="16384" width="9.140625" style="193"/>
  </cols>
  <sheetData>
    <row r="1" spans="1:8" ht="16.5" customHeight="1">
      <c r="A1" s="192"/>
      <c r="D1" s="551" t="s">
        <v>253</v>
      </c>
      <c r="E1" s="551"/>
    </row>
    <row r="2" spans="1:8" ht="16.5" customHeight="1">
      <c r="A2" s="192"/>
      <c r="D2" s="551" t="s">
        <v>254</v>
      </c>
      <c r="E2" s="607"/>
    </row>
    <row r="3" spans="1:8" ht="12.75" customHeight="1">
      <c r="A3" s="192"/>
      <c r="D3" s="551"/>
      <c r="E3" s="607"/>
    </row>
    <row r="4" spans="1:8" ht="12.75" customHeight="1">
      <c r="A4" s="192"/>
      <c r="D4" s="551"/>
      <c r="E4" s="553"/>
    </row>
    <row r="5" spans="1:8" ht="16.5">
      <c r="C5" s="194" t="s">
        <v>255</v>
      </c>
      <c r="D5" s="194"/>
      <c r="E5" s="194"/>
      <c r="F5" s="194"/>
    </row>
    <row r="6" spans="1:8" ht="16.5">
      <c r="A6" s="608" t="s">
        <v>256</v>
      </c>
      <c r="B6" s="608"/>
      <c r="C6" s="608"/>
      <c r="D6" s="608"/>
    </row>
    <row r="7" spans="1:8" ht="16.5">
      <c r="A7" s="608" t="s">
        <v>308</v>
      </c>
      <c r="B7" s="608"/>
      <c r="C7" s="608"/>
      <c r="D7" s="608"/>
    </row>
    <row r="8" spans="1:8" ht="16.5">
      <c r="D8" s="195" t="s">
        <v>137</v>
      </c>
      <c r="F8" s="194"/>
      <c r="G8" s="194"/>
      <c r="H8" s="196"/>
    </row>
    <row r="9" spans="1:8" s="197" customFormat="1" ht="26.25" customHeight="1">
      <c r="B9" s="198" t="s">
        <v>257</v>
      </c>
      <c r="C9" s="198" t="s">
        <v>258</v>
      </c>
      <c r="D9" s="199" t="s">
        <v>309</v>
      </c>
    </row>
    <row r="10" spans="1:8" s="197" customFormat="1" ht="39.75" customHeight="1">
      <c r="A10" s="200"/>
      <c r="B10" s="201" t="s">
        <v>259</v>
      </c>
      <c r="C10" s="202" t="s">
        <v>260</v>
      </c>
      <c r="D10" s="203">
        <v>100</v>
      </c>
    </row>
    <row r="11" spans="1:8" s="197" customFormat="1" ht="40.5" customHeight="1">
      <c r="B11" s="201" t="s">
        <v>261</v>
      </c>
      <c r="C11" s="202" t="s">
        <v>262</v>
      </c>
      <c r="D11" s="203">
        <f>3300000+100000</f>
        <v>3400000</v>
      </c>
    </row>
    <row r="12" spans="1:8" s="197" customFormat="1" ht="61.5" customHeight="1">
      <c r="B12" s="201" t="s">
        <v>263</v>
      </c>
      <c r="C12" s="202" t="s">
        <v>264</v>
      </c>
      <c r="D12" s="203">
        <v>0</v>
      </c>
    </row>
    <row r="13" spans="1:8" s="197" customFormat="1" ht="61.5" customHeight="1">
      <c r="B13" s="201" t="s">
        <v>265</v>
      </c>
      <c r="C13" s="202" t="s">
        <v>266</v>
      </c>
      <c r="D13" s="203">
        <v>105000</v>
      </c>
    </row>
    <row r="14" spans="1:8" s="197" customFormat="1" ht="41.25" customHeight="1">
      <c r="B14" s="201" t="s">
        <v>267</v>
      </c>
      <c r="C14" s="202" t="s">
        <v>268</v>
      </c>
      <c r="D14" s="203">
        <v>1900</v>
      </c>
    </row>
    <row r="15" spans="1:8" s="197" customFormat="1" ht="26.25" customHeight="1">
      <c r="B15" s="201"/>
      <c r="C15" s="204" t="s">
        <v>269</v>
      </c>
      <c r="D15" s="205">
        <f>SUM(D10:D14)</f>
        <v>3507000</v>
      </c>
    </row>
    <row r="16" spans="1:8" s="197" customFormat="1" ht="26.25" customHeight="1">
      <c r="B16" s="201"/>
      <c r="C16" s="204" t="s">
        <v>921</v>
      </c>
      <c r="D16" s="205">
        <v>608620.62</v>
      </c>
    </row>
    <row r="17" spans="1:4" s="197" customFormat="1" ht="26.25" customHeight="1">
      <c r="B17" s="264"/>
      <c r="C17" s="265" t="s">
        <v>270</v>
      </c>
      <c r="D17" s="266">
        <f>D15+D16</f>
        <v>4115620.62</v>
      </c>
    </row>
    <row r="18" spans="1:4" s="197" customFormat="1" ht="30.75" customHeight="1">
      <c r="A18" s="270"/>
      <c r="B18" s="201"/>
      <c r="C18" s="309" t="s">
        <v>271</v>
      </c>
      <c r="D18" s="310"/>
    </row>
    <row r="19" spans="1:4" s="197" customFormat="1" ht="43.5" customHeight="1">
      <c r="A19" s="270"/>
      <c r="B19" s="201" t="s">
        <v>272</v>
      </c>
      <c r="C19" s="202" t="s">
        <v>273</v>
      </c>
      <c r="D19" s="203">
        <v>106500</v>
      </c>
    </row>
    <row r="20" spans="1:4" s="197" customFormat="1" ht="44.25" customHeight="1">
      <c r="A20" s="270"/>
      <c r="B20" s="201" t="s">
        <v>274</v>
      </c>
      <c r="C20" s="202" t="s">
        <v>275</v>
      </c>
      <c r="D20" s="203">
        <v>121100</v>
      </c>
    </row>
    <row r="21" spans="1:4" s="197" customFormat="1" ht="61.5" customHeight="1">
      <c r="A21" s="270"/>
      <c r="B21" s="201" t="s">
        <v>276</v>
      </c>
      <c r="C21" s="202" t="s">
        <v>277</v>
      </c>
      <c r="D21" s="203">
        <f>(120000)+55000</f>
        <v>175000</v>
      </c>
    </row>
    <row r="22" spans="1:4" s="197" customFormat="1" ht="44.25" customHeight="1">
      <c r="A22" s="270"/>
      <c r="B22" s="201" t="s">
        <v>278</v>
      </c>
      <c r="C22" s="202" t="s">
        <v>279</v>
      </c>
      <c r="D22" s="203">
        <f>(146000)+15000</f>
        <v>161000</v>
      </c>
    </row>
    <row r="23" spans="1:4" s="197" customFormat="1" ht="32.25" customHeight="1">
      <c r="A23" s="270"/>
      <c r="B23" s="201" t="s">
        <v>280</v>
      </c>
      <c r="C23" s="202" t="s">
        <v>281</v>
      </c>
      <c r="D23" s="203">
        <f>(136200)+30000</f>
        <v>166200</v>
      </c>
    </row>
    <row r="24" spans="1:4" s="197" customFormat="1" ht="40.5" customHeight="1">
      <c r="A24" s="270"/>
      <c r="B24" s="201" t="s">
        <v>282</v>
      </c>
      <c r="C24" s="202" t="s">
        <v>283</v>
      </c>
      <c r="D24" s="203">
        <f>(571200)+100000</f>
        <v>671200</v>
      </c>
    </row>
    <row r="25" spans="1:4" s="197" customFormat="1" ht="82.5">
      <c r="A25" s="270"/>
      <c r="B25" s="201" t="s">
        <v>284</v>
      </c>
      <c r="C25" s="202" t="s">
        <v>285</v>
      </c>
      <c r="D25" s="203">
        <v>690000</v>
      </c>
    </row>
    <row r="26" spans="1:4" s="197" customFormat="1" ht="44.25" customHeight="1">
      <c r="A26" s="270"/>
      <c r="B26" s="201" t="s">
        <v>286</v>
      </c>
      <c r="C26" s="311" t="s">
        <v>287</v>
      </c>
      <c r="D26" s="203">
        <v>20000</v>
      </c>
    </row>
    <row r="27" spans="1:4" s="197" customFormat="1" ht="76.5" customHeight="1">
      <c r="A27" s="270"/>
      <c r="B27" s="201" t="s">
        <v>288</v>
      </c>
      <c r="C27" s="311" t="s">
        <v>289</v>
      </c>
      <c r="D27" s="203">
        <v>150000</v>
      </c>
    </row>
    <row r="28" spans="1:4" s="197" customFormat="1" ht="45.75" customHeight="1">
      <c r="A28" s="270"/>
      <c r="B28" s="201" t="s">
        <v>290</v>
      </c>
      <c r="C28" s="202" t="s">
        <v>291</v>
      </c>
      <c r="D28" s="203">
        <f>(1346000)+508620.62</f>
        <v>1854620.62</v>
      </c>
    </row>
    <row r="29" spans="1:4" s="197" customFormat="1" ht="27.75" customHeight="1">
      <c r="B29" s="261"/>
      <c r="C29" s="262" t="s">
        <v>270</v>
      </c>
      <c r="D29" s="263">
        <f>D19+D20+D21+D22+D23+D24+D26+D27+D28+D25</f>
        <v>4115620.62</v>
      </c>
    </row>
    <row r="32" spans="1:4" ht="18.75">
      <c r="B32" s="605" t="s">
        <v>292</v>
      </c>
      <c r="C32" s="605"/>
      <c r="D32" s="206" t="s">
        <v>293</v>
      </c>
    </row>
    <row r="38" spans="2:5" ht="16.5">
      <c r="B38" s="606"/>
      <c r="C38" s="207"/>
      <c r="D38" s="208"/>
      <c r="E38" s="209"/>
    </row>
    <row r="39" spans="2:5" ht="16.5">
      <c r="B39" s="606"/>
      <c r="C39" s="210"/>
      <c r="D39" s="208"/>
      <c r="E39" s="209"/>
    </row>
    <row r="40" spans="2:5" ht="16.5">
      <c r="B40" s="606"/>
      <c r="C40" s="211"/>
      <c r="D40" s="208"/>
      <c r="E40" s="209"/>
    </row>
    <row r="41" spans="2:5" ht="16.5">
      <c r="B41" s="606"/>
      <c r="C41" s="207"/>
      <c r="D41" s="208"/>
      <c r="E41" s="209"/>
    </row>
    <row r="42" spans="2:5" ht="16.5">
      <c r="B42" s="606"/>
      <c r="C42" s="207"/>
      <c r="D42" s="208"/>
      <c r="E42" s="209"/>
    </row>
  </sheetData>
  <mergeCells count="8">
    <mergeCell ref="B32:C32"/>
    <mergeCell ref="B38:B42"/>
    <mergeCell ref="D1:E1"/>
    <mergeCell ref="D2:E2"/>
    <mergeCell ref="D3:E3"/>
    <mergeCell ref="D4:E4"/>
    <mergeCell ref="A6:D6"/>
    <mergeCell ref="A7:D7"/>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dimension ref="A1:G27"/>
  <sheetViews>
    <sheetView view="pageBreakPreview" zoomScale="85" zoomScaleNormal="85" zoomScaleSheetLayoutView="85" workbookViewId="0">
      <selection activeCell="E12" sqref="E12"/>
    </sheetView>
  </sheetViews>
  <sheetFormatPr defaultRowHeight="12.75"/>
  <cols>
    <col min="1" max="1" width="6.85546875" customWidth="1"/>
    <col min="2" max="2" width="15.140625" customWidth="1"/>
    <col min="3" max="3" width="15.28515625" customWidth="1"/>
    <col min="4" max="4" width="10.85546875" customWidth="1"/>
    <col min="5" max="5" width="58.140625" customWidth="1"/>
    <col min="6" max="6" width="15.85546875" style="5" customWidth="1"/>
  </cols>
  <sheetData>
    <row r="1" spans="1:6">
      <c r="A1" s="359"/>
      <c r="B1" s="359"/>
      <c r="C1" s="359"/>
      <c r="D1" s="359"/>
      <c r="E1" s="359"/>
      <c r="F1" s="360" t="s">
        <v>623</v>
      </c>
    </row>
    <row r="2" spans="1:6">
      <c r="A2" s="359"/>
      <c r="B2" s="359"/>
      <c r="C2" s="359"/>
      <c r="D2" s="359"/>
      <c r="E2" s="359"/>
      <c r="F2" s="360" t="s">
        <v>624</v>
      </c>
    </row>
    <row r="3" spans="1:6">
      <c r="A3" s="359"/>
      <c r="B3" s="359"/>
      <c r="C3" s="359"/>
      <c r="D3" s="359"/>
      <c r="E3" s="359"/>
      <c r="F3" s="360" t="s">
        <v>625</v>
      </c>
    </row>
    <row r="4" spans="1:6" ht="15.75">
      <c r="A4" s="609" t="s">
        <v>626</v>
      </c>
      <c r="B4" s="610"/>
      <c r="C4" s="610"/>
      <c r="D4" s="610"/>
      <c r="E4" s="610"/>
      <c r="F4" s="610"/>
    </row>
    <row r="5" spans="1:6" ht="15.75">
      <c r="A5" s="609" t="s">
        <v>627</v>
      </c>
      <c r="B5" s="610"/>
      <c r="C5" s="610"/>
      <c r="D5" s="610"/>
      <c r="E5" s="610"/>
      <c r="F5" s="610"/>
    </row>
    <row r="6" spans="1:6" ht="15.75">
      <c r="A6" s="611" t="s">
        <v>628</v>
      </c>
      <c r="B6" s="612"/>
      <c r="C6" s="612"/>
      <c r="D6" s="612"/>
      <c r="E6" s="612"/>
      <c r="F6" s="612"/>
    </row>
    <row r="7" spans="1:6" ht="59.25" customHeight="1">
      <c r="A7" s="361" t="s">
        <v>629</v>
      </c>
      <c r="B7" s="362" t="s">
        <v>630</v>
      </c>
      <c r="C7" s="362" t="s">
        <v>61</v>
      </c>
      <c r="D7" s="362" t="s">
        <v>43</v>
      </c>
      <c r="E7" s="361" t="s">
        <v>631</v>
      </c>
      <c r="F7" s="363" t="s">
        <v>632</v>
      </c>
    </row>
    <row r="8" spans="1:6" ht="60" customHeight="1">
      <c r="A8" s="364">
        <v>1</v>
      </c>
      <c r="B8" s="365" t="s">
        <v>598</v>
      </c>
      <c r="C8" s="365" t="s">
        <v>599</v>
      </c>
      <c r="D8" s="365" t="s">
        <v>122</v>
      </c>
      <c r="E8" s="366" t="s">
        <v>868</v>
      </c>
      <c r="F8" s="367">
        <f>(165000)+68148.66</f>
        <v>233148.66</v>
      </c>
    </row>
    <row r="9" spans="1:6" ht="60" customHeight="1">
      <c r="A9" s="364">
        <v>2</v>
      </c>
      <c r="B9" s="365" t="s">
        <v>598</v>
      </c>
      <c r="C9" s="365" t="s">
        <v>599</v>
      </c>
      <c r="D9" s="365" t="s">
        <v>122</v>
      </c>
      <c r="E9" s="366" t="s">
        <v>869</v>
      </c>
      <c r="F9" s="367">
        <v>285000</v>
      </c>
    </row>
    <row r="10" spans="1:6" ht="73.5" customHeight="1">
      <c r="A10" s="364">
        <v>3</v>
      </c>
      <c r="B10" s="365" t="s">
        <v>598</v>
      </c>
      <c r="C10" s="365" t="s">
        <v>599</v>
      </c>
      <c r="D10" s="365" t="s">
        <v>122</v>
      </c>
      <c r="E10" s="368" t="s">
        <v>919</v>
      </c>
      <c r="F10" s="367">
        <v>90000</v>
      </c>
    </row>
    <row r="11" spans="1:6" ht="80.25" customHeight="1">
      <c r="A11" s="364">
        <v>4</v>
      </c>
      <c r="B11" s="365" t="s">
        <v>598</v>
      </c>
      <c r="C11" s="365" t="s">
        <v>599</v>
      </c>
      <c r="D11" s="365" t="s">
        <v>122</v>
      </c>
      <c r="E11" s="368" t="s">
        <v>656</v>
      </c>
      <c r="F11" s="367">
        <v>21000</v>
      </c>
    </row>
    <row r="12" spans="1:6" ht="47.25">
      <c r="A12" s="364">
        <v>5</v>
      </c>
      <c r="B12" s="365" t="s">
        <v>600</v>
      </c>
      <c r="C12" s="365" t="s">
        <v>601</v>
      </c>
      <c r="D12" s="365" t="s">
        <v>124</v>
      </c>
      <c r="E12" s="368" t="s">
        <v>870</v>
      </c>
      <c r="F12" s="367">
        <v>238000</v>
      </c>
    </row>
    <row r="13" spans="1:6" ht="67.5" customHeight="1">
      <c r="A13" s="364">
        <v>6</v>
      </c>
      <c r="B13" s="365" t="s">
        <v>600</v>
      </c>
      <c r="C13" s="365" t="s">
        <v>601</v>
      </c>
      <c r="D13" s="365" t="s">
        <v>124</v>
      </c>
      <c r="E13" s="366" t="s">
        <v>657</v>
      </c>
      <c r="F13" s="367">
        <v>70000</v>
      </c>
    </row>
    <row r="14" spans="1:6" ht="47.25">
      <c r="A14" s="364">
        <v>7</v>
      </c>
      <c r="B14" s="365" t="s">
        <v>603</v>
      </c>
      <c r="C14" s="365" t="s">
        <v>604</v>
      </c>
      <c r="D14" s="365" t="s">
        <v>126</v>
      </c>
      <c r="E14" s="366" t="s">
        <v>871</v>
      </c>
      <c r="F14" s="367">
        <v>85000</v>
      </c>
    </row>
    <row r="15" spans="1:6" ht="95.25" customHeight="1">
      <c r="A15" s="364">
        <v>8</v>
      </c>
      <c r="B15" s="365" t="s">
        <v>603</v>
      </c>
      <c r="C15" s="365" t="s">
        <v>604</v>
      </c>
      <c r="D15" s="365" t="s">
        <v>126</v>
      </c>
      <c r="E15" s="366" t="s">
        <v>633</v>
      </c>
      <c r="F15" s="367">
        <v>40000</v>
      </c>
    </row>
    <row r="16" spans="1:6" ht="95.25" customHeight="1">
      <c r="A16" s="364">
        <v>9</v>
      </c>
      <c r="B16" s="365" t="s">
        <v>605</v>
      </c>
      <c r="C16" s="365" t="s">
        <v>606</v>
      </c>
      <c r="D16" s="365" t="s">
        <v>125</v>
      </c>
      <c r="E16" s="366" t="s">
        <v>634</v>
      </c>
      <c r="F16" s="367">
        <v>69000</v>
      </c>
    </row>
    <row r="17" spans="1:7" ht="63">
      <c r="A17" s="364">
        <v>10</v>
      </c>
      <c r="B17" s="365" t="s">
        <v>605</v>
      </c>
      <c r="C17" s="365" t="s">
        <v>606</v>
      </c>
      <c r="D17" s="365" t="s">
        <v>125</v>
      </c>
      <c r="E17" s="366" t="s">
        <v>663</v>
      </c>
      <c r="F17" s="367">
        <f>(110000)+30000</f>
        <v>140000</v>
      </c>
    </row>
    <row r="18" spans="1:7" ht="15.75">
      <c r="A18" s="613" t="s">
        <v>635</v>
      </c>
      <c r="B18" s="614"/>
      <c r="C18" s="614"/>
      <c r="D18" s="614"/>
      <c r="E18" s="615"/>
      <c r="F18" s="369">
        <f>SUM(F8:F17)</f>
        <v>1271148.6600000001</v>
      </c>
      <c r="G18" s="369" t="b">
        <f>F18='dod3'!P174</f>
        <v>1</v>
      </c>
    </row>
    <row r="19" spans="1:7" s="5" customFormat="1" ht="15.75">
      <c r="A19" s="390"/>
      <c r="B19" s="390"/>
      <c r="C19" s="390"/>
      <c r="D19" s="390"/>
      <c r="E19" s="390"/>
      <c r="F19" s="391"/>
    </row>
    <row r="20" spans="1:7" ht="15.75">
      <c r="A20" s="370"/>
      <c r="B20" s="371" t="s">
        <v>227</v>
      </c>
      <c r="C20" s="370"/>
      <c r="D20" s="370"/>
      <c r="E20" s="370"/>
      <c r="F20" s="372" t="s">
        <v>636</v>
      </c>
    </row>
    <row r="21" spans="1:7" ht="15.75">
      <c r="A21" s="616"/>
      <c r="B21" s="616"/>
      <c r="C21" s="616"/>
      <c r="D21" s="616"/>
      <c r="E21" s="616"/>
      <c r="F21" s="373"/>
    </row>
    <row r="27" spans="1:7">
      <c r="E27" s="5"/>
    </row>
  </sheetData>
  <mergeCells count="5">
    <mergeCell ref="A4:F4"/>
    <mergeCell ref="A5:F5"/>
    <mergeCell ref="A6:F6"/>
    <mergeCell ref="A18:E18"/>
    <mergeCell ref="A21:E21"/>
  </mergeCells>
  <pageMargins left="0.75" right="0.75" top="1" bottom="1" header="0.5" footer="0.5"/>
  <pageSetup paperSize="9" scale="66"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XFD210"/>
  <sheetViews>
    <sheetView view="pageBreakPreview" topLeftCell="B1" zoomScale="70" zoomScaleNormal="70" zoomScaleSheetLayoutView="70" zoomScalePageLayoutView="70" workbookViewId="0">
      <pane ySplit="4" topLeftCell="A155" activePane="bottomLeft" state="frozen"/>
      <selection activeCell="B1" sqref="B1"/>
      <selection pane="bottomLeft" activeCell="I162" sqref="I162"/>
    </sheetView>
  </sheetViews>
  <sheetFormatPr defaultColWidth="7.85546875" defaultRowHeight="12.75"/>
  <cols>
    <col min="1" max="1" width="3.28515625" style="33" hidden="1" customWidth="1"/>
    <col min="2" max="2" width="14.140625" style="33" customWidth="1"/>
    <col min="3" max="3" width="13.28515625" style="33" customWidth="1"/>
    <col min="4" max="4" width="15.28515625" style="33" customWidth="1"/>
    <col min="5" max="5" width="50.5703125" style="33" customWidth="1"/>
    <col min="6" max="6" width="38.5703125" style="33" customWidth="1"/>
    <col min="7" max="9" width="18.140625" style="33" customWidth="1"/>
    <col min="10" max="10" width="15.85546875" style="34" customWidth="1"/>
    <col min="11" max="16384" width="7.85546875" style="34"/>
  </cols>
  <sheetData>
    <row r="1" spans="1:11" ht="31.5" customHeight="1">
      <c r="G1" s="587" t="s">
        <v>943</v>
      </c>
      <c r="H1" s="587"/>
      <c r="I1" s="587"/>
    </row>
    <row r="2" spans="1:11" ht="46.5" customHeight="1">
      <c r="B2" s="625" t="s">
        <v>655</v>
      </c>
      <c r="C2" s="626"/>
      <c r="D2" s="626"/>
      <c r="E2" s="626"/>
      <c r="F2" s="626"/>
      <c r="G2" s="626"/>
      <c r="H2" s="626"/>
      <c r="I2" s="626"/>
    </row>
    <row r="3" spans="1:11" ht="9" customHeight="1">
      <c r="B3" s="35"/>
      <c r="C3" s="36"/>
      <c r="D3" s="36"/>
      <c r="E3" s="36"/>
      <c r="F3" s="37"/>
      <c r="G3" s="37"/>
      <c r="H3" s="38"/>
      <c r="I3" s="39" t="s">
        <v>137</v>
      </c>
    </row>
    <row r="4" spans="1:11" ht="107.25" customHeight="1">
      <c r="A4" s="40"/>
      <c r="B4" s="49" t="s">
        <v>41</v>
      </c>
      <c r="C4" s="49" t="s">
        <v>61</v>
      </c>
      <c r="D4" s="41" t="s">
        <v>43</v>
      </c>
      <c r="E4" s="48" t="s">
        <v>56</v>
      </c>
      <c r="F4" s="43" t="s">
        <v>63</v>
      </c>
      <c r="G4" s="47" t="s">
        <v>36</v>
      </c>
      <c r="H4" s="43" t="s">
        <v>127</v>
      </c>
      <c r="I4" s="43" t="s">
        <v>62</v>
      </c>
    </row>
    <row r="5" spans="1:11" s="45" customFormat="1" ht="30">
      <c r="A5" s="44"/>
      <c r="B5" s="459" t="s">
        <v>310</v>
      </c>
      <c r="C5" s="459"/>
      <c r="D5" s="459"/>
      <c r="E5" s="456" t="s">
        <v>312</v>
      </c>
      <c r="F5" s="458"/>
      <c r="G5" s="474">
        <f>G6</f>
        <v>8871864</v>
      </c>
      <c r="H5" s="474">
        <f>H6</f>
        <v>11093936</v>
      </c>
      <c r="I5" s="474">
        <f t="shared" ref="I5:I20" si="0">G5+H5</f>
        <v>19965800</v>
      </c>
    </row>
    <row r="6" spans="1:11" ht="28.5">
      <c r="B6" s="476" t="s">
        <v>311</v>
      </c>
      <c r="C6" s="476"/>
      <c r="D6" s="476"/>
      <c r="E6" s="460" t="s">
        <v>313</v>
      </c>
      <c r="F6" s="462"/>
      <c r="G6" s="475">
        <f>SUM(G7:G20)</f>
        <v>8871864</v>
      </c>
      <c r="H6" s="475">
        <f>SUM(H7:H20)</f>
        <v>11093936</v>
      </c>
      <c r="I6" s="475">
        <f t="shared" si="0"/>
        <v>19965800</v>
      </c>
    </row>
    <row r="7" spans="1:11" ht="60">
      <c r="B7" s="300" t="s">
        <v>438</v>
      </c>
      <c r="C7" s="300" t="s">
        <v>439</v>
      </c>
      <c r="D7" s="300" t="s">
        <v>440</v>
      </c>
      <c r="E7" s="300" t="s">
        <v>437</v>
      </c>
      <c r="F7" s="58" t="s">
        <v>13</v>
      </c>
      <c r="G7" s="83">
        <f>11700+86000</f>
        <v>97700</v>
      </c>
      <c r="H7" s="83">
        <f>(370000)+1318600-86000</f>
        <v>1602600</v>
      </c>
      <c r="I7" s="72">
        <f t="shared" si="0"/>
        <v>1700300</v>
      </c>
    </row>
    <row r="8" spans="1:11" ht="45">
      <c r="B8" s="300" t="s">
        <v>442</v>
      </c>
      <c r="C8" s="300" t="s">
        <v>443</v>
      </c>
      <c r="D8" s="300" t="s">
        <v>440</v>
      </c>
      <c r="E8" s="300" t="s">
        <v>441</v>
      </c>
      <c r="F8" s="58" t="s">
        <v>13</v>
      </c>
      <c r="G8" s="83"/>
      <c r="H8" s="83">
        <f>(76000)+318000</f>
        <v>394000</v>
      </c>
      <c r="I8" s="72">
        <f t="shared" si="0"/>
        <v>394000</v>
      </c>
    </row>
    <row r="9" spans="1:11" ht="45">
      <c r="B9" s="300" t="s">
        <v>445</v>
      </c>
      <c r="C9" s="300" t="s">
        <v>446</v>
      </c>
      <c r="D9" s="300" t="s">
        <v>447</v>
      </c>
      <c r="E9" s="300" t="s">
        <v>444</v>
      </c>
      <c r="F9" s="58" t="s">
        <v>13</v>
      </c>
      <c r="G9" s="72">
        <f>'dod3'!E17</f>
        <v>4100700</v>
      </c>
      <c r="H9" s="72">
        <f>'dod3'!J17</f>
        <v>0</v>
      </c>
      <c r="I9" s="72">
        <f t="shared" si="0"/>
        <v>4100700</v>
      </c>
    </row>
    <row r="10" spans="1:11" ht="45">
      <c r="B10" s="376" t="s">
        <v>658</v>
      </c>
      <c r="C10" s="288" t="s">
        <v>383</v>
      </c>
      <c r="D10" s="288" t="s">
        <v>334</v>
      </c>
      <c r="E10" s="376" t="s">
        <v>91</v>
      </c>
      <c r="F10" s="58" t="s">
        <v>13</v>
      </c>
      <c r="G10" s="72"/>
      <c r="H10" s="72">
        <f>'dod3'!J18</f>
        <v>2500000</v>
      </c>
      <c r="I10" s="72">
        <f t="shared" si="0"/>
        <v>2500000</v>
      </c>
    </row>
    <row r="11" spans="1:11" ht="60">
      <c r="B11" s="300" t="s">
        <v>448</v>
      </c>
      <c r="C11" s="300" t="s">
        <v>449</v>
      </c>
      <c r="D11" s="300" t="s">
        <v>450</v>
      </c>
      <c r="E11" s="299" t="s">
        <v>451</v>
      </c>
      <c r="F11" s="86" t="s">
        <v>571</v>
      </c>
      <c r="G11" s="64">
        <v>2155000</v>
      </c>
      <c r="H11" s="82">
        <v>1200000</v>
      </c>
      <c r="I11" s="82">
        <f t="shared" si="0"/>
        <v>3355000</v>
      </c>
      <c r="K11" s="34" t="b">
        <f>I11+I12='dod3'!P23</f>
        <v>1</v>
      </c>
    </row>
    <row r="12" spans="1:11" ht="62.25" customHeight="1">
      <c r="B12" s="300" t="s">
        <v>448</v>
      </c>
      <c r="C12" s="300" t="s">
        <v>449</v>
      </c>
      <c r="D12" s="300" t="s">
        <v>450</v>
      </c>
      <c r="E12" s="299" t="s">
        <v>451</v>
      </c>
      <c r="F12" s="58" t="s">
        <v>139</v>
      </c>
      <c r="G12" s="64">
        <f>(400000)+700800</f>
        <v>1100800</v>
      </c>
      <c r="H12" s="82">
        <v>0</v>
      </c>
      <c r="I12" s="82">
        <f t="shared" si="0"/>
        <v>1100800</v>
      </c>
    </row>
    <row r="13" spans="1:11" ht="75">
      <c r="B13" s="471" t="s">
        <v>844</v>
      </c>
      <c r="C13" s="471" t="s">
        <v>845</v>
      </c>
      <c r="D13" s="471" t="s">
        <v>106</v>
      </c>
      <c r="E13" s="471" t="s">
        <v>846</v>
      </c>
      <c r="F13" s="58" t="s">
        <v>847</v>
      </c>
      <c r="G13" s="64">
        <f>972664+100000</f>
        <v>1072664</v>
      </c>
      <c r="H13" s="82">
        <f>1997336-100000</f>
        <v>1897336</v>
      </c>
      <c r="I13" s="82">
        <f t="shared" si="0"/>
        <v>2970000</v>
      </c>
    </row>
    <row r="14" spans="1:11" ht="120">
      <c r="B14" s="471" t="s">
        <v>844</v>
      </c>
      <c r="C14" s="471" t="s">
        <v>845</v>
      </c>
      <c r="D14" s="471" t="s">
        <v>106</v>
      </c>
      <c r="E14" s="471" t="s">
        <v>846</v>
      </c>
      <c r="F14" s="58" t="s">
        <v>848</v>
      </c>
      <c r="G14" s="64">
        <v>170000</v>
      </c>
      <c r="H14" s="82"/>
      <c r="I14" s="82">
        <f t="shared" si="0"/>
        <v>170000</v>
      </c>
    </row>
    <row r="15" spans="1:11" ht="75">
      <c r="B15" s="471" t="s">
        <v>844</v>
      </c>
      <c r="C15" s="471" t="s">
        <v>845</v>
      </c>
      <c r="D15" s="471" t="s">
        <v>106</v>
      </c>
      <c r="E15" s="471" t="s">
        <v>846</v>
      </c>
      <c r="F15" s="58" t="s">
        <v>849</v>
      </c>
      <c r="G15" s="64"/>
      <c r="H15" s="82">
        <v>600000</v>
      </c>
      <c r="I15" s="82">
        <f t="shared" si="0"/>
        <v>600000</v>
      </c>
    </row>
    <row r="16" spans="1:11" ht="62.25" customHeight="1">
      <c r="B16" s="471" t="s">
        <v>844</v>
      </c>
      <c r="C16" s="471" t="s">
        <v>845</v>
      </c>
      <c r="D16" s="471" t="s">
        <v>106</v>
      </c>
      <c r="E16" s="471" t="s">
        <v>846</v>
      </c>
      <c r="F16" s="58" t="s">
        <v>850</v>
      </c>
      <c r="G16" s="64"/>
      <c r="H16" s="82">
        <v>1500000</v>
      </c>
      <c r="I16" s="82">
        <f t="shared" si="0"/>
        <v>1500000</v>
      </c>
    </row>
    <row r="17" spans="2:9" ht="90">
      <c r="B17" s="471" t="s">
        <v>844</v>
      </c>
      <c r="C17" s="471" t="s">
        <v>845</v>
      </c>
      <c r="D17" s="471" t="s">
        <v>106</v>
      </c>
      <c r="E17" s="471" t="s">
        <v>846</v>
      </c>
      <c r="F17" s="58" t="s">
        <v>851</v>
      </c>
      <c r="G17" s="64">
        <v>25000</v>
      </c>
      <c r="H17" s="82"/>
      <c r="I17" s="82">
        <f t="shared" si="0"/>
        <v>25000</v>
      </c>
    </row>
    <row r="18" spans="2:9" ht="105">
      <c r="B18" s="471" t="s">
        <v>844</v>
      </c>
      <c r="C18" s="471" t="s">
        <v>845</v>
      </c>
      <c r="D18" s="471" t="s">
        <v>106</v>
      </c>
      <c r="E18" s="471" t="s">
        <v>846</v>
      </c>
      <c r="F18" s="58" t="s">
        <v>852</v>
      </c>
      <c r="G18" s="64">
        <v>80000</v>
      </c>
      <c r="H18" s="82"/>
      <c r="I18" s="82">
        <f t="shared" si="0"/>
        <v>80000</v>
      </c>
    </row>
    <row r="19" spans="2:9" ht="75">
      <c r="B19" s="471" t="s">
        <v>844</v>
      </c>
      <c r="C19" s="471" t="s">
        <v>845</v>
      </c>
      <c r="D19" s="471" t="s">
        <v>106</v>
      </c>
      <c r="E19" s="471" t="s">
        <v>846</v>
      </c>
      <c r="F19" s="58" t="s">
        <v>853</v>
      </c>
      <c r="G19" s="64">
        <v>70000</v>
      </c>
      <c r="H19" s="82"/>
      <c r="I19" s="82">
        <f t="shared" si="0"/>
        <v>70000</v>
      </c>
    </row>
    <row r="20" spans="2:9" ht="105">
      <c r="B20" s="471" t="s">
        <v>844</v>
      </c>
      <c r="C20" s="471" t="s">
        <v>845</v>
      </c>
      <c r="D20" s="471" t="s">
        <v>106</v>
      </c>
      <c r="E20" s="471" t="s">
        <v>846</v>
      </c>
      <c r="F20" s="58" t="s">
        <v>854</v>
      </c>
      <c r="G20" s="64"/>
      <c r="H20" s="82">
        <v>1400000</v>
      </c>
      <c r="I20" s="82">
        <f t="shared" si="0"/>
        <v>1400000</v>
      </c>
    </row>
    <row r="21" spans="2:9" ht="30">
      <c r="B21" s="459" t="s">
        <v>314</v>
      </c>
      <c r="C21" s="459"/>
      <c r="D21" s="459"/>
      <c r="E21" s="456" t="s">
        <v>6</v>
      </c>
      <c r="F21" s="461"/>
      <c r="G21" s="474">
        <f>G22</f>
        <v>898767633</v>
      </c>
      <c r="H21" s="474">
        <f>H22</f>
        <v>128681715</v>
      </c>
      <c r="I21" s="474">
        <f t="shared" ref="I21:I22" si="1">G21+H21</f>
        <v>1027449348</v>
      </c>
    </row>
    <row r="22" spans="2:9" ht="28.5">
      <c r="B22" s="476" t="s">
        <v>315</v>
      </c>
      <c r="C22" s="476"/>
      <c r="D22" s="476"/>
      <c r="E22" s="460" t="s">
        <v>2</v>
      </c>
      <c r="F22" s="461"/>
      <c r="G22" s="475">
        <f>SUM(G23:G40)-G37-G38</f>
        <v>898767633</v>
      </c>
      <c r="H22" s="475">
        <f>SUM(H23:H40)-H37-H38</f>
        <v>128681715</v>
      </c>
      <c r="I22" s="475">
        <f t="shared" si="1"/>
        <v>1027449348</v>
      </c>
    </row>
    <row r="23" spans="2:9" ht="30">
      <c r="B23" s="376" t="s">
        <v>386</v>
      </c>
      <c r="C23" s="376" t="s">
        <v>387</v>
      </c>
      <c r="D23" s="376" t="s">
        <v>389</v>
      </c>
      <c r="E23" s="376" t="s">
        <v>390</v>
      </c>
      <c r="F23" s="86" t="s">
        <v>140</v>
      </c>
      <c r="G23" s="83">
        <f>'dod3'!E28-G24</f>
        <v>246625800</v>
      </c>
      <c r="H23" s="83">
        <f>'dod3'!J28-H24</f>
        <v>41664100</v>
      </c>
      <c r="I23" s="83">
        <f t="shared" ref="I23:I40" si="2">G23+H23</f>
        <v>288289900</v>
      </c>
    </row>
    <row r="24" spans="2:9" ht="54" customHeight="1">
      <c r="B24" s="376" t="s">
        <v>386</v>
      </c>
      <c r="C24" s="376" t="s">
        <v>387</v>
      </c>
      <c r="D24" s="376" t="s">
        <v>389</v>
      </c>
      <c r="E24" s="376" t="s">
        <v>390</v>
      </c>
      <c r="F24" s="58" t="s">
        <v>660</v>
      </c>
      <c r="G24" s="83">
        <f>(165502+120830)+41349</f>
        <v>327681</v>
      </c>
      <c r="H24" s="83">
        <f>(353242+55000)-41349</f>
        <v>366893</v>
      </c>
      <c r="I24" s="83">
        <f t="shared" si="2"/>
        <v>694574</v>
      </c>
    </row>
    <row r="25" spans="2:9" ht="75">
      <c r="B25" s="376" t="s">
        <v>392</v>
      </c>
      <c r="C25" s="376" t="s">
        <v>388</v>
      </c>
      <c r="D25" s="376" t="s">
        <v>393</v>
      </c>
      <c r="E25" s="376" t="s">
        <v>391</v>
      </c>
      <c r="F25" s="86" t="s">
        <v>140</v>
      </c>
      <c r="G25" s="83">
        <f>'dod3'!E29-G26-G27-G28</f>
        <v>480527352</v>
      </c>
      <c r="H25" s="83">
        <f>'dod3'!J29-H26-H27-H28</f>
        <v>48023401</v>
      </c>
      <c r="I25" s="83">
        <f t="shared" si="2"/>
        <v>528550753</v>
      </c>
    </row>
    <row r="26" spans="2:9" ht="75">
      <c r="B26" s="376" t="s">
        <v>392</v>
      </c>
      <c r="C26" s="376" t="s">
        <v>388</v>
      </c>
      <c r="D26" s="376" t="s">
        <v>393</v>
      </c>
      <c r="E26" s="376" t="s">
        <v>391</v>
      </c>
      <c r="F26" s="86" t="s">
        <v>142</v>
      </c>
      <c r="G26" s="83">
        <v>4297100</v>
      </c>
      <c r="H26" s="83"/>
      <c r="I26" s="83">
        <f t="shared" si="2"/>
        <v>4297100</v>
      </c>
    </row>
    <row r="27" spans="2:9" ht="75">
      <c r="B27" s="376" t="s">
        <v>392</v>
      </c>
      <c r="C27" s="376" t="s">
        <v>388</v>
      </c>
      <c r="D27" s="376" t="s">
        <v>393</v>
      </c>
      <c r="E27" s="376" t="s">
        <v>391</v>
      </c>
      <c r="F27" s="58" t="s">
        <v>660</v>
      </c>
      <c r="G27" s="83">
        <f>(318969+495888)+86612</f>
        <v>901469</v>
      </c>
      <c r="H27" s="83">
        <f>(297437+100000)-86612</f>
        <v>310825</v>
      </c>
      <c r="I27" s="83">
        <f t="shared" si="2"/>
        <v>1212294</v>
      </c>
    </row>
    <row r="28" spans="2:9" ht="75">
      <c r="B28" s="539" t="s">
        <v>392</v>
      </c>
      <c r="C28" s="539" t="s">
        <v>388</v>
      </c>
      <c r="D28" s="539" t="s">
        <v>393</v>
      </c>
      <c r="E28" s="539" t="s">
        <v>391</v>
      </c>
      <c r="F28" s="58" t="s">
        <v>939</v>
      </c>
      <c r="G28" s="83"/>
      <c r="H28" s="83">
        <v>9450</v>
      </c>
      <c r="I28" s="83">
        <f t="shared" si="2"/>
        <v>9450</v>
      </c>
    </row>
    <row r="29" spans="2:9" ht="30">
      <c r="B29" s="376" t="s">
        <v>394</v>
      </c>
      <c r="C29" s="376" t="s">
        <v>395</v>
      </c>
      <c r="D29" s="376" t="s">
        <v>393</v>
      </c>
      <c r="E29" s="376" t="s">
        <v>46</v>
      </c>
      <c r="F29" s="86" t="s">
        <v>140</v>
      </c>
      <c r="G29" s="83">
        <f>'dod3'!E30</f>
        <v>2531500</v>
      </c>
      <c r="H29" s="83"/>
      <c r="I29" s="83">
        <f t="shared" si="2"/>
        <v>2531500</v>
      </c>
    </row>
    <row r="30" spans="2:9" ht="75">
      <c r="B30" s="376" t="s">
        <v>397</v>
      </c>
      <c r="C30" s="376" t="s">
        <v>396</v>
      </c>
      <c r="D30" s="376" t="s">
        <v>398</v>
      </c>
      <c r="E30" s="376" t="s">
        <v>47</v>
      </c>
      <c r="F30" s="86" t="s">
        <v>140</v>
      </c>
      <c r="G30" s="83">
        <f>'dod3'!E31-G31</f>
        <v>15404000</v>
      </c>
      <c r="H30" s="83">
        <f>'dod3'!J31</f>
        <v>480449</v>
      </c>
      <c r="I30" s="83">
        <f t="shared" si="2"/>
        <v>15884449</v>
      </c>
    </row>
    <row r="31" spans="2:9" ht="75">
      <c r="B31" s="376" t="s">
        <v>397</v>
      </c>
      <c r="C31" s="376" t="s">
        <v>396</v>
      </c>
      <c r="D31" s="376" t="s">
        <v>398</v>
      </c>
      <c r="E31" s="376" t="s">
        <v>47</v>
      </c>
      <c r="F31" s="86" t="s">
        <v>142</v>
      </c>
      <c r="G31" s="83">
        <v>20000</v>
      </c>
      <c r="H31" s="83"/>
      <c r="I31" s="83">
        <f t="shared" si="2"/>
        <v>20000</v>
      </c>
    </row>
    <row r="32" spans="2:9" ht="45">
      <c r="B32" s="376" t="s">
        <v>399</v>
      </c>
      <c r="C32" s="376" t="s">
        <v>373</v>
      </c>
      <c r="D32" s="376" t="s">
        <v>354</v>
      </c>
      <c r="E32" s="376" t="s">
        <v>48</v>
      </c>
      <c r="F32" s="86" t="s">
        <v>140</v>
      </c>
      <c r="G32" s="83">
        <f>'dod3'!E32</f>
        <v>27938600</v>
      </c>
      <c r="H32" s="83">
        <f>'dod3'!J32</f>
        <v>9728200</v>
      </c>
      <c r="I32" s="83">
        <f t="shared" si="2"/>
        <v>37666800</v>
      </c>
    </row>
    <row r="33" spans="2:9" ht="30">
      <c r="B33" s="376" t="s">
        <v>400</v>
      </c>
      <c r="C33" s="376" t="s">
        <v>401</v>
      </c>
      <c r="D33" s="376" t="s">
        <v>402</v>
      </c>
      <c r="E33" s="376" t="s">
        <v>403</v>
      </c>
      <c r="F33" s="86" t="s">
        <v>140</v>
      </c>
      <c r="G33" s="68">
        <f>'dod3'!E33</f>
        <v>101395431</v>
      </c>
      <c r="H33" s="83">
        <f>'dod3'!J33</f>
        <v>10939399</v>
      </c>
      <c r="I33" s="83">
        <f t="shared" si="2"/>
        <v>112334830</v>
      </c>
    </row>
    <row r="34" spans="2:9" ht="30">
      <c r="B34" s="376" t="s">
        <v>405</v>
      </c>
      <c r="C34" s="376" t="s">
        <v>406</v>
      </c>
      <c r="D34" s="376" t="s">
        <v>407</v>
      </c>
      <c r="E34" s="376" t="s">
        <v>404</v>
      </c>
      <c r="F34" s="86" t="s">
        <v>140</v>
      </c>
      <c r="G34" s="68">
        <f>'dod3'!E34-G35</f>
        <v>4242400</v>
      </c>
      <c r="H34" s="83">
        <f>'dod3'!J34-H35</f>
        <v>176000</v>
      </c>
      <c r="I34" s="83">
        <f t="shared" si="2"/>
        <v>4418400</v>
      </c>
    </row>
    <row r="35" spans="2:9" ht="45">
      <c r="B35" s="539" t="s">
        <v>405</v>
      </c>
      <c r="C35" s="539" t="s">
        <v>406</v>
      </c>
      <c r="D35" s="539" t="s">
        <v>407</v>
      </c>
      <c r="E35" s="539" t="s">
        <v>404</v>
      </c>
      <c r="F35" s="58" t="s">
        <v>939</v>
      </c>
      <c r="G35" s="540"/>
      <c r="H35" s="83">
        <v>450</v>
      </c>
      <c r="I35" s="83">
        <f t="shared" si="2"/>
        <v>450</v>
      </c>
    </row>
    <row r="36" spans="2:9" ht="30">
      <c r="B36" s="376" t="s">
        <v>409</v>
      </c>
      <c r="C36" s="376" t="s">
        <v>410</v>
      </c>
      <c r="D36" s="376"/>
      <c r="E36" s="376" t="s">
        <v>408</v>
      </c>
      <c r="F36" s="86" t="s">
        <v>140</v>
      </c>
      <c r="G36" s="68">
        <f>'dod3'!E35</f>
        <v>14423100</v>
      </c>
      <c r="H36" s="83">
        <f>'dod3'!J35</f>
        <v>548800</v>
      </c>
      <c r="I36" s="83">
        <f t="shared" si="2"/>
        <v>14971900</v>
      </c>
    </row>
    <row r="37" spans="2:9" ht="30">
      <c r="B37" s="332" t="s">
        <v>670</v>
      </c>
      <c r="C37" s="63" t="s">
        <v>671</v>
      </c>
      <c r="D37" s="63" t="s">
        <v>407</v>
      </c>
      <c r="E37" s="63" t="s">
        <v>669</v>
      </c>
      <c r="F37" s="228" t="s">
        <v>140</v>
      </c>
      <c r="G37" s="64">
        <f>'dod3'!E36</f>
        <v>14283100</v>
      </c>
      <c r="H37" s="82">
        <f>'dod3'!J36</f>
        <v>548800</v>
      </c>
      <c r="I37" s="82">
        <f t="shared" si="2"/>
        <v>14831900</v>
      </c>
    </row>
    <row r="38" spans="2:9" ht="30">
      <c r="B38" s="332" t="s">
        <v>711</v>
      </c>
      <c r="C38" s="63" t="s">
        <v>712</v>
      </c>
      <c r="D38" s="63" t="s">
        <v>407</v>
      </c>
      <c r="E38" s="63" t="s">
        <v>710</v>
      </c>
      <c r="F38" s="228" t="s">
        <v>140</v>
      </c>
      <c r="G38" s="64">
        <f>'dod3'!E37</f>
        <v>140000</v>
      </c>
      <c r="H38" s="82">
        <f>'dod3'!J37</f>
        <v>0</v>
      </c>
      <c r="I38" s="82">
        <f t="shared" si="2"/>
        <v>140000</v>
      </c>
    </row>
    <row r="39" spans="2:9" ht="45">
      <c r="B39" s="410" t="s">
        <v>745</v>
      </c>
      <c r="C39" s="410" t="s">
        <v>746</v>
      </c>
      <c r="D39" s="410" t="s">
        <v>407</v>
      </c>
      <c r="E39" s="376" t="s">
        <v>747</v>
      </c>
      <c r="F39" s="86" t="s">
        <v>140</v>
      </c>
      <c r="G39" s="83">
        <f>'dod3'!E38</f>
        <v>27200</v>
      </c>
      <c r="H39" s="83">
        <f>'dod3'!J38</f>
        <v>0</v>
      </c>
      <c r="I39" s="83">
        <f t="shared" ref="I39" si="3">G39+H39</f>
        <v>27200</v>
      </c>
    </row>
    <row r="40" spans="2:9" ht="45">
      <c r="B40" s="376" t="s">
        <v>412</v>
      </c>
      <c r="C40" s="376" t="s">
        <v>413</v>
      </c>
      <c r="D40" s="376" t="s">
        <v>414</v>
      </c>
      <c r="E40" s="376" t="s">
        <v>102</v>
      </c>
      <c r="F40" s="58" t="s">
        <v>608</v>
      </c>
      <c r="G40" s="379">
        <f>'dod3'!E39</f>
        <v>106000</v>
      </c>
      <c r="H40" s="380">
        <f>'dod3'!J39</f>
        <v>16433748</v>
      </c>
      <c r="I40" s="83">
        <f t="shared" si="2"/>
        <v>16539748</v>
      </c>
    </row>
    <row r="41" spans="2:9" ht="30">
      <c r="B41" s="454" t="s">
        <v>316</v>
      </c>
      <c r="C41" s="455"/>
      <c r="D41" s="455"/>
      <c r="E41" s="456" t="s">
        <v>53</v>
      </c>
      <c r="F41" s="457"/>
      <c r="G41" s="458">
        <f>G42</f>
        <v>69836300</v>
      </c>
      <c r="H41" s="458">
        <f>H42</f>
        <v>10452800</v>
      </c>
      <c r="I41" s="458">
        <f t="shared" ref="I41:I53" si="4">G41+H41</f>
        <v>80289100</v>
      </c>
    </row>
    <row r="42" spans="2:9" ht="28.5">
      <c r="B42" s="459" t="s">
        <v>317</v>
      </c>
      <c r="C42" s="459"/>
      <c r="D42" s="459"/>
      <c r="E42" s="460" t="s">
        <v>54</v>
      </c>
      <c r="F42" s="461"/>
      <c r="G42" s="462">
        <f>SUM(G43:G46)</f>
        <v>69836300</v>
      </c>
      <c r="H42" s="462">
        <f>SUM(H43:H46)</f>
        <v>10452800</v>
      </c>
      <c r="I42" s="462">
        <f t="shared" si="4"/>
        <v>80289100</v>
      </c>
    </row>
    <row r="43" spans="2:9" ht="30">
      <c r="B43" s="291" t="s">
        <v>415</v>
      </c>
      <c r="C43" s="291" t="s">
        <v>411</v>
      </c>
      <c r="D43" s="291" t="s">
        <v>416</v>
      </c>
      <c r="E43" s="291" t="s">
        <v>55</v>
      </c>
      <c r="F43" s="58" t="s">
        <v>141</v>
      </c>
      <c r="G43" s="55">
        <f>(3494900+50000)+1080000+4400+55000-360000+360000</f>
        <v>4684300</v>
      </c>
      <c r="H43" s="55">
        <f>(3652250)+172160-25620-12940+88000</f>
        <v>3873850</v>
      </c>
      <c r="I43" s="55">
        <f t="shared" si="4"/>
        <v>8558150</v>
      </c>
    </row>
    <row r="44" spans="2:9" ht="30">
      <c r="B44" s="295" t="s">
        <v>417</v>
      </c>
      <c r="C44" s="295" t="s">
        <v>418</v>
      </c>
      <c r="D44" s="295" t="s">
        <v>419</v>
      </c>
      <c r="E44" s="295" t="s">
        <v>420</v>
      </c>
      <c r="F44" s="58" t="s">
        <v>141</v>
      </c>
      <c r="G44" s="53">
        <f>'dod3'!E43</f>
        <v>53801300</v>
      </c>
      <c r="H44" s="55">
        <f>'dod3'!J43</f>
        <v>1449150</v>
      </c>
      <c r="I44" s="55">
        <f>G44+H44</f>
        <v>55250450</v>
      </c>
    </row>
    <row r="45" spans="2:9" ht="30">
      <c r="B45" s="295" t="s">
        <v>424</v>
      </c>
      <c r="C45" s="295" t="s">
        <v>425</v>
      </c>
      <c r="D45" s="295" t="s">
        <v>426</v>
      </c>
      <c r="E45" s="295" t="s">
        <v>427</v>
      </c>
      <c r="F45" s="58" t="s">
        <v>141</v>
      </c>
      <c r="G45" s="55">
        <f>'dod3'!E45</f>
        <v>8870400</v>
      </c>
      <c r="H45" s="55">
        <f>'dod3'!J45</f>
        <v>5089400</v>
      </c>
      <c r="I45" s="55">
        <f t="shared" si="4"/>
        <v>13959800</v>
      </c>
    </row>
    <row r="46" spans="2:9" ht="30">
      <c r="B46" s="376" t="s">
        <v>433</v>
      </c>
      <c r="C46" s="395" t="s">
        <v>434</v>
      </c>
      <c r="D46" s="395"/>
      <c r="E46" s="395" t="s">
        <v>436</v>
      </c>
      <c r="F46" s="86" t="s">
        <v>141</v>
      </c>
      <c r="G46" s="55">
        <f>'dod3'!E51</f>
        <v>2480300</v>
      </c>
      <c r="H46" s="55">
        <f>'dod3'!J51</f>
        <v>40400</v>
      </c>
      <c r="I46" s="55">
        <f t="shared" si="4"/>
        <v>2520700</v>
      </c>
    </row>
    <row r="47" spans="2:9" ht="30">
      <c r="B47" s="63" t="s">
        <v>674</v>
      </c>
      <c r="C47" s="63" t="s">
        <v>676</v>
      </c>
      <c r="D47" s="332" t="s">
        <v>435</v>
      </c>
      <c r="E47" s="400" t="s">
        <v>672</v>
      </c>
      <c r="F47" s="228" t="s">
        <v>141</v>
      </c>
      <c r="G47" s="67">
        <f>'dod3'!E52</f>
        <v>2180300</v>
      </c>
      <c r="H47" s="67">
        <f>'dod3'!J52</f>
        <v>40400</v>
      </c>
      <c r="I47" s="67">
        <f t="shared" si="4"/>
        <v>2220700</v>
      </c>
    </row>
    <row r="48" spans="2:9" ht="30">
      <c r="B48" s="63" t="s">
        <v>675</v>
      </c>
      <c r="C48" s="63" t="s">
        <v>677</v>
      </c>
      <c r="D48" s="332" t="s">
        <v>435</v>
      </c>
      <c r="E48" s="400" t="s">
        <v>673</v>
      </c>
      <c r="F48" s="228" t="s">
        <v>141</v>
      </c>
      <c r="G48" s="67">
        <f>'dod3'!E53</f>
        <v>300000</v>
      </c>
      <c r="H48" s="67">
        <f>'dod3'!J53</f>
        <v>0</v>
      </c>
      <c r="I48" s="67">
        <f t="shared" si="4"/>
        <v>300000</v>
      </c>
    </row>
    <row r="49" spans="2:9" ht="45">
      <c r="B49" s="459" t="s">
        <v>318</v>
      </c>
      <c r="C49" s="459"/>
      <c r="D49" s="459"/>
      <c r="E49" s="456" t="s">
        <v>94</v>
      </c>
      <c r="F49" s="457"/>
      <c r="G49" s="474">
        <f>G50</f>
        <v>982232989</v>
      </c>
      <c r="H49" s="474">
        <f>H50</f>
        <v>3774000</v>
      </c>
      <c r="I49" s="474">
        <f t="shared" si="4"/>
        <v>986006989</v>
      </c>
    </row>
    <row r="50" spans="2:9" ht="42.75">
      <c r="B50" s="476" t="s">
        <v>319</v>
      </c>
      <c r="C50" s="476"/>
      <c r="D50" s="476"/>
      <c r="E50" s="460" t="s">
        <v>95</v>
      </c>
      <c r="F50" s="461"/>
      <c r="G50" s="475">
        <f>G54+G63+G90+G83+G57+G79+G92+G80+G71+G88+G51+G84+G96+G72+G87</f>
        <v>982232989</v>
      </c>
      <c r="H50" s="475">
        <f>H54+H63+H90+H83+H57+H79+H92+H80+H71+H88+H51+H84+H72+H87+H96</f>
        <v>3774000</v>
      </c>
      <c r="I50" s="475">
        <f t="shared" si="4"/>
        <v>986006989</v>
      </c>
    </row>
    <row r="51" spans="2:9" ht="60">
      <c r="B51" s="333" t="s">
        <v>461</v>
      </c>
      <c r="C51" s="333" t="s">
        <v>462</v>
      </c>
      <c r="D51" s="333"/>
      <c r="E51" s="333" t="s">
        <v>14</v>
      </c>
      <c r="F51" s="86" t="s">
        <v>142</v>
      </c>
      <c r="G51" s="83">
        <f>G52+G53</f>
        <v>523967300</v>
      </c>
      <c r="H51" s="83">
        <f>H52+H53</f>
        <v>0</v>
      </c>
      <c r="I51" s="83">
        <f t="shared" si="4"/>
        <v>523967300</v>
      </c>
    </row>
    <row r="52" spans="2:9" ht="45">
      <c r="B52" s="332" t="s">
        <v>463</v>
      </c>
      <c r="C52" s="332" t="s">
        <v>464</v>
      </c>
      <c r="D52" s="332" t="s">
        <v>395</v>
      </c>
      <c r="E52" s="353" t="s">
        <v>460</v>
      </c>
      <c r="F52" s="350" t="s">
        <v>142</v>
      </c>
      <c r="G52" s="82">
        <f>'dod3'!E58</f>
        <v>57500000</v>
      </c>
      <c r="H52" s="82">
        <f>'dod3'!J58</f>
        <v>0</v>
      </c>
      <c r="I52" s="82">
        <f t="shared" si="4"/>
        <v>57500000</v>
      </c>
    </row>
    <row r="53" spans="2:9" ht="45">
      <c r="B53" s="354" t="s">
        <v>486</v>
      </c>
      <c r="C53" s="332" t="s">
        <v>487</v>
      </c>
      <c r="D53" s="332" t="s">
        <v>120</v>
      </c>
      <c r="E53" s="63" t="s">
        <v>15</v>
      </c>
      <c r="F53" s="228" t="s">
        <v>142</v>
      </c>
      <c r="G53" s="82">
        <f>'dod3'!E59</f>
        <v>466467300</v>
      </c>
      <c r="H53" s="82">
        <f>'dod3'!J59</f>
        <v>0</v>
      </c>
      <c r="I53" s="82">
        <f t="shared" si="4"/>
        <v>466467300</v>
      </c>
    </row>
    <row r="54" spans="2:9" ht="45">
      <c r="B54" s="334" t="s">
        <v>488</v>
      </c>
      <c r="C54" s="334" t="s">
        <v>489</v>
      </c>
      <c r="D54" s="63"/>
      <c r="E54" s="334" t="s">
        <v>16</v>
      </c>
      <c r="F54" s="86" t="s">
        <v>142</v>
      </c>
      <c r="G54" s="83">
        <f>G55+G56</f>
        <v>60000</v>
      </c>
      <c r="H54" s="83">
        <f>H55+H56</f>
        <v>0</v>
      </c>
      <c r="I54" s="83">
        <f>G54+H54</f>
        <v>60000</v>
      </c>
    </row>
    <row r="55" spans="2:9" ht="60">
      <c r="B55" s="63" t="s">
        <v>491</v>
      </c>
      <c r="C55" s="63" t="s">
        <v>492</v>
      </c>
      <c r="D55" s="63" t="s">
        <v>395</v>
      </c>
      <c r="E55" s="66" t="s">
        <v>490</v>
      </c>
      <c r="F55" s="350" t="s">
        <v>142</v>
      </c>
      <c r="G55" s="337">
        <f>'dod3'!E61</f>
        <v>2000</v>
      </c>
      <c r="H55" s="337"/>
      <c r="I55" s="337">
        <f>G55+H55</f>
        <v>2000</v>
      </c>
    </row>
    <row r="56" spans="2:9" ht="45">
      <c r="B56" s="63" t="s">
        <v>493</v>
      </c>
      <c r="C56" s="63" t="s">
        <v>494</v>
      </c>
      <c r="D56" s="66">
        <v>1060</v>
      </c>
      <c r="E56" s="351" t="s">
        <v>27</v>
      </c>
      <c r="F56" s="228" t="s">
        <v>142</v>
      </c>
      <c r="G56" s="82">
        <f>'dod3'!E62</f>
        <v>58000</v>
      </c>
      <c r="H56" s="82"/>
      <c r="I56" s="82">
        <f t="shared" ref="I56:I90" si="5">G56+H56</f>
        <v>58000</v>
      </c>
    </row>
    <row r="57" spans="2:9" ht="60">
      <c r="B57" s="333" t="s">
        <v>524</v>
      </c>
      <c r="C57" s="333" t="s">
        <v>525</v>
      </c>
      <c r="D57" s="333"/>
      <c r="E57" s="321" t="s">
        <v>523</v>
      </c>
      <c r="F57" s="352" t="s">
        <v>142</v>
      </c>
      <c r="G57" s="335">
        <f>SUM(G58:G62)</f>
        <v>66662930</v>
      </c>
      <c r="H57" s="335">
        <f>SUM(H58:H62)</f>
        <v>100000</v>
      </c>
      <c r="I57" s="396">
        <f t="shared" ref="I57:I62" si="6">G57+H57</f>
        <v>66762930</v>
      </c>
    </row>
    <row r="58" spans="2:9" ht="45">
      <c r="B58" s="332" t="s">
        <v>526</v>
      </c>
      <c r="C58" s="332" t="s">
        <v>527</v>
      </c>
      <c r="D58" s="332" t="s">
        <v>395</v>
      </c>
      <c r="E58" s="70" t="s">
        <v>528</v>
      </c>
      <c r="F58" s="350" t="s">
        <v>142</v>
      </c>
      <c r="G58" s="336">
        <f>'dod3'!E64</f>
        <v>315130</v>
      </c>
      <c r="H58" s="336">
        <f>'dod3'!J64</f>
        <v>100000</v>
      </c>
      <c r="I58" s="336">
        <f t="shared" si="6"/>
        <v>415130</v>
      </c>
    </row>
    <row r="59" spans="2:9" ht="45">
      <c r="B59" s="63" t="s">
        <v>529</v>
      </c>
      <c r="C59" s="63" t="s">
        <v>530</v>
      </c>
      <c r="D59" s="63" t="s">
        <v>396</v>
      </c>
      <c r="E59" s="63" t="s">
        <v>24</v>
      </c>
      <c r="F59" s="228" t="s">
        <v>142</v>
      </c>
      <c r="G59" s="82">
        <f>'dod3'!E65</f>
        <v>1750000</v>
      </c>
      <c r="H59" s="82"/>
      <c r="I59" s="82">
        <f t="shared" si="6"/>
        <v>1750000</v>
      </c>
    </row>
    <row r="60" spans="2:9" ht="45">
      <c r="B60" s="63" t="s">
        <v>532</v>
      </c>
      <c r="C60" s="63" t="s">
        <v>533</v>
      </c>
      <c r="D60" s="63" t="s">
        <v>396</v>
      </c>
      <c r="E60" s="332" t="s">
        <v>25</v>
      </c>
      <c r="F60" s="228" t="s">
        <v>142</v>
      </c>
      <c r="G60" s="82">
        <f>'dod3'!E66</f>
        <v>5000000</v>
      </c>
      <c r="H60" s="82"/>
      <c r="I60" s="82">
        <f t="shared" si="6"/>
        <v>5000000</v>
      </c>
    </row>
    <row r="61" spans="2:9" ht="45">
      <c r="B61" s="332" t="s">
        <v>534</v>
      </c>
      <c r="C61" s="332" t="s">
        <v>531</v>
      </c>
      <c r="D61" s="332" t="s">
        <v>396</v>
      </c>
      <c r="E61" s="332" t="s">
        <v>26</v>
      </c>
      <c r="F61" s="228" t="s">
        <v>142</v>
      </c>
      <c r="G61" s="82">
        <f>'dod3'!E67</f>
        <v>400000</v>
      </c>
      <c r="H61" s="82"/>
      <c r="I61" s="82">
        <f t="shared" si="6"/>
        <v>400000</v>
      </c>
    </row>
    <row r="62" spans="2:9" ht="45">
      <c r="B62" s="332" t="s">
        <v>535</v>
      </c>
      <c r="C62" s="332" t="s">
        <v>536</v>
      </c>
      <c r="D62" s="332" t="s">
        <v>396</v>
      </c>
      <c r="E62" s="332" t="s">
        <v>31</v>
      </c>
      <c r="F62" s="228" t="s">
        <v>142</v>
      </c>
      <c r="G62" s="82">
        <f>'dod3'!E68</f>
        <v>59197800</v>
      </c>
      <c r="H62" s="82"/>
      <c r="I62" s="82">
        <f t="shared" si="6"/>
        <v>59197800</v>
      </c>
    </row>
    <row r="63" spans="2:9" ht="45">
      <c r="B63" s="376" t="s">
        <v>465</v>
      </c>
      <c r="C63" s="376" t="s">
        <v>466</v>
      </c>
      <c r="D63" s="376"/>
      <c r="E63" s="376" t="s">
        <v>751</v>
      </c>
      <c r="F63" s="86" t="s">
        <v>142</v>
      </c>
      <c r="G63" s="83">
        <f>SUM(G64:G70)</f>
        <v>238448900</v>
      </c>
      <c r="H63" s="83">
        <f>SUM(H64:H70)</f>
        <v>0</v>
      </c>
      <c r="I63" s="83">
        <f t="shared" si="5"/>
        <v>238448900</v>
      </c>
    </row>
    <row r="64" spans="2:9" ht="45">
      <c r="B64" s="63" t="s">
        <v>475</v>
      </c>
      <c r="C64" s="63" t="s">
        <v>467</v>
      </c>
      <c r="D64" s="63" t="s">
        <v>363</v>
      </c>
      <c r="E64" s="63" t="s">
        <v>18</v>
      </c>
      <c r="F64" s="228" t="s">
        <v>142</v>
      </c>
      <c r="G64" s="82">
        <f>'dod3'!E70</f>
        <v>2853000</v>
      </c>
      <c r="H64" s="82"/>
      <c r="I64" s="82">
        <f t="shared" si="5"/>
        <v>2853000</v>
      </c>
    </row>
    <row r="65" spans="2:9" ht="45">
      <c r="B65" s="63" t="s">
        <v>476</v>
      </c>
      <c r="C65" s="63" t="s">
        <v>468</v>
      </c>
      <c r="D65" s="63" t="s">
        <v>363</v>
      </c>
      <c r="E65" s="63" t="s">
        <v>474</v>
      </c>
      <c r="F65" s="228" t="s">
        <v>144</v>
      </c>
      <c r="G65" s="82">
        <f>'dod3'!E71</f>
        <v>305000</v>
      </c>
      <c r="H65" s="82"/>
      <c r="I65" s="82">
        <f>G65+H65</f>
        <v>305000</v>
      </c>
    </row>
    <row r="66" spans="2:9" ht="45">
      <c r="B66" s="63" t="s">
        <v>477</v>
      </c>
      <c r="C66" s="63" t="s">
        <v>469</v>
      </c>
      <c r="D66" s="63" t="s">
        <v>363</v>
      </c>
      <c r="E66" s="63" t="s">
        <v>19</v>
      </c>
      <c r="F66" s="228" t="s">
        <v>142</v>
      </c>
      <c r="G66" s="82">
        <f>'dod3'!E72</f>
        <v>161903900</v>
      </c>
      <c r="H66" s="82"/>
      <c r="I66" s="82">
        <f t="shared" si="5"/>
        <v>161903900</v>
      </c>
    </row>
    <row r="67" spans="2:9" ht="45">
      <c r="B67" s="63" t="s">
        <v>478</v>
      </c>
      <c r="C67" s="63" t="s">
        <v>470</v>
      </c>
      <c r="D67" s="63" t="s">
        <v>363</v>
      </c>
      <c r="E67" s="63" t="s">
        <v>20</v>
      </c>
      <c r="F67" s="228" t="s">
        <v>142</v>
      </c>
      <c r="G67" s="82">
        <f>'dod3'!E73</f>
        <v>4390000</v>
      </c>
      <c r="H67" s="82"/>
      <c r="I67" s="82">
        <f t="shared" si="5"/>
        <v>4390000</v>
      </c>
    </row>
    <row r="68" spans="2:9" ht="45">
      <c r="B68" s="63" t="s">
        <v>479</v>
      </c>
      <c r="C68" s="63" t="s">
        <v>471</v>
      </c>
      <c r="D68" s="63" t="s">
        <v>363</v>
      </c>
      <c r="E68" s="63" t="s">
        <v>21</v>
      </c>
      <c r="F68" s="228" t="s">
        <v>142</v>
      </c>
      <c r="G68" s="82">
        <f>'dod3'!E74</f>
        <v>24267000</v>
      </c>
      <c r="H68" s="82"/>
      <c r="I68" s="82">
        <f t="shared" si="5"/>
        <v>24267000</v>
      </c>
    </row>
    <row r="69" spans="2:9" ht="45">
      <c r="B69" s="63" t="s">
        <v>480</v>
      </c>
      <c r="C69" s="63" t="s">
        <v>472</v>
      </c>
      <c r="D69" s="63" t="s">
        <v>363</v>
      </c>
      <c r="E69" s="63" t="s">
        <v>22</v>
      </c>
      <c r="F69" s="228" t="s">
        <v>142</v>
      </c>
      <c r="G69" s="82">
        <f>'dod3'!E75</f>
        <v>3330000</v>
      </c>
      <c r="H69" s="82"/>
      <c r="I69" s="82">
        <f t="shared" si="5"/>
        <v>3330000</v>
      </c>
    </row>
    <row r="70" spans="2:9" ht="45">
      <c r="B70" s="63" t="s">
        <v>481</v>
      </c>
      <c r="C70" s="63" t="s">
        <v>473</v>
      </c>
      <c r="D70" s="63" t="s">
        <v>363</v>
      </c>
      <c r="E70" s="63" t="s">
        <v>23</v>
      </c>
      <c r="F70" s="228" t="s">
        <v>142</v>
      </c>
      <c r="G70" s="82">
        <f>'dod3'!E76</f>
        <v>41400000</v>
      </c>
      <c r="H70" s="82"/>
      <c r="I70" s="82">
        <f t="shared" si="5"/>
        <v>41400000</v>
      </c>
    </row>
    <row r="71" spans="2:9" ht="30">
      <c r="B71" s="542" t="s">
        <v>495</v>
      </c>
      <c r="C71" s="542" t="s">
        <v>482</v>
      </c>
      <c r="D71" s="542" t="s">
        <v>396</v>
      </c>
      <c r="E71" s="542" t="s">
        <v>17</v>
      </c>
      <c r="F71" s="86" t="s">
        <v>142</v>
      </c>
      <c r="G71" s="59">
        <f>'dod3'!E77</f>
        <v>174859</v>
      </c>
      <c r="H71" s="59">
        <f>'dod3'!J77</f>
        <v>0</v>
      </c>
      <c r="I71" s="59">
        <f>G71+H71</f>
        <v>174859</v>
      </c>
    </row>
    <row r="72" spans="2:9" ht="90">
      <c r="B72" s="617" t="s">
        <v>485</v>
      </c>
      <c r="C72" s="628" t="s">
        <v>483</v>
      </c>
      <c r="D72" s="628"/>
      <c r="E72" s="414" t="s">
        <v>755</v>
      </c>
      <c r="F72" s="628" t="s">
        <v>142</v>
      </c>
      <c r="G72" s="630">
        <f>SUM(G74:G78)</f>
        <v>105286800</v>
      </c>
      <c r="H72" s="630">
        <f>SUM(H74:H78)</f>
        <v>0</v>
      </c>
      <c r="I72" s="630">
        <f>G72+H72</f>
        <v>105286800</v>
      </c>
    </row>
    <row r="73" spans="2:9" ht="60">
      <c r="B73" s="618"/>
      <c r="C73" s="629"/>
      <c r="D73" s="629"/>
      <c r="E73" s="348" t="s">
        <v>756</v>
      </c>
      <c r="F73" s="629"/>
      <c r="G73" s="631"/>
      <c r="H73" s="631"/>
      <c r="I73" s="631"/>
    </row>
    <row r="74" spans="2:9" ht="45">
      <c r="B74" s="63" t="s">
        <v>757</v>
      </c>
      <c r="C74" s="63" t="s">
        <v>758</v>
      </c>
      <c r="D74" s="63" t="s">
        <v>387</v>
      </c>
      <c r="E74" s="63" t="s">
        <v>754</v>
      </c>
      <c r="F74" s="228" t="s">
        <v>142</v>
      </c>
      <c r="G74" s="84">
        <f>'dod3'!E80</f>
        <v>62560700</v>
      </c>
      <c r="H74" s="84">
        <f>'dod3'!J80</f>
        <v>0</v>
      </c>
      <c r="I74" s="84">
        <f t="shared" ref="I74:I78" si="7">G74+H74</f>
        <v>62560700</v>
      </c>
    </row>
    <row r="75" spans="2:9" ht="60">
      <c r="B75" s="63" t="s">
        <v>872</v>
      </c>
      <c r="C75" s="63" t="s">
        <v>873</v>
      </c>
      <c r="D75" s="63" t="s">
        <v>387</v>
      </c>
      <c r="E75" s="63" t="s">
        <v>874</v>
      </c>
      <c r="F75" s="228" t="s">
        <v>142</v>
      </c>
      <c r="G75" s="84">
        <f>'dod3'!E81</f>
        <v>10763396.4</v>
      </c>
      <c r="H75" s="84">
        <f>'dod3'!J81</f>
        <v>0</v>
      </c>
      <c r="I75" s="84">
        <f t="shared" si="7"/>
        <v>10763396.4</v>
      </c>
    </row>
    <row r="76" spans="2:9" ht="45">
      <c r="B76" s="63" t="s">
        <v>752</v>
      </c>
      <c r="C76" s="63" t="s">
        <v>753</v>
      </c>
      <c r="D76" s="63" t="s">
        <v>387</v>
      </c>
      <c r="E76" s="63" t="s">
        <v>678</v>
      </c>
      <c r="F76" s="228" t="s">
        <v>142</v>
      </c>
      <c r="G76" s="84">
        <f>'dod3'!E82</f>
        <v>30200800</v>
      </c>
      <c r="H76" s="84">
        <f>'dod3'!J82</f>
        <v>0</v>
      </c>
      <c r="I76" s="84">
        <f t="shared" si="7"/>
        <v>30200800</v>
      </c>
    </row>
    <row r="77" spans="2:9" ht="60">
      <c r="B77" s="63" t="s">
        <v>761</v>
      </c>
      <c r="C77" s="63" t="s">
        <v>762</v>
      </c>
      <c r="D77" s="63" t="s">
        <v>387</v>
      </c>
      <c r="E77" s="63" t="s">
        <v>763</v>
      </c>
      <c r="F77" s="228" t="s">
        <v>142</v>
      </c>
      <c r="G77" s="84">
        <f>'dod3'!E83</f>
        <v>1521903.5999999996</v>
      </c>
      <c r="H77" s="84">
        <f>'dod3'!J83</f>
        <v>0</v>
      </c>
      <c r="I77" s="84">
        <f t="shared" si="7"/>
        <v>1521903.5999999996</v>
      </c>
    </row>
    <row r="78" spans="2:9" ht="60">
      <c r="B78" s="63" t="s">
        <v>759</v>
      </c>
      <c r="C78" s="63" t="s">
        <v>760</v>
      </c>
      <c r="D78" s="63" t="s">
        <v>387</v>
      </c>
      <c r="E78" s="63" t="s">
        <v>764</v>
      </c>
      <c r="F78" s="228" t="s">
        <v>142</v>
      </c>
      <c r="G78" s="84">
        <f>'dod3'!E84</f>
        <v>240000</v>
      </c>
      <c r="H78" s="84">
        <f>'dod3'!J84</f>
        <v>0</v>
      </c>
      <c r="I78" s="84">
        <f t="shared" si="7"/>
        <v>240000</v>
      </c>
    </row>
    <row r="79" spans="2:9" ht="30">
      <c r="B79" s="376" t="s">
        <v>496</v>
      </c>
      <c r="C79" s="376" t="s">
        <v>484</v>
      </c>
      <c r="D79" s="376" t="s">
        <v>395</v>
      </c>
      <c r="E79" s="376" t="s">
        <v>679</v>
      </c>
      <c r="F79" s="86" t="s">
        <v>142</v>
      </c>
      <c r="G79" s="83">
        <f>'dod3'!E85</f>
        <v>188940</v>
      </c>
      <c r="H79" s="83"/>
      <c r="I79" s="83">
        <f t="shared" ref="I79:I89" si="8">G79+H79</f>
        <v>188940</v>
      </c>
    </row>
    <row r="80" spans="2:9" ht="60">
      <c r="B80" s="334" t="s">
        <v>517</v>
      </c>
      <c r="C80" s="334" t="s">
        <v>518</v>
      </c>
      <c r="D80" s="334"/>
      <c r="E80" s="376" t="s">
        <v>680</v>
      </c>
      <c r="F80" s="86" t="s">
        <v>143</v>
      </c>
      <c r="G80" s="59">
        <f>G81+G82</f>
        <v>18306443</v>
      </c>
      <c r="H80" s="59">
        <f>H81+H82</f>
        <v>668200</v>
      </c>
      <c r="I80" s="59">
        <f t="shared" si="8"/>
        <v>18974643</v>
      </c>
    </row>
    <row r="81" spans="2:9" ht="60">
      <c r="B81" s="63" t="s">
        <v>521</v>
      </c>
      <c r="C81" s="63" t="s">
        <v>519</v>
      </c>
      <c r="D81" s="63" t="s">
        <v>388</v>
      </c>
      <c r="E81" s="63" t="s">
        <v>52</v>
      </c>
      <c r="F81" s="228" t="s">
        <v>142</v>
      </c>
      <c r="G81" s="84">
        <f>'dod3'!E87</f>
        <v>13795200</v>
      </c>
      <c r="H81" s="84">
        <f>'dod3'!J87</f>
        <v>249500</v>
      </c>
      <c r="I81" s="84">
        <f t="shared" si="8"/>
        <v>14044700</v>
      </c>
    </row>
    <row r="82" spans="2:9" ht="45">
      <c r="B82" s="63" t="s">
        <v>522</v>
      </c>
      <c r="C82" s="63" t="s">
        <v>520</v>
      </c>
      <c r="D82" s="63" t="s">
        <v>388</v>
      </c>
      <c r="E82" s="63" t="s">
        <v>681</v>
      </c>
      <c r="F82" s="228" t="s">
        <v>142</v>
      </c>
      <c r="G82" s="84">
        <f>'dod3'!E88</f>
        <v>4511243</v>
      </c>
      <c r="H82" s="84">
        <f>'dod3'!J88</f>
        <v>418700</v>
      </c>
      <c r="I82" s="84">
        <f t="shared" si="8"/>
        <v>4929943</v>
      </c>
    </row>
    <row r="83" spans="2:9" ht="75">
      <c r="B83" s="376" t="s">
        <v>514</v>
      </c>
      <c r="C83" s="376" t="s">
        <v>515</v>
      </c>
      <c r="D83" s="376" t="s">
        <v>387</v>
      </c>
      <c r="E83" s="376" t="s">
        <v>682</v>
      </c>
      <c r="F83" s="86" t="s">
        <v>142</v>
      </c>
      <c r="G83" s="83">
        <f>'dod3'!E89</f>
        <v>1375600</v>
      </c>
      <c r="H83" s="83">
        <f>'dod3'!J89</f>
        <v>0</v>
      </c>
      <c r="I83" s="83">
        <f t="shared" si="8"/>
        <v>1375600</v>
      </c>
    </row>
    <row r="84" spans="2:9" ht="30">
      <c r="B84" s="376" t="s">
        <v>683</v>
      </c>
      <c r="C84" s="376" t="s">
        <v>684</v>
      </c>
      <c r="D84" s="376"/>
      <c r="E84" s="376" t="s">
        <v>685</v>
      </c>
      <c r="F84" s="86" t="s">
        <v>142</v>
      </c>
      <c r="G84" s="83">
        <f>G85+G86</f>
        <v>123527</v>
      </c>
      <c r="H84" s="83">
        <f>H85+H86</f>
        <v>0</v>
      </c>
      <c r="I84" s="83">
        <f t="shared" si="8"/>
        <v>123527</v>
      </c>
    </row>
    <row r="85" spans="2:9" ht="60">
      <c r="B85" s="63" t="s">
        <v>686</v>
      </c>
      <c r="C85" s="63" t="s">
        <v>687</v>
      </c>
      <c r="D85" s="63" t="s">
        <v>387</v>
      </c>
      <c r="E85" s="63" t="s">
        <v>765</v>
      </c>
      <c r="F85" s="228" t="s">
        <v>142</v>
      </c>
      <c r="G85" s="82">
        <f>'dod3'!E91</f>
        <v>123359</v>
      </c>
      <c r="H85" s="82">
        <f>'dod3'!J91</f>
        <v>0</v>
      </c>
      <c r="I85" s="82">
        <f t="shared" si="8"/>
        <v>123359</v>
      </c>
    </row>
    <row r="86" spans="2:9" ht="45">
      <c r="B86" s="63" t="s">
        <v>688</v>
      </c>
      <c r="C86" s="63" t="s">
        <v>689</v>
      </c>
      <c r="D86" s="63" t="s">
        <v>387</v>
      </c>
      <c r="E86" s="63" t="s">
        <v>766</v>
      </c>
      <c r="F86" s="228" t="s">
        <v>142</v>
      </c>
      <c r="G86" s="82">
        <f>'dod3'!E92</f>
        <v>168</v>
      </c>
      <c r="H86" s="82">
        <f>'dod3'!J92</f>
        <v>0</v>
      </c>
      <c r="I86" s="82">
        <f t="shared" si="8"/>
        <v>168</v>
      </c>
    </row>
    <row r="87" spans="2:9" ht="75">
      <c r="B87" s="376" t="s">
        <v>769</v>
      </c>
      <c r="C87" s="376" t="s">
        <v>768</v>
      </c>
      <c r="D87" s="376" t="s">
        <v>120</v>
      </c>
      <c r="E87" s="376" t="s">
        <v>767</v>
      </c>
      <c r="F87" s="86" t="s">
        <v>142</v>
      </c>
      <c r="G87" s="83">
        <f>'dod3'!E93</f>
        <v>2026990</v>
      </c>
      <c r="H87" s="83">
        <f>'dod3'!J93</f>
        <v>0</v>
      </c>
      <c r="I87" s="59">
        <f t="shared" si="8"/>
        <v>2026990</v>
      </c>
    </row>
    <row r="88" spans="2:9" ht="30">
      <c r="B88" s="376" t="s">
        <v>690</v>
      </c>
      <c r="C88" s="376" t="s">
        <v>691</v>
      </c>
      <c r="D88" s="376"/>
      <c r="E88" s="65" t="s">
        <v>50</v>
      </c>
      <c r="F88" s="86" t="s">
        <v>142</v>
      </c>
      <c r="G88" s="59">
        <f>G89</f>
        <v>400000</v>
      </c>
      <c r="H88" s="59">
        <f>H89</f>
        <v>0</v>
      </c>
      <c r="I88" s="59">
        <f t="shared" si="8"/>
        <v>400000</v>
      </c>
    </row>
    <row r="89" spans="2:9" ht="45">
      <c r="B89" s="63" t="s">
        <v>692</v>
      </c>
      <c r="C89" s="63" t="s">
        <v>693</v>
      </c>
      <c r="D89" s="63" t="s">
        <v>395</v>
      </c>
      <c r="E89" s="63" t="s">
        <v>770</v>
      </c>
      <c r="F89" s="228" t="s">
        <v>142</v>
      </c>
      <c r="G89" s="84">
        <f>'dod3'!E95</f>
        <v>400000</v>
      </c>
      <c r="H89" s="84"/>
      <c r="I89" s="84">
        <f t="shared" si="8"/>
        <v>400000</v>
      </c>
    </row>
    <row r="90" spans="2:9" ht="90">
      <c r="B90" s="617" t="s">
        <v>513</v>
      </c>
      <c r="C90" s="617" t="s">
        <v>372</v>
      </c>
      <c r="D90" s="617" t="s">
        <v>363</v>
      </c>
      <c r="E90" s="405" t="s">
        <v>694</v>
      </c>
      <c r="F90" s="621" t="s">
        <v>142</v>
      </c>
      <c r="G90" s="622">
        <f>'dod3'!E96</f>
        <v>851000</v>
      </c>
      <c r="H90" s="622"/>
      <c r="I90" s="622">
        <f t="shared" si="5"/>
        <v>851000</v>
      </c>
    </row>
    <row r="91" spans="2:9" ht="78.75" customHeight="1">
      <c r="B91" s="618"/>
      <c r="C91" s="618"/>
      <c r="D91" s="618"/>
      <c r="E91" s="349" t="s">
        <v>695</v>
      </c>
      <c r="F91" s="562"/>
      <c r="G91" s="623"/>
      <c r="H91" s="623"/>
      <c r="I91" s="627"/>
    </row>
    <row r="92" spans="2:9" ht="30">
      <c r="B92" s="376" t="s">
        <v>698</v>
      </c>
      <c r="C92" s="376" t="s">
        <v>699</v>
      </c>
      <c r="D92" s="376"/>
      <c r="E92" s="376" t="s">
        <v>374</v>
      </c>
      <c r="F92" s="86" t="s">
        <v>142</v>
      </c>
      <c r="G92" s="59">
        <f>'dod3'!E98</f>
        <v>24359700</v>
      </c>
      <c r="H92" s="59">
        <f>'dod3'!J98</f>
        <v>505800</v>
      </c>
      <c r="I92" s="59">
        <f t="shared" ref="I92:I136" si="9">G92+H92</f>
        <v>24865500</v>
      </c>
    </row>
    <row r="93" spans="2:9" ht="45">
      <c r="B93" s="63" t="s">
        <v>696</v>
      </c>
      <c r="C93" s="63" t="s">
        <v>700</v>
      </c>
      <c r="D93" s="63" t="s">
        <v>373</v>
      </c>
      <c r="E93" s="400" t="s">
        <v>702</v>
      </c>
      <c r="F93" s="228" t="s">
        <v>142</v>
      </c>
      <c r="G93" s="84">
        <f>'dod3'!E99</f>
        <v>3358400</v>
      </c>
      <c r="H93" s="84">
        <f>'dod3'!J99</f>
        <v>105800</v>
      </c>
      <c r="I93" s="84">
        <f t="shared" si="9"/>
        <v>3464200</v>
      </c>
    </row>
    <row r="94" spans="2:9" ht="45">
      <c r="B94" s="63" t="s">
        <v>697</v>
      </c>
      <c r="C94" s="63" t="s">
        <v>701</v>
      </c>
      <c r="D94" s="63" t="s">
        <v>373</v>
      </c>
      <c r="E94" s="400" t="s">
        <v>703</v>
      </c>
      <c r="F94" s="228" t="s">
        <v>142</v>
      </c>
      <c r="G94" s="84">
        <f>'dod3'!E100-G95</f>
        <v>18059450</v>
      </c>
      <c r="H94" s="84">
        <f>'dod3'!J100-H95</f>
        <v>100000</v>
      </c>
      <c r="I94" s="84">
        <f t="shared" si="9"/>
        <v>18159450</v>
      </c>
    </row>
    <row r="95" spans="2:9" ht="45">
      <c r="B95" s="63" t="s">
        <v>697</v>
      </c>
      <c r="C95" s="63" t="s">
        <v>701</v>
      </c>
      <c r="D95" s="63" t="s">
        <v>373</v>
      </c>
      <c r="E95" s="400" t="s">
        <v>703</v>
      </c>
      <c r="F95" s="228" t="s">
        <v>861</v>
      </c>
      <c r="G95" s="84">
        <f>1000000+500000+104400+640730+396720+180000+120000</f>
        <v>2941850</v>
      </c>
      <c r="H95" s="84">
        <v>300000</v>
      </c>
      <c r="I95" s="84">
        <f t="shared" si="9"/>
        <v>3241850</v>
      </c>
    </row>
    <row r="96" spans="2:9" ht="45">
      <c r="B96" s="542" t="s">
        <v>855</v>
      </c>
      <c r="C96" s="542" t="s">
        <v>720</v>
      </c>
      <c r="D96" s="542"/>
      <c r="E96" s="542" t="s">
        <v>856</v>
      </c>
      <c r="F96" s="86" t="s">
        <v>860</v>
      </c>
      <c r="G96" s="59">
        <f>G97</f>
        <v>0</v>
      </c>
      <c r="H96" s="59">
        <f>H97</f>
        <v>2500000</v>
      </c>
      <c r="I96" s="59">
        <f t="shared" si="9"/>
        <v>2500000</v>
      </c>
    </row>
    <row r="97" spans="1:9" ht="45">
      <c r="B97" s="63" t="s">
        <v>859</v>
      </c>
      <c r="C97" s="63" t="s">
        <v>857</v>
      </c>
      <c r="D97" s="63" t="s">
        <v>722</v>
      </c>
      <c r="E97" s="400" t="s">
        <v>858</v>
      </c>
      <c r="F97" s="228" t="s">
        <v>861</v>
      </c>
      <c r="G97" s="84">
        <f>'dod3'!E102</f>
        <v>0</v>
      </c>
      <c r="H97" s="84">
        <f>'dod3'!O102</f>
        <v>2500000</v>
      </c>
      <c r="I97" s="84">
        <f t="shared" si="9"/>
        <v>2500000</v>
      </c>
    </row>
    <row r="98" spans="1:9" ht="30">
      <c r="B98" s="481">
        <v>1000000</v>
      </c>
      <c r="C98" s="481"/>
      <c r="D98" s="481"/>
      <c r="E98" s="459" t="s">
        <v>68</v>
      </c>
      <c r="F98" s="477"/>
      <c r="G98" s="458">
        <f>G99</f>
        <v>72111900</v>
      </c>
      <c r="H98" s="458">
        <f>H99</f>
        <v>15521220</v>
      </c>
      <c r="I98" s="458">
        <f t="shared" si="9"/>
        <v>87633120</v>
      </c>
    </row>
    <row r="99" spans="1:9" ht="28.5">
      <c r="B99" s="482">
        <v>1010000</v>
      </c>
      <c r="C99" s="482"/>
      <c r="D99" s="482"/>
      <c r="E99" s="476" t="s">
        <v>96</v>
      </c>
      <c r="F99" s="477"/>
      <c r="G99" s="462">
        <f>SUM(G100:G111)-G107-G108-G109-G111+G112-G110</f>
        <v>72111900</v>
      </c>
      <c r="H99" s="462">
        <f>SUM(H100:H111)-H107-H108-H109-H111+H112-H110</f>
        <v>15521220</v>
      </c>
      <c r="I99" s="462">
        <f t="shared" ref="I99:I112" si="10">G99+H99</f>
        <v>87633120</v>
      </c>
    </row>
    <row r="100" spans="1:9" ht="60">
      <c r="B100" s="542" t="s">
        <v>49</v>
      </c>
      <c r="C100" s="542" t="s">
        <v>353</v>
      </c>
      <c r="D100" s="542" t="s">
        <v>354</v>
      </c>
      <c r="E100" s="542" t="s">
        <v>352</v>
      </c>
      <c r="F100" s="58" t="s">
        <v>28</v>
      </c>
      <c r="G100" s="59">
        <f>'dod3'!E105</f>
        <v>41628400</v>
      </c>
      <c r="H100" s="59">
        <f>'dod3'!J105</f>
        <v>7724100</v>
      </c>
      <c r="I100" s="59">
        <f>G100+H100</f>
        <v>49352500</v>
      </c>
    </row>
    <row r="101" spans="1:9" ht="60">
      <c r="A101" s="34"/>
      <c r="B101" s="542" t="s">
        <v>335</v>
      </c>
      <c r="C101" s="542" t="s">
        <v>336</v>
      </c>
      <c r="D101" s="542" t="s">
        <v>340</v>
      </c>
      <c r="E101" s="542" t="s">
        <v>341</v>
      </c>
      <c r="F101" s="58" t="s">
        <v>28</v>
      </c>
      <c r="G101" s="59">
        <f>'dod3'!E106</f>
        <v>623000</v>
      </c>
      <c r="H101" s="59">
        <f>'dod3'!J106</f>
        <v>0</v>
      </c>
      <c r="I101" s="59">
        <f t="shared" si="10"/>
        <v>623000</v>
      </c>
    </row>
    <row r="102" spans="1:9" ht="60">
      <c r="A102" s="34"/>
      <c r="B102" s="542" t="s">
        <v>342</v>
      </c>
      <c r="C102" s="542" t="s">
        <v>343</v>
      </c>
      <c r="D102" s="542" t="s">
        <v>344</v>
      </c>
      <c r="E102" s="542" t="s">
        <v>345</v>
      </c>
      <c r="F102" s="58" t="s">
        <v>28</v>
      </c>
      <c r="G102" s="59">
        <f>'dod3'!E107</f>
        <v>7110500</v>
      </c>
      <c r="H102" s="59">
        <f>'dod3'!J107</f>
        <v>610000</v>
      </c>
      <c r="I102" s="59">
        <f t="shared" si="10"/>
        <v>7720500</v>
      </c>
    </row>
    <row r="103" spans="1:9" ht="60">
      <c r="A103" s="34"/>
      <c r="B103" s="542" t="s">
        <v>346</v>
      </c>
      <c r="C103" s="542" t="s">
        <v>347</v>
      </c>
      <c r="D103" s="542" t="s">
        <v>344</v>
      </c>
      <c r="E103" s="542" t="s">
        <v>348</v>
      </c>
      <c r="F103" s="58" t="s">
        <v>28</v>
      </c>
      <c r="G103" s="59">
        <f>'dod3'!E108</f>
        <v>1097900</v>
      </c>
      <c r="H103" s="59">
        <f>'dod3'!J108</f>
        <v>3492820</v>
      </c>
      <c r="I103" s="59">
        <f t="shared" si="10"/>
        <v>4590720</v>
      </c>
    </row>
    <row r="104" spans="1:9" ht="60">
      <c r="A104" s="34"/>
      <c r="B104" s="542" t="s">
        <v>349</v>
      </c>
      <c r="C104" s="542" t="s">
        <v>337</v>
      </c>
      <c r="D104" s="542" t="s">
        <v>350</v>
      </c>
      <c r="E104" s="542" t="s">
        <v>351</v>
      </c>
      <c r="F104" s="58" t="s">
        <v>28</v>
      </c>
      <c r="G104" s="59">
        <f>'dod3'!E109</f>
        <v>5268100</v>
      </c>
      <c r="H104" s="59">
        <f>'dod3'!J109</f>
        <v>3520000</v>
      </c>
      <c r="I104" s="59">
        <f t="shared" si="10"/>
        <v>8788100</v>
      </c>
    </row>
    <row r="105" spans="1:9" ht="60">
      <c r="A105" s="34"/>
      <c r="B105" s="542" t="s">
        <v>835</v>
      </c>
      <c r="C105" s="542" t="s">
        <v>836</v>
      </c>
      <c r="D105" s="542" t="s">
        <v>837</v>
      </c>
      <c r="E105" s="542" t="s">
        <v>834</v>
      </c>
      <c r="F105" s="58" t="s">
        <v>28</v>
      </c>
      <c r="G105" s="59">
        <f>'dod3'!E110</f>
        <v>60000</v>
      </c>
      <c r="H105" s="59">
        <f>'dod3'!J110</f>
        <v>0</v>
      </c>
      <c r="I105" s="59">
        <f t="shared" si="10"/>
        <v>60000</v>
      </c>
    </row>
    <row r="106" spans="1:9" ht="15">
      <c r="A106" s="34"/>
      <c r="B106" s="542" t="s">
        <v>356</v>
      </c>
      <c r="C106" s="542" t="s">
        <v>357</v>
      </c>
      <c r="D106" s="542"/>
      <c r="E106" s="542" t="s">
        <v>355</v>
      </c>
      <c r="F106" s="58"/>
      <c r="G106" s="59">
        <f>'dod3'!E111</f>
        <v>16324000</v>
      </c>
      <c r="H106" s="59">
        <f>'dod3'!J111</f>
        <v>147300</v>
      </c>
      <c r="I106" s="59">
        <f t="shared" si="10"/>
        <v>16471300</v>
      </c>
    </row>
    <row r="107" spans="1:9" ht="37.5" customHeight="1">
      <c r="A107" s="34"/>
      <c r="B107" s="63" t="s">
        <v>705</v>
      </c>
      <c r="C107" s="63" t="s">
        <v>706</v>
      </c>
      <c r="D107" s="63" t="s">
        <v>358</v>
      </c>
      <c r="E107" s="63" t="s">
        <v>704</v>
      </c>
      <c r="F107" s="228" t="s">
        <v>77</v>
      </c>
      <c r="G107" s="84">
        <v>231000</v>
      </c>
      <c r="H107" s="84">
        <v>0</v>
      </c>
      <c r="I107" s="84">
        <f t="shared" si="10"/>
        <v>231000</v>
      </c>
    </row>
    <row r="108" spans="1:9" ht="60">
      <c r="A108" s="34"/>
      <c r="B108" s="63" t="s">
        <v>705</v>
      </c>
      <c r="C108" s="63" t="s">
        <v>706</v>
      </c>
      <c r="D108" s="63" t="s">
        <v>358</v>
      </c>
      <c r="E108" s="63" t="s">
        <v>704</v>
      </c>
      <c r="F108" s="228" t="s">
        <v>28</v>
      </c>
      <c r="G108" s="84">
        <f>'dod3'!E112-'dod8'!G107</f>
        <v>11358000</v>
      </c>
      <c r="H108" s="84">
        <f>'dod3'!J112-'dod8'!H107</f>
        <v>147300</v>
      </c>
      <c r="I108" s="84">
        <f t="shared" si="10"/>
        <v>11505300</v>
      </c>
    </row>
    <row r="109" spans="1:9" ht="35.25" customHeight="1">
      <c r="A109" s="34"/>
      <c r="B109" s="63" t="s">
        <v>707</v>
      </c>
      <c r="C109" s="63" t="s">
        <v>708</v>
      </c>
      <c r="D109" s="63" t="s">
        <v>358</v>
      </c>
      <c r="E109" s="63" t="s">
        <v>709</v>
      </c>
      <c r="F109" s="228" t="s">
        <v>77</v>
      </c>
      <c r="G109" s="84">
        <v>211200</v>
      </c>
      <c r="H109" s="84">
        <v>0</v>
      </c>
      <c r="I109" s="84">
        <f t="shared" si="10"/>
        <v>211200</v>
      </c>
    </row>
    <row r="110" spans="1:9" ht="75">
      <c r="A110" s="34"/>
      <c r="B110" s="63" t="s">
        <v>707</v>
      </c>
      <c r="C110" s="63" t="s">
        <v>708</v>
      </c>
      <c r="D110" s="63" t="s">
        <v>358</v>
      </c>
      <c r="E110" s="63" t="s">
        <v>709</v>
      </c>
      <c r="F110" s="228" t="s">
        <v>840</v>
      </c>
      <c r="G110" s="84">
        <v>235000</v>
      </c>
      <c r="H110" s="84"/>
      <c r="I110" s="84">
        <f t="shared" si="10"/>
        <v>235000</v>
      </c>
    </row>
    <row r="111" spans="1:9" ht="62.25" customHeight="1">
      <c r="A111" s="34"/>
      <c r="B111" s="63" t="s">
        <v>707</v>
      </c>
      <c r="C111" s="63" t="s">
        <v>708</v>
      </c>
      <c r="D111" s="63" t="s">
        <v>358</v>
      </c>
      <c r="E111" s="63" t="s">
        <v>709</v>
      </c>
      <c r="F111" s="228" t="s">
        <v>28</v>
      </c>
      <c r="G111" s="84">
        <f>'dod3'!E113-'dod8'!G109-G110</f>
        <v>4288800</v>
      </c>
      <c r="H111" s="84">
        <f>'dod3'!J113-'dod8'!H109</f>
        <v>0</v>
      </c>
      <c r="I111" s="84">
        <f t="shared" si="10"/>
        <v>4288800</v>
      </c>
    </row>
    <row r="112" spans="1:9" ht="60">
      <c r="A112" s="34"/>
      <c r="B112" s="542" t="s">
        <v>839</v>
      </c>
      <c r="C112" s="542" t="s">
        <v>383</v>
      </c>
      <c r="D112" s="542" t="s">
        <v>334</v>
      </c>
      <c r="E112" s="542" t="s">
        <v>838</v>
      </c>
      <c r="F112" s="58" t="s">
        <v>28</v>
      </c>
      <c r="G112" s="59">
        <f>'dod3'!E114</f>
        <v>0</v>
      </c>
      <c r="H112" s="59">
        <f>'dod3'!J114</f>
        <v>27000</v>
      </c>
      <c r="I112" s="59">
        <f t="shared" si="10"/>
        <v>27000</v>
      </c>
    </row>
    <row r="113" spans="1:9" ht="30">
      <c r="A113" s="34"/>
      <c r="B113" s="459" t="s">
        <v>65</v>
      </c>
      <c r="C113" s="459"/>
      <c r="D113" s="459"/>
      <c r="E113" s="459" t="s">
        <v>66</v>
      </c>
      <c r="F113" s="461"/>
      <c r="G113" s="474">
        <f>G114</f>
        <v>37582757</v>
      </c>
      <c r="H113" s="474">
        <f>H114</f>
        <v>8180728.3200000003</v>
      </c>
      <c r="I113" s="474">
        <f t="shared" si="9"/>
        <v>45763485.32</v>
      </c>
    </row>
    <row r="114" spans="1:9" ht="28.5">
      <c r="A114" s="34"/>
      <c r="B114" s="476" t="s">
        <v>64</v>
      </c>
      <c r="C114" s="476"/>
      <c r="D114" s="476"/>
      <c r="E114" s="476" t="s">
        <v>92</v>
      </c>
      <c r="F114" s="461"/>
      <c r="G114" s="475">
        <f>G115+G117+G121+G124+G126+G129+G134+G132+G135</f>
        <v>37582757</v>
      </c>
      <c r="H114" s="475">
        <f>H115+H117+H121+H124+H126+H129+H134+H135</f>
        <v>8180728.3200000003</v>
      </c>
      <c r="I114" s="475">
        <f t="shared" si="9"/>
        <v>45763485.32</v>
      </c>
    </row>
    <row r="115" spans="1:9" ht="45">
      <c r="A115" s="34"/>
      <c r="B115" s="287" t="s">
        <v>359</v>
      </c>
      <c r="C115" s="287" t="s">
        <v>360</v>
      </c>
      <c r="D115" s="287"/>
      <c r="E115" s="287" t="s">
        <v>109</v>
      </c>
      <c r="F115" s="58" t="s">
        <v>146</v>
      </c>
      <c r="G115" s="83">
        <f>G116</f>
        <v>2670218</v>
      </c>
      <c r="H115" s="83">
        <f>H116</f>
        <v>153092</v>
      </c>
      <c r="I115" s="83">
        <f t="shared" si="9"/>
        <v>2823310</v>
      </c>
    </row>
    <row r="116" spans="1:9" ht="60">
      <c r="A116" s="34"/>
      <c r="B116" s="63" t="s">
        <v>361</v>
      </c>
      <c r="C116" s="63" t="s">
        <v>362</v>
      </c>
      <c r="D116" s="63" t="s">
        <v>363</v>
      </c>
      <c r="E116" s="63" t="s">
        <v>364</v>
      </c>
      <c r="F116" s="74" t="s">
        <v>146</v>
      </c>
      <c r="G116" s="82">
        <f>'dod3'!E118</f>
        <v>2670218</v>
      </c>
      <c r="H116" s="82">
        <f>'dod3'!J118</f>
        <v>153092</v>
      </c>
      <c r="I116" s="82">
        <f t="shared" si="9"/>
        <v>2823310</v>
      </c>
    </row>
    <row r="117" spans="1:9" ht="45">
      <c r="A117" s="34"/>
      <c r="B117" s="287" t="s">
        <v>108</v>
      </c>
      <c r="C117" s="287" t="s">
        <v>338</v>
      </c>
      <c r="D117" s="287"/>
      <c r="E117" s="287" t="s">
        <v>78</v>
      </c>
      <c r="F117" s="58" t="s">
        <v>146</v>
      </c>
      <c r="G117" s="83">
        <f>G118+G119+G120</f>
        <v>4380097</v>
      </c>
      <c r="H117" s="83">
        <f>H118+H119+H120</f>
        <v>956872</v>
      </c>
      <c r="I117" s="83">
        <f t="shared" si="9"/>
        <v>5336969</v>
      </c>
    </row>
    <row r="118" spans="1:9" ht="60">
      <c r="A118" s="34"/>
      <c r="B118" s="63" t="s">
        <v>107</v>
      </c>
      <c r="C118" s="63" t="s">
        <v>339</v>
      </c>
      <c r="D118" s="63" t="s">
        <v>363</v>
      </c>
      <c r="E118" s="63" t="s">
        <v>33</v>
      </c>
      <c r="F118" s="74" t="s">
        <v>146</v>
      </c>
      <c r="G118" s="82">
        <f>'dod3'!E120</f>
        <v>769000</v>
      </c>
      <c r="H118" s="82">
        <f>'dod3'!J120</f>
        <v>0</v>
      </c>
      <c r="I118" s="82">
        <f t="shared" si="9"/>
        <v>769000</v>
      </c>
    </row>
    <row r="119" spans="1:9" ht="60">
      <c r="A119" s="34"/>
      <c r="B119" s="63" t="s">
        <v>370</v>
      </c>
      <c r="C119" s="63" t="s">
        <v>371</v>
      </c>
      <c r="D119" s="63" t="s">
        <v>363</v>
      </c>
      <c r="E119" s="63" t="s">
        <v>34</v>
      </c>
      <c r="F119" s="74" t="s">
        <v>146</v>
      </c>
      <c r="G119" s="82">
        <f>'dod3'!E121</f>
        <v>2850097</v>
      </c>
      <c r="H119" s="82">
        <f>'dod3'!J121</f>
        <v>956872</v>
      </c>
      <c r="I119" s="82">
        <f t="shared" si="9"/>
        <v>3806969</v>
      </c>
    </row>
    <row r="120" spans="1:9" ht="60">
      <c r="A120" s="34"/>
      <c r="B120" s="63" t="s">
        <v>780</v>
      </c>
      <c r="C120" s="63" t="s">
        <v>781</v>
      </c>
      <c r="D120" s="63" t="s">
        <v>363</v>
      </c>
      <c r="E120" s="63" t="s">
        <v>782</v>
      </c>
      <c r="F120" s="74" t="s">
        <v>146</v>
      </c>
      <c r="G120" s="82">
        <f>'dod3'!E122</f>
        <v>761000</v>
      </c>
      <c r="H120" s="82">
        <f>'dod3'!J122</f>
        <v>0</v>
      </c>
      <c r="I120" s="82">
        <f t="shared" si="9"/>
        <v>761000</v>
      </c>
    </row>
    <row r="121" spans="1:9" ht="45">
      <c r="A121" s="34"/>
      <c r="B121" s="51" t="s">
        <v>110</v>
      </c>
      <c r="C121" s="51" t="s">
        <v>365</v>
      </c>
      <c r="D121" s="51"/>
      <c r="E121" s="51" t="s">
        <v>111</v>
      </c>
      <c r="F121" s="58" t="s">
        <v>146</v>
      </c>
      <c r="G121" s="83">
        <f>G122+G123</f>
        <v>9297100</v>
      </c>
      <c r="H121" s="83">
        <f>H122+H123</f>
        <v>0</v>
      </c>
      <c r="I121" s="83">
        <f t="shared" si="9"/>
        <v>9297100</v>
      </c>
    </row>
    <row r="122" spans="1:9" ht="60">
      <c r="A122" s="34"/>
      <c r="B122" s="63" t="s">
        <v>112</v>
      </c>
      <c r="C122" s="63" t="s">
        <v>366</v>
      </c>
      <c r="D122" s="63" t="s">
        <v>380</v>
      </c>
      <c r="E122" s="63" t="s">
        <v>113</v>
      </c>
      <c r="F122" s="74" t="s">
        <v>146</v>
      </c>
      <c r="G122" s="82">
        <f>'dod3'!E124</f>
        <v>7759900</v>
      </c>
      <c r="H122" s="82">
        <f>'dod3'!J124</f>
        <v>0</v>
      </c>
      <c r="I122" s="82">
        <f t="shared" si="9"/>
        <v>7759900</v>
      </c>
    </row>
    <row r="123" spans="1:9" ht="60">
      <c r="A123" s="34"/>
      <c r="B123" s="63" t="s">
        <v>114</v>
      </c>
      <c r="C123" s="63" t="s">
        <v>367</v>
      </c>
      <c r="D123" s="63" t="s">
        <v>380</v>
      </c>
      <c r="E123" s="63" t="s">
        <v>11</v>
      </c>
      <c r="F123" s="74" t="s">
        <v>146</v>
      </c>
      <c r="G123" s="82">
        <f>'dod3'!E125</f>
        <v>1537200</v>
      </c>
      <c r="H123" s="82">
        <f>'dod3'!J125</f>
        <v>0</v>
      </c>
      <c r="I123" s="82">
        <f t="shared" si="9"/>
        <v>1537200</v>
      </c>
    </row>
    <row r="124" spans="1:9" ht="71.25" customHeight="1">
      <c r="A124" s="34"/>
      <c r="B124" s="287" t="s">
        <v>115</v>
      </c>
      <c r="C124" s="287" t="s">
        <v>368</v>
      </c>
      <c r="D124" s="287"/>
      <c r="E124" s="376" t="s">
        <v>771</v>
      </c>
      <c r="F124" s="86" t="s">
        <v>146</v>
      </c>
      <c r="G124" s="83">
        <f>G125</f>
        <v>11500</v>
      </c>
      <c r="H124" s="83">
        <f>H125</f>
        <v>0</v>
      </c>
      <c r="I124" s="83">
        <f t="shared" si="9"/>
        <v>11500</v>
      </c>
    </row>
    <row r="125" spans="1:9" ht="60">
      <c r="A125" s="34"/>
      <c r="B125" s="63" t="s">
        <v>116</v>
      </c>
      <c r="C125" s="63" t="s">
        <v>369</v>
      </c>
      <c r="D125" s="63" t="s">
        <v>380</v>
      </c>
      <c r="E125" s="63" t="s">
        <v>772</v>
      </c>
      <c r="F125" s="228" t="s">
        <v>146</v>
      </c>
      <c r="G125" s="82">
        <f>'dod3'!E127</f>
        <v>11500</v>
      </c>
      <c r="H125" s="82">
        <f>'dod3'!J127</f>
        <v>0</v>
      </c>
      <c r="I125" s="82">
        <f t="shared" si="9"/>
        <v>11500</v>
      </c>
    </row>
    <row r="126" spans="1:9" ht="66" customHeight="1">
      <c r="A126" s="34"/>
      <c r="B126" s="287" t="s">
        <v>80</v>
      </c>
      <c r="C126" s="287" t="s">
        <v>375</v>
      </c>
      <c r="D126" s="287"/>
      <c r="E126" s="376" t="s">
        <v>81</v>
      </c>
      <c r="F126" s="86" t="s">
        <v>146</v>
      </c>
      <c r="G126" s="83">
        <f>G127+G128</f>
        <v>19741364</v>
      </c>
      <c r="H126" s="83">
        <f>H127+H128</f>
        <v>4286364.32</v>
      </c>
      <c r="I126" s="83">
        <f t="shared" si="9"/>
        <v>24027728.32</v>
      </c>
    </row>
    <row r="127" spans="1:9" ht="60">
      <c r="A127" s="34"/>
      <c r="B127" s="63" t="s">
        <v>79</v>
      </c>
      <c r="C127" s="63" t="s">
        <v>376</v>
      </c>
      <c r="D127" s="63" t="s">
        <v>380</v>
      </c>
      <c r="E127" s="63" t="s">
        <v>117</v>
      </c>
      <c r="F127" s="74" t="s">
        <v>146</v>
      </c>
      <c r="G127" s="82">
        <f>'dod3'!E129</f>
        <v>16018778</v>
      </c>
      <c r="H127" s="82">
        <f>'dod3'!J129</f>
        <v>4286364.32</v>
      </c>
      <c r="I127" s="82">
        <f t="shared" si="9"/>
        <v>20305142.32</v>
      </c>
    </row>
    <row r="128" spans="1:9" ht="60">
      <c r="A128" s="34"/>
      <c r="B128" s="63" t="s">
        <v>82</v>
      </c>
      <c r="C128" s="63" t="s">
        <v>377</v>
      </c>
      <c r="D128" s="63" t="s">
        <v>380</v>
      </c>
      <c r="E128" s="63" t="s">
        <v>118</v>
      </c>
      <c r="F128" s="74" t="s">
        <v>146</v>
      </c>
      <c r="G128" s="82">
        <f>'dod3'!E130</f>
        <v>3722586</v>
      </c>
      <c r="H128" s="82">
        <f>'dod3'!J130</f>
        <v>0</v>
      </c>
      <c r="I128" s="82">
        <f t="shared" si="9"/>
        <v>3722586</v>
      </c>
    </row>
    <row r="129" spans="1:9" ht="60.75" customHeight="1">
      <c r="A129" s="34"/>
      <c r="B129" s="542" t="s">
        <v>119</v>
      </c>
      <c r="C129" s="542" t="s">
        <v>378</v>
      </c>
      <c r="D129" s="542"/>
      <c r="E129" s="542" t="s">
        <v>83</v>
      </c>
      <c r="F129" s="58" t="s">
        <v>146</v>
      </c>
      <c r="G129" s="83">
        <f>G130+G131</f>
        <v>1471558</v>
      </c>
      <c r="H129" s="83">
        <f>H130+H131</f>
        <v>102400</v>
      </c>
      <c r="I129" s="83">
        <f t="shared" si="9"/>
        <v>1573958</v>
      </c>
    </row>
    <row r="130" spans="1:9" ht="60">
      <c r="A130" s="34"/>
      <c r="B130" s="269" t="s">
        <v>84</v>
      </c>
      <c r="C130" s="269" t="s">
        <v>379</v>
      </c>
      <c r="D130" s="269" t="s">
        <v>380</v>
      </c>
      <c r="E130" s="63" t="s">
        <v>85</v>
      </c>
      <c r="F130" s="74" t="s">
        <v>146</v>
      </c>
      <c r="G130" s="82">
        <f>'dod3'!E132</f>
        <v>557400</v>
      </c>
      <c r="H130" s="82">
        <f>'dod3'!J132</f>
        <v>0</v>
      </c>
      <c r="I130" s="82">
        <f t="shared" si="9"/>
        <v>557400</v>
      </c>
    </row>
    <row r="131" spans="1:9" ht="60">
      <c r="A131" s="34"/>
      <c r="B131" s="269" t="s">
        <v>86</v>
      </c>
      <c r="C131" s="269" t="s">
        <v>381</v>
      </c>
      <c r="D131" s="269" t="s">
        <v>380</v>
      </c>
      <c r="E131" s="63" t="s">
        <v>87</v>
      </c>
      <c r="F131" s="74" t="s">
        <v>146</v>
      </c>
      <c r="G131" s="82">
        <f>'dod3'!E133</f>
        <v>914158</v>
      </c>
      <c r="H131" s="82">
        <f>'dod3'!J133</f>
        <v>102400</v>
      </c>
      <c r="I131" s="82">
        <f t="shared" si="9"/>
        <v>1016558</v>
      </c>
    </row>
    <row r="132" spans="1:9" ht="45">
      <c r="A132" s="34"/>
      <c r="B132" s="288" t="s">
        <v>718</v>
      </c>
      <c r="C132" s="288" t="s">
        <v>720</v>
      </c>
      <c r="D132" s="288"/>
      <c r="E132" s="542" t="s">
        <v>719</v>
      </c>
      <c r="F132" s="58" t="s">
        <v>146</v>
      </c>
      <c r="G132" s="83">
        <f>'dod3'!E134</f>
        <v>10920</v>
      </c>
      <c r="H132" s="83">
        <f>'dod3'!J134</f>
        <v>0</v>
      </c>
      <c r="I132" s="83">
        <f t="shared" si="9"/>
        <v>10920</v>
      </c>
    </row>
    <row r="133" spans="1:9" ht="60">
      <c r="A133" s="34"/>
      <c r="B133" s="269" t="s">
        <v>724</v>
      </c>
      <c r="C133" s="269" t="s">
        <v>723</v>
      </c>
      <c r="D133" s="269" t="s">
        <v>722</v>
      </c>
      <c r="E133" s="63" t="s">
        <v>721</v>
      </c>
      <c r="F133" s="74" t="s">
        <v>146</v>
      </c>
      <c r="G133" s="82">
        <f>'dod3'!E135</f>
        <v>10920</v>
      </c>
      <c r="H133" s="490">
        <f>'dod3'!J135</f>
        <v>0</v>
      </c>
      <c r="I133" s="82">
        <f t="shared" si="9"/>
        <v>10920</v>
      </c>
    </row>
    <row r="134" spans="1:9" ht="60">
      <c r="A134" s="34"/>
      <c r="B134" s="288" t="s">
        <v>382</v>
      </c>
      <c r="C134" s="288" t="s">
        <v>383</v>
      </c>
      <c r="D134" s="288" t="s">
        <v>334</v>
      </c>
      <c r="E134" s="376" t="s">
        <v>91</v>
      </c>
      <c r="F134" s="74" t="s">
        <v>146</v>
      </c>
      <c r="G134" s="83">
        <f>'dod3'!E136</f>
        <v>0</v>
      </c>
      <c r="H134" s="83">
        <f>'dod3'!J136</f>
        <v>2500000</v>
      </c>
      <c r="I134" s="83">
        <f t="shared" si="9"/>
        <v>2500000</v>
      </c>
    </row>
    <row r="135" spans="1:9" ht="45">
      <c r="A135" s="34"/>
      <c r="B135" s="189" t="s">
        <v>812</v>
      </c>
      <c r="C135" s="189" t="s">
        <v>813</v>
      </c>
      <c r="D135" s="189"/>
      <c r="E135" s="46" t="s">
        <v>811</v>
      </c>
      <c r="F135" s="58" t="s">
        <v>146</v>
      </c>
      <c r="G135" s="83">
        <f>G136</f>
        <v>0</v>
      </c>
      <c r="H135" s="83">
        <f>H136</f>
        <v>182000</v>
      </c>
      <c r="I135" s="83">
        <f t="shared" si="9"/>
        <v>182000</v>
      </c>
    </row>
    <row r="136" spans="1:9" ht="60">
      <c r="A136" s="34"/>
      <c r="B136" s="190" t="s">
        <v>814</v>
      </c>
      <c r="C136" s="190" t="s">
        <v>816</v>
      </c>
      <c r="D136" s="190" t="s">
        <v>120</v>
      </c>
      <c r="E136" s="61" t="s">
        <v>384</v>
      </c>
      <c r="F136" s="74" t="s">
        <v>146</v>
      </c>
      <c r="G136" s="83">
        <f>'dod4'!F12</f>
        <v>0</v>
      </c>
      <c r="H136" s="82">
        <f>'dod4'!G12</f>
        <v>182000</v>
      </c>
      <c r="I136" s="82">
        <f t="shared" si="9"/>
        <v>182000</v>
      </c>
    </row>
    <row r="137" spans="1:9" ht="45">
      <c r="A137" s="34"/>
      <c r="B137" s="459" t="s">
        <v>320</v>
      </c>
      <c r="C137" s="459"/>
      <c r="D137" s="459"/>
      <c r="E137" s="459" t="s">
        <v>67</v>
      </c>
      <c r="F137" s="532"/>
      <c r="G137" s="474">
        <f>G138</f>
        <v>170547835</v>
      </c>
      <c r="H137" s="474">
        <f>H138</f>
        <v>231052144.09</v>
      </c>
      <c r="I137" s="474">
        <f>I138</f>
        <v>401599979.09000003</v>
      </c>
    </row>
    <row r="138" spans="1:9" ht="42.75">
      <c r="A138" s="34"/>
      <c r="B138" s="476" t="s">
        <v>321</v>
      </c>
      <c r="C138" s="459"/>
      <c r="D138" s="459"/>
      <c r="E138" s="476" t="s">
        <v>97</v>
      </c>
      <c r="F138" s="532"/>
      <c r="G138" s="488">
        <f>G139+G144+G145+G147+G149+G151+G153+G154+G155+G156+G146</f>
        <v>170547835</v>
      </c>
      <c r="H138" s="488">
        <f>H139+H144+H145+H147+H148+H149+H151+H153+H154+H155+H156</f>
        <v>231052144.09</v>
      </c>
      <c r="I138" s="475">
        <f>G138+H138</f>
        <v>401599979.09000003</v>
      </c>
    </row>
    <row r="139" spans="1:9" ht="30">
      <c r="A139" s="34"/>
      <c r="B139" s="334" t="s">
        <v>538</v>
      </c>
      <c r="C139" s="334" t="s">
        <v>539</v>
      </c>
      <c r="D139" s="334"/>
      <c r="E139" s="334" t="s">
        <v>542</v>
      </c>
      <c r="F139" s="86"/>
      <c r="G139" s="68">
        <f>SUM(G140:G143)</f>
        <v>4482550</v>
      </c>
      <c r="H139" s="68">
        <f>SUM(H140:H143)</f>
        <v>45266500</v>
      </c>
      <c r="I139" s="83">
        <f t="shared" ref="I139:I156" si="11">G139+H139</f>
        <v>49749050</v>
      </c>
    </row>
    <row r="140" spans="1:9" ht="90">
      <c r="A140" s="34"/>
      <c r="B140" s="63" t="s">
        <v>540</v>
      </c>
      <c r="C140" s="63" t="s">
        <v>541</v>
      </c>
      <c r="D140" s="63" t="s">
        <v>544</v>
      </c>
      <c r="E140" s="63" t="s">
        <v>543</v>
      </c>
      <c r="F140" s="86" t="s">
        <v>649</v>
      </c>
      <c r="G140" s="355">
        <f>'dod3'!E140</f>
        <v>3937750</v>
      </c>
      <c r="H140" s="82">
        <f>'dod3'!J140</f>
        <v>4266500</v>
      </c>
      <c r="I140" s="82">
        <f>G140+H140</f>
        <v>8204250</v>
      </c>
    </row>
    <row r="141" spans="1:9" ht="45">
      <c r="A141" s="34"/>
      <c r="B141" s="63" t="s">
        <v>548</v>
      </c>
      <c r="C141" s="63" t="s">
        <v>549</v>
      </c>
      <c r="D141" s="63" t="s">
        <v>544</v>
      </c>
      <c r="E141" s="63" t="s">
        <v>550</v>
      </c>
      <c r="F141" s="86" t="s">
        <v>650</v>
      </c>
      <c r="G141" s="355">
        <f>'dod3'!E141</f>
        <v>484800</v>
      </c>
      <c r="H141" s="82">
        <f>'dod3'!J141</f>
        <v>0</v>
      </c>
      <c r="I141" s="82">
        <f t="shared" si="11"/>
        <v>484800</v>
      </c>
    </row>
    <row r="142" spans="1:9" ht="90">
      <c r="A142" s="34"/>
      <c r="B142" s="63" t="s">
        <v>579</v>
      </c>
      <c r="C142" s="63" t="s">
        <v>580</v>
      </c>
      <c r="D142" s="63" t="s">
        <v>544</v>
      </c>
      <c r="E142" s="63" t="s">
        <v>581</v>
      </c>
      <c r="F142" s="86" t="s">
        <v>649</v>
      </c>
      <c r="G142" s="355">
        <f>'dod3'!E142</f>
        <v>0</v>
      </c>
      <c r="H142" s="82">
        <f>'dod3'!J142</f>
        <v>5000000</v>
      </c>
      <c r="I142" s="82">
        <f t="shared" si="11"/>
        <v>5000000</v>
      </c>
    </row>
    <row r="143" spans="1:9" ht="90">
      <c r="A143" s="34"/>
      <c r="B143" s="63" t="s">
        <v>545</v>
      </c>
      <c r="C143" s="63" t="s">
        <v>546</v>
      </c>
      <c r="D143" s="63" t="s">
        <v>544</v>
      </c>
      <c r="E143" s="63" t="s">
        <v>547</v>
      </c>
      <c r="F143" s="86" t="s">
        <v>649</v>
      </c>
      <c r="G143" s="355">
        <f>'dod3'!E143</f>
        <v>60000</v>
      </c>
      <c r="H143" s="82">
        <f>'dod3'!J143</f>
        <v>36000000</v>
      </c>
      <c r="I143" s="82">
        <f t="shared" si="11"/>
        <v>36060000</v>
      </c>
    </row>
    <row r="144" spans="1:9" ht="45">
      <c r="A144" s="34"/>
      <c r="B144" s="334" t="s">
        <v>573</v>
      </c>
      <c r="C144" s="334" t="s">
        <v>574</v>
      </c>
      <c r="D144" s="334" t="s">
        <v>544</v>
      </c>
      <c r="E144" s="334" t="s">
        <v>575</v>
      </c>
      <c r="F144" s="86" t="s">
        <v>650</v>
      </c>
      <c r="G144" s="356">
        <f>'dod3'!E144</f>
        <v>7279201</v>
      </c>
      <c r="H144" s="83">
        <f>'dod3'!J144</f>
        <v>0</v>
      </c>
      <c r="I144" s="83">
        <f t="shared" si="11"/>
        <v>7279201</v>
      </c>
    </row>
    <row r="145" spans="1:9" ht="90">
      <c r="A145" s="34"/>
      <c r="B145" s="334" t="s">
        <v>551</v>
      </c>
      <c r="C145" s="334" t="s">
        <v>552</v>
      </c>
      <c r="D145" s="334" t="s">
        <v>544</v>
      </c>
      <c r="E145" s="334" t="s">
        <v>553</v>
      </c>
      <c r="F145" s="86" t="s">
        <v>649</v>
      </c>
      <c r="G145" s="356">
        <f>'dod3'!E145-G146</f>
        <v>92612572</v>
      </c>
      <c r="H145" s="83">
        <f>'dod3'!J145</f>
        <v>18877842</v>
      </c>
      <c r="I145" s="83">
        <f t="shared" si="11"/>
        <v>111490414</v>
      </c>
    </row>
    <row r="146" spans="1:9" ht="45">
      <c r="A146" s="34"/>
      <c r="B146" s="376" t="s">
        <v>551</v>
      </c>
      <c r="C146" s="376" t="s">
        <v>552</v>
      </c>
      <c r="D146" s="376" t="s">
        <v>544</v>
      </c>
      <c r="E146" s="376" t="s">
        <v>553</v>
      </c>
      <c r="F146" s="58" t="s">
        <v>660</v>
      </c>
      <c r="G146" s="356">
        <v>58434</v>
      </c>
      <c r="H146" s="83"/>
      <c r="I146" s="83">
        <f t="shared" si="11"/>
        <v>58434</v>
      </c>
    </row>
    <row r="147" spans="1:9" ht="90">
      <c r="A147" s="34"/>
      <c r="B147" s="334" t="s">
        <v>583</v>
      </c>
      <c r="C147" s="334" t="s">
        <v>584</v>
      </c>
      <c r="D147" s="334" t="s">
        <v>582</v>
      </c>
      <c r="E147" s="334" t="s">
        <v>609</v>
      </c>
      <c r="F147" s="86" t="s">
        <v>649</v>
      </c>
      <c r="G147" s="356">
        <f>'dod3'!E146</f>
        <v>0</v>
      </c>
      <c r="H147" s="83">
        <f>'dod3'!J146</f>
        <v>25000000</v>
      </c>
      <c r="I147" s="83">
        <f t="shared" si="11"/>
        <v>25000000</v>
      </c>
    </row>
    <row r="148" spans="1:9" ht="54" customHeight="1">
      <c r="A148" s="34"/>
      <c r="B148" s="376" t="s">
        <v>737</v>
      </c>
      <c r="C148" s="376" t="s">
        <v>621</v>
      </c>
      <c r="D148" s="376" t="s">
        <v>582</v>
      </c>
      <c r="E148" s="404" t="s">
        <v>740</v>
      </c>
      <c r="F148" s="86" t="s">
        <v>741</v>
      </c>
      <c r="G148" s="356">
        <v>0</v>
      </c>
      <c r="H148" s="83">
        <f>'dod3'!J147</f>
        <v>700000</v>
      </c>
      <c r="I148" s="83">
        <f t="shared" si="11"/>
        <v>700000</v>
      </c>
    </row>
    <row r="149" spans="1:9" ht="45">
      <c r="A149" s="34"/>
      <c r="B149" s="334" t="s">
        <v>555</v>
      </c>
      <c r="C149" s="334" t="s">
        <v>556</v>
      </c>
      <c r="D149" s="334"/>
      <c r="E149" s="334" t="s">
        <v>558</v>
      </c>
      <c r="F149" s="58" t="s">
        <v>651</v>
      </c>
      <c r="G149" s="68">
        <f>SUM(G150)</f>
        <v>15000000</v>
      </c>
      <c r="H149" s="68">
        <f>SUM(H150)</f>
        <v>0</v>
      </c>
      <c r="I149" s="83">
        <f t="shared" si="11"/>
        <v>15000000</v>
      </c>
    </row>
    <row r="150" spans="1:9" ht="45">
      <c r="A150" s="34"/>
      <c r="B150" s="63" t="s">
        <v>554</v>
      </c>
      <c r="C150" s="63" t="s">
        <v>557</v>
      </c>
      <c r="D150" s="63" t="s">
        <v>560</v>
      </c>
      <c r="E150" s="63" t="s">
        <v>559</v>
      </c>
      <c r="F150" s="74" t="s">
        <v>651</v>
      </c>
      <c r="G150" s="355">
        <f>'dod3'!E149</f>
        <v>15000000</v>
      </c>
      <c r="H150" s="82">
        <f>'dod3'!J149</f>
        <v>0</v>
      </c>
      <c r="I150" s="82">
        <f t="shared" si="11"/>
        <v>15000000</v>
      </c>
    </row>
    <row r="151" spans="1:9" ht="90">
      <c r="A151" s="34"/>
      <c r="B151" s="334" t="s">
        <v>561</v>
      </c>
      <c r="C151" s="334" t="s">
        <v>562</v>
      </c>
      <c r="D151" s="334"/>
      <c r="E151" s="334" t="s">
        <v>563</v>
      </c>
      <c r="F151" s="86" t="s">
        <v>649</v>
      </c>
      <c r="G151" s="68">
        <f>SUM(G152)</f>
        <v>48578600</v>
      </c>
      <c r="H151" s="68">
        <f>SUM(H152)</f>
        <v>83480433.090000004</v>
      </c>
      <c r="I151" s="83">
        <f t="shared" si="11"/>
        <v>132059033.09</v>
      </c>
    </row>
    <row r="152" spans="1:9" ht="105">
      <c r="A152" s="34"/>
      <c r="B152" s="63" t="s">
        <v>564</v>
      </c>
      <c r="C152" s="63" t="s">
        <v>565</v>
      </c>
      <c r="D152" s="63" t="s">
        <v>567</v>
      </c>
      <c r="E152" s="63" t="s">
        <v>566</v>
      </c>
      <c r="F152" s="228" t="s">
        <v>649</v>
      </c>
      <c r="G152" s="355">
        <f>'dod3'!E151</f>
        <v>48578600</v>
      </c>
      <c r="H152" s="82">
        <f>'dod3'!J151</f>
        <v>83480433.090000004</v>
      </c>
      <c r="I152" s="82">
        <f t="shared" si="11"/>
        <v>132059033.09</v>
      </c>
    </row>
    <row r="153" spans="1:9" ht="120">
      <c r="A153" s="34"/>
      <c r="B153" s="334" t="s">
        <v>568</v>
      </c>
      <c r="C153" s="334" t="s">
        <v>413</v>
      </c>
      <c r="D153" s="334" t="s">
        <v>414</v>
      </c>
      <c r="E153" s="334" t="s">
        <v>102</v>
      </c>
      <c r="F153" s="86" t="s">
        <v>731</v>
      </c>
      <c r="G153" s="356">
        <f>'dod3'!E152</f>
        <v>1118300</v>
      </c>
      <c r="H153" s="83">
        <f>'dod3'!J152</f>
        <v>3500000</v>
      </c>
      <c r="I153" s="83">
        <f t="shared" si="11"/>
        <v>4618300</v>
      </c>
    </row>
    <row r="154" spans="1:9" ht="90">
      <c r="A154" s="34"/>
      <c r="B154" s="334" t="s">
        <v>587</v>
      </c>
      <c r="C154" s="334" t="s">
        <v>383</v>
      </c>
      <c r="D154" s="334" t="s">
        <v>334</v>
      </c>
      <c r="E154" s="334" t="s">
        <v>91</v>
      </c>
      <c r="F154" s="86" t="s">
        <v>649</v>
      </c>
      <c r="G154" s="356">
        <f>'dod3'!E153</f>
        <v>0</v>
      </c>
      <c r="H154" s="83">
        <f>'dod3'!J153</f>
        <v>54219969</v>
      </c>
      <c r="I154" s="83">
        <f t="shared" si="11"/>
        <v>54219969</v>
      </c>
    </row>
    <row r="155" spans="1:9" ht="90">
      <c r="A155" s="34"/>
      <c r="B155" s="334" t="s">
        <v>569</v>
      </c>
      <c r="C155" s="334" t="s">
        <v>570</v>
      </c>
      <c r="D155" s="334" t="s">
        <v>500</v>
      </c>
      <c r="E155" s="376" t="s">
        <v>717</v>
      </c>
      <c r="F155" s="86" t="s">
        <v>649</v>
      </c>
      <c r="G155" s="356">
        <f>'dod3'!E154</f>
        <v>252990</v>
      </c>
      <c r="H155" s="83">
        <f>'dod3'!J154</f>
        <v>0</v>
      </c>
      <c r="I155" s="83">
        <f t="shared" si="11"/>
        <v>252990</v>
      </c>
    </row>
    <row r="156" spans="1:9" ht="105">
      <c r="A156" s="34"/>
      <c r="B156" s="307" t="s">
        <v>498</v>
      </c>
      <c r="C156" s="307" t="s">
        <v>499</v>
      </c>
      <c r="D156" s="307" t="s">
        <v>500</v>
      </c>
      <c r="E156" s="65" t="s">
        <v>497</v>
      </c>
      <c r="F156" s="58" t="s">
        <v>0</v>
      </c>
      <c r="G156" s="234">
        <f>'dod3'!E155</f>
        <v>1165188</v>
      </c>
      <c r="H156" s="234">
        <f>'dod3'!J155</f>
        <v>7400</v>
      </c>
      <c r="I156" s="83">
        <f t="shared" si="11"/>
        <v>1172588</v>
      </c>
    </row>
    <row r="157" spans="1:9" ht="60">
      <c r="A157" s="34"/>
      <c r="B157" s="459" t="s">
        <v>69</v>
      </c>
      <c r="C157" s="459"/>
      <c r="D157" s="459"/>
      <c r="E157" s="459" t="s">
        <v>71</v>
      </c>
      <c r="F157" s="459"/>
      <c r="G157" s="487">
        <f>G158</f>
        <v>0</v>
      </c>
      <c r="H157" s="487">
        <f>H158</f>
        <v>91200000</v>
      </c>
      <c r="I157" s="487">
        <f>I158</f>
        <v>91200000</v>
      </c>
    </row>
    <row r="158" spans="1:9" ht="57">
      <c r="A158" s="34"/>
      <c r="B158" s="476" t="s">
        <v>70</v>
      </c>
      <c r="C158" s="476"/>
      <c r="D158" s="476"/>
      <c r="E158" s="476" t="s">
        <v>76</v>
      </c>
      <c r="F158" s="476"/>
      <c r="G158" s="488">
        <f>G159+G162+G163</f>
        <v>0</v>
      </c>
      <c r="H158" s="488">
        <f>H159+H162+H163</f>
        <v>91200000</v>
      </c>
      <c r="I158" s="488">
        <f>G158+H158</f>
        <v>91200000</v>
      </c>
    </row>
    <row r="159" spans="1:9" ht="45">
      <c r="A159" s="34"/>
      <c r="B159" s="357" t="s">
        <v>611</v>
      </c>
      <c r="C159" s="357" t="s">
        <v>612</v>
      </c>
      <c r="D159" s="357"/>
      <c r="E159" s="357" t="s">
        <v>610</v>
      </c>
      <c r="F159" s="58" t="s">
        <v>608</v>
      </c>
      <c r="G159" s="72">
        <f>G160+G161</f>
        <v>0</v>
      </c>
      <c r="H159" s="72">
        <f>H160+H161</f>
        <v>59678000</v>
      </c>
      <c r="I159" s="83">
        <f t="shared" ref="I159:I163" si="12">G159+H159</f>
        <v>59678000</v>
      </c>
    </row>
    <row r="160" spans="1:9" ht="45">
      <c r="A160" s="34"/>
      <c r="B160" s="63" t="s">
        <v>614</v>
      </c>
      <c r="C160" s="63" t="s">
        <v>615</v>
      </c>
      <c r="D160" s="63" t="s">
        <v>582</v>
      </c>
      <c r="E160" s="63" t="s">
        <v>613</v>
      </c>
      <c r="F160" s="74" t="s">
        <v>608</v>
      </c>
      <c r="G160" s="71">
        <f>'dod3'!E159</f>
        <v>0</v>
      </c>
      <c r="H160" s="71">
        <f>'dod3'!J159</f>
        <v>54438000</v>
      </c>
      <c r="I160" s="82">
        <f t="shared" si="12"/>
        <v>54438000</v>
      </c>
    </row>
    <row r="161" spans="1:10" ht="45">
      <c r="A161" s="34"/>
      <c r="B161" s="63" t="s">
        <v>616</v>
      </c>
      <c r="C161" s="63" t="s">
        <v>617</v>
      </c>
      <c r="D161" s="63" t="s">
        <v>582</v>
      </c>
      <c r="E161" s="63" t="s">
        <v>618</v>
      </c>
      <c r="F161" s="74" t="s">
        <v>608</v>
      </c>
      <c r="G161" s="71">
        <f>'dod3'!E160</f>
        <v>0</v>
      </c>
      <c r="H161" s="71">
        <f>'dod3'!J160</f>
        <v>5240000</v>
      </c>
      <c r="I161" s="82">
        <f t="shared" si="12"/>
        <v>5240000</v>
      </c>
    </row>
    <row r="162" spans="1:10" ht="45">
      <c r="A162" s="34"/>
      <c r="B162" s="357" t="s">
        <v>620</v>
      </c>
      <c r="C162" s="357" t="s">
        <v>621</v>
      </c>
      <c r="D162" s="357" t="s">
        <v>582</v>
      </c>
      <c r="E162" s="357" t="s">
        <v>619</v>
      </c>
      <c r="F162" s="58" t="s">
        <v>608</v>
      </c>
      <c r="G162" s="71">
        <f>'dod3'!E161</f>
        <v>0</v>
      </c>
      <c r="H162" s="71">
        <f>'dod3'!J161</f>
        <v>31342000</v>
      </c>
      <c r="I162" s="83">
        <f t="shared" si="12"/>
        <v>31342000</v>
      </c>
    </row>
    <row r="163" spans="1:10" ht="45">
      <c r="A163" s="34"/>
      <c r="B163" s="357" t="s">
        <v>622</v>
      </c>
      <c r="C163" s="357" t="s">
        <v>383</v>
      </c>
      <c r="D163" s="357" t="s">
        <v>334</v>
      </c>
      <c r="E163" s="357" t="s">
        <v>91</v>
      </c>
      <c r="F163" s="58" t="s">
        <v>608</v>
      </c>
      <c r="G163" s="71">
        <f>'dod3'!E162</f>
        <v>0</v>
      </c>
      <c r="H163" s="71">
        <f>'dod3'!J162</f>
        <v>180000</v>
      </c>
      <c r="I163" s="83">
        <f t="shared" si="12"/>
        <v>180000</v>
      </c>
    </row>
    <row r="164" spans="1:10" ht="45">
      <c r="A164" s="34"/>
      <c r="B164" s="459" t="s">
        <v>322</v>
      </c>
      <c r="C164" s="459"/>
      <c r="D164" s="459"/>
      <c r="E164" s="459" t="s">
        <v>72</v>
      </c>
      <c r="F164" s="457"/>
      <c r="G164" s="487">
        <f t="shared" ref="G164:I165" si="13">G165</f>
        <v>0</v>
      </c>
      <c r="H164" s="487">
        <f t="shared" si="13"/>
        <v>3306300</v>
      </c>
      <c r="I164" s="474">
        <f t="shared" si="13"/>
        <v>3306300</v>
      </c>
    </row>
    <row r="165" spans="1:10" ht="57">
      <c r="A165" s="34"/>
      <c r="B165" s="476" t="s">
        <v>323</v>
      </c>
      <c r="C165" s="476"/>
      <c r="D165" s="476"/>
      <c r="E165" s="476" t="s">
        <v>99</v>
      </c>
      <c r="F165" s="461"/>
      <c r="G165" s="488">
        <f t="shared" si="13"/>
        <v>0</v>
      </c>
      <c r="H165" s="488">
        <f t="shared" si="13"/>
        <v>3306300</v>
      </c>
      <c r="I165" s="475">
        <f t="shared" si="13"/>
        <v>3306300</v>
      </c>
    </row>
    <row r="166" spans="1:10" ht="45">
      <c r="A166" s="34"/>
      <c r="B166" s="334" t="s">
        <v>592</v>
      </c>
      <c r="C166" s="334" t="s">
        <v>593</v>
      </c>
      <c r="D166" s="334" t="s">
        <v>582</v>
      </c>
      <c r="E166" s="334" t="s">
        <v>594</v>
      </c>
      <c r="F166" s="58" t="s">
        <v>608</v>
      </c>
      <c r="G166" s="72">
        <f>'dod3'!E165</f>
        <v>0</v>
      </c>
      <c r="H166" s="68">
        <f>'dod3'!J165</f>
        <v>3306300</v>
      </c>
      <c r="I166" s="72">
        <f>G166+H166</f>
        <v>3306300</v>
      </c>
    </row>
    <row r="167" spans="1:10" ht="30">
      <c r="A167" s="34"/>
      <c r="B167" s="459" t="s">
        <v>328</v>
      </c>
      <c r="C167" s="459"/>
      <c r="D167" s="459"/>
      <c r="E167" s="459" t="s">
        <v>783</v>
      </c>
      <c r="F167" s="461"/>
      <c r="G167" s="474">
        <f>G168</f>
        <v>4870800</v>
      </c>
      <c r="H167" s="474">
        <f>H168</f>
        <v>900000</v>
      </c>
      <c r="I167" s="474">
        <f t="shared" ref="I167:I175" si="14">G167+H167</f>
        <v>5770800</v>
      </c>
    </row>
    <row r="168" spans="1:10" ht="28.5">
      <c r="A168" s="34"/>
      <c r="B168" s="476" t="s">
        <v>329</v>
      </c>
      <c r="C168" s="476"/>
      <c r="D168" s="476"/>
      <c r="E168" s="476" t="s">
        <v>784</v>
      </c>
      <c r="F168" s="461"/>
      <c r="G168" s="475">
        <f>G169+G170+G172+G173+G171</f>
        <v>4870800</v>
      </c>
      <c r="H168" s="475">
        <f>H169+H170+H172+H173+H171</f>
        <v>900000</v>
      </c>
      <c r="I168" s="475">
        <f t="shared" si="14"/>
        <v>5770800</v>
      </c>
    </row>
    <row r="169" spans="1:10" ht="45">
      <c r="A169" s="34"/>
      <c r="B169" s="376" t="s">
        <v>773</v>
      </c>
      <c r="C169" s="376" t="s">
        <v>774</v>
      </c>
      <c r="D169" s="376" t="s">
        <v>334</v>
      </c>
      <c r="E169" s="317" t="s">
        <v>512</v>
      </c>
      <c r="F169" s="58" t="s">
        <v>608</v>
      </c>
      <c r="G169" s="55">
        <f>(1200000-1000000)-200000</f>
        <v>0</v>
      </c>
      <c r="H169" s="55">
        <f>(1000000)-500000</f>
        <v>500000</v>
      </c>
      <c r="I169" s="55">
        <f>G169+H169</f>
        <v>500000</v>
      </c>
    </row>
    <row r="170" spans="1:10" ht="30">
      <c r="A170" s="34"/>
      <c r="B170" s="376" t="s">
        <v>510</v>
      </c>
      <c r="C170" s="376" t="s">
        <v>511</v>
      </c>
      <c r="D170" s="376" t="s">
        <v>509</v>
      </c>
      <c r="E170" s="317" t="s">
        <v>508</v>
      </c>
      <c r="F170" s="58" t="s">
        <v>304</v>
      </c>
      <c r="G170" s="55">
        <f>(1500000)+400000</f>
        <v>1900000</v>
      </c>
      <c r="H170" s="55"/>
      <c r="I170" s="55">
        <f>G170+H170</f>
        <v>1900000</v>
      </c>
    </row>
    <row r="171" spans="1:10" ht="30">
      <c r="A171" s="34"/>
      <c r="B171" s="467" t="s">
        <v>510</v>
      </c>
      <c r="C171" s="467" t="s">
        <v>511</v>
      </c>
      <c r="D171" s="467" t="s">
        <v>509</v>
      </c>
      <c r="E171" s="467" t="s">
        <v>508</v>
      </c>
      <c r="F171" s="413" t="s">
        <v>831</v>
      </c>
      <c r="G171" s="55">
        <v>300000</v>
      </c>
      <c r="H171" s="55"/>
      <c r="I171" s="55">
        <f>G171+H171</f>
        <v>300000</v>
      </c>
    </row>
    <row r="172" spans="1:10" ht="45">
      <c r="A172" s="34"/>
      <c r="B172" s="376" t="s">
        <v>501</v>
      </c>
      <c r="C172" s="376" t="s">
        <v>503</v>
      </c>
      <c r="D172" s="376" t="s">
        <v>414</v>
      </c>
      <c r="E172" s="307" t="s">
        <v>502</v>
      </c>
      <c r="F172" s="58" t="s">
        <v>38</v>
      </c>
      <c r="G172" s="55">
        <v>475000</v>
      </c>
      <c r="H172" s="55"/>
      <c r="I172" s="55">
        <f t="shared" si="14"/>
        <v>475000</v>
      </c>
    </row>
    <row r="173" spans="1:10" ht="15">
      <c r="A173" s="34"/>
      <c r="B173" s="317" t="s">
        <v>505</v>
      </c>
      <c r="C173" s="317" t="s">
        <v>459</v>
      </c>
      <c r="D173" s="317" t="s">
        <v>334</v>
      </c>
      <c r="E173" s="317" t="s">
        <v>457</v>
      </c>
      <c r="F173" s="58"/>
      <c r="G173" s="55">
        <f>G174+G175</f>
        <v>2195800</v>
      </c>
      <c r="H173" s="55">
        <f>H174+H175</f>
        <v>400000</v>
      </c>
      <c r="I173" s="55">
        <f t="shared" si="14"/>
        <v>2595800</v>
      </c>
    </row>
    <row r="174" spans="1:10" ht="30">
      <c r="A174" s="34"/>
      <c r="B174" s="63" t="s">
        <v>506</v>
      </c>
      <c r="C174" s="63" t="s">
        <v>507</v>
      </c>
      <c r="D174" s="63" t="s">
        <v>334</v>
      </c>
      <c r="E174" s="63" t="s">
        <v>504</v>
      </c>
      <c r="F174" s="74" t="s">
        <v>29</v>
      </c>
      <c r="G174" s="67">
        <v>1000000</v>
      </c>
      <c r="H174" s="67"/>
      <c r="I174" s="67">
        <f t="shared" si="14"/>
        <v>1000000</v>
      </c>
    </row>
    <row r="175" spans="1:10" ht="60">
      <c r="A175" s="34"/>
      <c r="B175" s="63" t="s">
        <v>506</v>
      </c>
      <c r="C175" s="63" t="s">
        <v>507</v>
      </c>
      <c r="D175" s="63" t="s">
        <v>334</v>
      </c>
      <c r="E175" s="63" t="s">
        <v>504</v>
      </c>
      <c r="F175" s="74" t="s">
        <v>303</v>
      </c>
      <c r="G175" s="67">
        <v>1195800</v>
      </c>
      <c r="H175" s="67">
        <f>(0)+400000</f>
        <v>400000</v>
      </c>
      <c r="I175" s="67">
        <f t="shared" si="14"/>
        <v>1595800</v>
      </c>
    </row>
    <row r="176" spans="1:10" ht="57.75" customHeight="1">
      <c r="A176" s="34"/>
      <c r="B176" s="459" t="s">
        <v>326</v>
      </c>
      <c r="C176" s="459"/>
      <c r="D176" s="459"/>
      <c r="E176" s="459" t="s">
        <v>73</v>
      </c>
      <c r="F176" s="458"/>
      <c r="G176" s="474">
        <v>0</v>
      </c>
      <c r="H176" s="474">
        <f>H177</f>
        <v>1271148.6600000001</v>
      </c>
      <c r="I176" s="474">
        <f>I177</f>
        <v>1271148.6600000001</v>
      </c>
      <c r="J176" s="474" t="b">
        <f>I176='dod7'!F18</f>
        <v>1</v>
      </c>
    </row>
    <row r="177" spans="1:16384" ht="42.75">
      <c r="A177" s="34"/>
      <c r="B177" s="476" t="s">
        <v>327</v>
      </c>
      <c r="C177" s="476"/>
      <c r="D177" s="476"/>
      <c r="E177" s="476" t="s">
        <v>74</v>
      </c>
      <c r="F177" s="462"/>
      <c r="G177" s="475">
        <v>0</v>
      </c>
      <c r="H177" s="475">
        <f>H178+H181+H182</f>
        <v>1271148.6600000001</v>
      </c>
      <c r="I177" s="475">
        <f>G177+H177</f>
        <v>1271148.6600000001</v>
      </c>
    </row>
    <row r="178" spans="1:16384" ht="30">
      <c r="A178" s="34"/>
      <c r="B178" s="334" t="s">
        <v>595</v>
      </c>
      <c r="C178" s="334" t="s">
        <v>596</v>
      </c>
      <c r="D178" s="334"/>
      <c r="E178" s="334" t="s">
        <v>597</v>
      </c>
      <c r="F178" s="58" t="s">
        <v>30</v>
      </c>
      <c r="G178" s="83">
        <f>G179+G180</f>
        <v>0</v>
      </c>
      <c r="H178" s="83">
        <f>H179+H180</f>
        <v>937148.66</v>
      </c>
      <c r="I178" s="72">
        <f t="shared" ref="I178:I179" si="15">G178+H178</f>
        <v>937148.66</v>
      </c>
    </row>
    <row r="179" spans="1:16384" ht="30">
      <c r="A179" s="34"/>
      <c r="B179" s="63" t="s">
        <v>598</v>
      </c>
      <c r="C179" s="63" t="s">
        <v>599</v>
      </c>
      <c r="D179" s="63" t="s">
        <v>122</v>
      </c>
      <c r="E179" s="63" t="s">
        <v>123</v>
      </c>
      <c r="F179" s="74" t="s">
        <v>30</v>
      </c>
      <c r="G179" s="82">
        <f>'dod3'!E176</f>
        <v>0</v>
      </c>
      <c r="H179" s="82">
        <f>'dod3'!J176</f>
        <v>629148.66</v>
      </c>
      <c r="I179" s="71">
        <f t="shared" si="15"/>
        <v>629148.66</v>
      </c>
    </row>
    <row r="180" spans="1:16384" ht="30">
      <c r="A180" s="34"/>
      <c r="B180" s="63" t="s">
        <v>600</v>
      </c>
      <c r="C180" s="63" t="s">
        <v>601</v>
      </c>
      <c r="D180" s="63" t="s">
        <v>124</v>
      </c>
      <c r="E180" s="63" t="s">
        <v>602</v>
      </c>
      <c r="F180" s="74" t="s">
        <v>30</v>
      </c>
      <c r="G180" s="71">
        <f>'dod3'!E177</f>
        <v>0</v>
      </c>
      <c r="H180" s="71">
        <f>'dod3'!J177</f>
        <v>308000</v>
      </c>
      <c r="I180" s="71">
        <f>G180+H180</f>
        <v>308000</v>
      </c>
    </row>
    <row r="181" spans="1:16384" ht="30">
      <c r="B181" s="542" t="s">
        <v>603</v>
      </c>
      <c r="C181" s="542" t="s">
        <v>604</v>
      </c>
      <c r="D181" s="542" t="s">
        <v>126</v>
      </c>
      <c r="E181" s="542" t="s">
        <v>133</v>
      </c>
      <c r="F181" s="58" t="s">
        <v>30</v>
      </c>
      <c r="G181" s="72">
        <f>'dod3'!E178</f>
        <v>0</v>
      </c>
      <c r="H181" s="72">
        <f>'dod3'!J178</f>
        <v>125000</v>
      </c>
      <c r="I181" s="72">
        <f>G181+H181</f>
        <v>125000</v>
      </c>
    </row>
    <row r="182" spans="1:16384" ht="30">
      <c r="B182" s="542" t="s">
        <v>605</v>
      </c>
      <c r="C182" s="542" t="s">
        <v>606</v>
      </c>
      <c r="D182" s="542" t="s">
        <v>125</v>
      </c>
      <c r="E182" s="542" t="s">
        <v>607</v>
      </c>
      <c r="F182" s="58" t="s">
        <v>30</v>
      </c>
      <c r="G182" s="72">
        <f>'dod3'!E179</f>
        <v>0</v>
      </c>
      <c r="H182" s="72">
        <f>'dod3'!J179</f>
        <v>209000</v>
      </c>
      <c r="I182" s="72">
        <f>G182+H182</f>
        <v>209000</v>
      </c>
      <c r="AW182" s="375"/>
      <c r="AX182" s="375"/>
      <c r="AY182" s="375"/>
      <c r="AZ182" s="375"/>
      <c r="BA182" s="375"/>
      <c r="BB182" s="375"/>
      <c r="BC182" s="375"/>
      <c r="BD182" s="375"/>
      <c r="BE182" s="375"/>
      <c r="BF182" s="375"/>
      <c r="BG182" s="375"/>
      <c r="BH182" s="375"/>
      <c r="BI182" s="375"/>
      <c r="BJ182" s="375"/>
      <c r="BK182" s="375"/>
      <c r="BL182" s="375"/>
      <c r="BM182" s="375"/>
      <c r="BN182" s="375"/>
      <c r="BO182" s="375"/>
      <c r="BP182" s="375"/>
      <c r="BQ182" s="375"/>
      <c r="BR182" s="375"/>
      <c r="BS182" s="375"/>
      <c r="BT182" s="375"/>
      <c r="BU182" s="375"/>
      <c r="BV182" s="375"/>
      <c r="BW182" s="375"/>
      <c r="BX182" s="375"/>
      <c r="BY182" s="375"/>
      <c r="BZ182" s="375"/>
      <c r="CA182" s="375"/>
      <c r="CB182" s="375"/>
      <c r="CC182" s="375"/>
      <c r="CD182" s="375"/>
      <c r="CE182" s="375"/>
      <c r="CF182" s="375"/>
      <c r="CG182" s="375"/>
      <c r="CH182" s="375"/>
      <c r="CI182" s="375"/>
      <c r="CJ182" s="375"/>
      <c r="CK182" s="375"/>
      <c r="CL182" s="375"/>
      <c r="CM182" s="375"/>
      <c r="CN182" s="375"/>
      <c r="CO182" s="375"/>
      <c r="CP182" s="375"/>
      <c r="CQ182" s="375"/>
      <c r="CR182" s="375"/>
      <c r="CS182" s="375"/>
      <c r="CT182" s="375"/>
      <c r="CU182" s="375"/>
      <c r="CV182" s="375"/>
      <c r="CW182" s="375"/>
      <c r="CX182" s="375"/>
      <c r="CY182" s="375"/>
      <c r="CZ182" s="375"/>
      <c r="DA182" s="375"/>
      <c r="DB182" s="375"/>
      <c r="DC182" s="375"/>
      <c r="DD182" s="375"/>
      <c r="DE182" s="375"/>
      <c r="DF182" s="375"/>
      <c r="DG182" s="375"/>
      <c r="DH182" s="375"/>
      <c r="DI182" s="375"/>
      <c r="DJ182" s="375"/>
      <c r="DK182" s="375"/>
      <c r="DL182" s="375"/>
      <c r="DM182" s="375"/>
      <c r="DN182" s="375"/>
      <c r="DO182" s="375"/>
      <c r="DP182" s="375"/>
      <c r="DQ182" s="375"/>
      <c r="DR182" s="375"/>
      <c r="DS182" s="375"/>
      <c r="DT182" s="375"/>
      <c r="DU182" s="375"/>
      <c r="DV182" s="375"/>
      <c r="DW182" s="375"/>
      <c r="DX182" s="375"/>
      <c r="DY182" s="375"/>
      <c r="DZ182" s="375"/>
      <c r="EA182" s="375"/>
      <c r="EB182" s="375"/>
      <c r="EC182" s="375"/>
      <c r="ED182" s="375"/>
      <c r="EE182" s="375"/>
      <c r="EF182" s="375"/>
      <c r="EG182" s="375"/>
      <c r="EH182" s="375"/>
      <c r="EI182" s="375"/>
      <c r="EJ182" s="375"/>
      <c r="EK182" s="375"/>
      <c r="EL182" s="375"/>
      <c r="EM182" s="375"/>
      <c r="EN182" s="375"/>
      <c r="EO182" s="375"/>
      <c r="EP182" s="375"/>
      <c r="EQ182" s="375"/>
      <c r="ER182" s="375"/>
      <c r="ES182" s="375"/>
      <c r="ET182" s="375"/>
      <c r="EU182" s="375"/>
      <c r="EV182" s="375"/>
      <c r="EW182" s="375"/>
      <c r="EX182" s="375"/>
      <c r="EY182" s="375"/>
      <c r="EZ182" s="375"/>
      <c r="FA182" s="375"/>
      <c r="FB182" s="375"/>
      <c r="FC182" s="375"/>
      <c r="FD182" s="375"/>
      <c r="FE182" s="375"/>
      <c r="FF182" s="375"/>
      <c r="FG182" s="375"/>
      <c r="FH182" s="375"/>
      <c r="FI182" s="375"/>
      <c r="FJ182" s="375"/>
      <c r="FK182" s="375"/>
      <c r="FL182" s="375"/>
      <c r="FM182" s="375"/>
      <c r="FN182" s="375"/>
      <c r="FO182" s="375"/>
      <c r="FP182" s="375"/>
      <c r="FQ182" s="375"/>
      <c r="FR182" s="375"/>
      <c r="FS182" s="375"/>
      <c r="FT182" s="375"/>
      <c r="FU182" s="375"/>
      <c r="FV182" s="375"/>
      <c r="FW182" s="375"/>
      <c r="FX182" s="375"/>
      <c r="FY182" s="375"/>
      <c r="FZ182" s="375"/>
      <c r="GA182" s="375"/>
      <c r="GB182" s="375"/>
      <c r="GC182" s="375"/>
      <c r="GD182" s="375"/>
      <c r="GE182" s="375"/>
      <c r="GF182" s="375"/>
      <c r="GG182" s="375"/>
      <c r="GH182" s="375"/>
      <c r="GI182" s="375"/>
      <c r="GJ182" s="375"/>
    </row>
    <row r="183" spans="1:16384" ht="60">
      <c r="B183" s="505" t="s">
        <v>324</v>
      </c>
      <c r="C183" s="505"/>
      <c r="D183" s="505"/>
      <c r="E183" s="459" t="s">
        <v>785</v>
      </c>
      <c r="F183" s="506"/>
      <c r="G183" s="507">
        <f t="shared" ref="G183:I183" si="16">G184</f>
        <v>0</v>
      </c>
      <c r="H183" s="507">
        <f t="shared" si="16"/>
        <v>1705000</v>
      </c>
      <c r="I183" s="508">
        <f t="shared" si="16"/>
        <v>1705000</v>
      </c>
      <c r="AW183" s="375"/>
      <c r="AX183" s="375"/>
      <c r="AY183" s="375"/>
      <c r="AZ183" s="375"/>
      <c r="BA183" s="375"/>
      <c r="BB183" s="375"/>
      <c r="BC183" s="375"/>
      <c r="BD183" s="375"/>
      <c r="BE183" s="375"/>
      <c r="BF183" s="375"/>
      <c r="BG183" s="375"/>
      <c r="BH183" s="375"/>
      <c r="BI183" s="375"/>
      <c r="BJ183" s="375"/>
      <c r="BK183" s="375"/>
      <c r="BL183" s="375"/>
      <c r="BM183" s="375"/>
      <c r="BN183" s="375"/>
      <c r="BO183" s="375"/>
      <c r="BP183" s="375"/>
      <c r="BQ183" s="375"/>
      <c r="BR183" s="375"/>
      <c r="BS183" s="375"/>
      <c r="BT183" s="375"/>
      <c r="BU183" s="375"/>
      <c r="BV183" s="375"/>
      <c r="BW183" s="375"/>
      <c r="BX183" s="375"/>
      <c r="BY183" s="375"/>
      <c r="BZ183" s="375"/>
      <c r="CA183" s="375"/>
      <c r="CB183" s="375"/>
      <c r="CC183" s="375"/>
      <c r="CD183" s="375"/>
      <c r="CE183" s="375"/>
      <c r="CF183" s="375"/>
      <c r="CG183" s="375"/>
      <c r="CH183" s="375"/>
      <c r="CI183" s="375"/>
      <c r="CJ183" s="375"/>
      <c r="CK183" s="375"/>
      <c r="CL183" s="375"/>
      <c r="CM183" s="375"/>
      <c r="CN183" s="375"/>
      <c r="CO183" s="375"/>
      <c r="CP183" s="375"/>
      <c r="CQ183" s="375"/>
      <c r="CR183" s="375"/>
      <c r="CS183" s="375"/>
      <c r="CT183" s="375"/>
      <c r="CU183" s="375"/>
      <c r="CV183" s="375"/>
      <c r="CW183" s="375"/>
      <c r="CX183" s="375"/>
      <c r="CY183" s="375"/>
      <c r="CZ183" s="375"/>
      <c r="DA183" s="375"/>
      <c r="DB183" s="375"/>
      <c r="DC183" s="375"/>
      <c r="DD183" s="375"/>
      <c r="DE183" s="375"/>
      <c r="DF183" s="375"/>
      <c r="DG183" s="375"/>
      <c r="DH183" s="375"/>
      <c r="DI183" s="375"/>
      <c r="DJ183" s="375"/>
      <c r="DK183" s="375"/>
      <c r="DL183" s="375"/>
      <c r="DM183" s="375"/>
      <c r="DN183" s="375"/>
      <c r="DO183" s="375"/>
      <c r="DP183" s="375"/>
      <c r="DQ183" s="375"/>
      <c r="DR183" s="375"/>
      <c r="DS183" s="375"/>
      <c r="DT183" s="375"/>
      <c r="DU183" s="375"/>
      <c r="DV183" s="375"/>
      <c r="DW183" s="375"/>
      <c r="DX183" s="375"/>
      <c r="DY183" s="375"/>
      <c r="DZ183" s="375"/>
      <c r="EA183" s="375"/>
      <c r="EB183" s="375"/>
      <c r="EC183" s="375"/>
      <c r="ED183" s="375"/>
      <c r="EE183" s="375"/>
      <c r="EF183" s="375"/>
      <c r="EG183" s="375"/>
      <c r="EH183" s="375"/>
      <c r="EI183" s="375"/>
      <c r="EJ183" s="375"/>
      <c r="EK183" s="375"/>
      <c r="EL183" s="375"/>
      <c r="EM183" s="375"/>
      <c r="EN183" s="375"/>
      <c r="EO183" s="375"/>
      <c r="EP183" s="375"/>
      <c r="EQ183" s="375"/>
      <c r="ER183" s="375"/>
      <c r="ES183" s="375"/>
      <c r="ET183" s="375"/>
      <c r="EU183" s="375"/>
      <c r="EV183" s="375"/>
      <c r="EW183" s="375"/>
      <c r="EX183" s="375"/>
      <c r="EY183" s="375"/>
      <c r="EZ183" s="375"/>
      <c r="FA183" s="375"/>
      <c r="FB183" s="375"/>
      <c r="FC183" s="375"/>
      <c r="FD183" s="375"/>
      <c r="FE183" s="375"/>
      <c r="FF183" s="375"/>
      <c r="FG183" s="375"/>
      <c r="FH183" s="375"/>
      <c r="FI183" s="375"/>
      <c r="FJ183" s="375"/>
      <c r="FK183" s="375"/>
      <c r="FL183" s="375"/>
      <c r="FM183" s="375"/>
      <c r="FN183" s="375"/>
      <c r="FO183" s="375"/>
      <c r="FP183" s="375"/>
      <c r="FQ183" s="375"/>
      <c r="FR183" s="375"/>
      <c r="FS183" s="375"/>
      <c r="FT183" s="375"/>
      <c r="FU183" s="375"/>
      <c r="FV183" s="375"/>
      <c r="FW183" s="375"/>
      <c r="FX183" s="375"/>
      <c r="FY183" s="375"/>
      <c r="FZ183" s="375"/>
      <c r="GA183" s="375"/>
      <c r="GB183" s="375"/>
      <c r="GC183" s="375"/>
      <c r="GD183" s="375"/>
      <c r="GE183" s="375"/>
      <c r="GF183" s="375"/>
      <c r="GG183" s="375"/>
      <c r="GH183" s="375"/>
      <c r="GI183" s="375"/>
      <c r="GJ183" s="375"/>
    </row>
    <row r="184" spans="1:16384" ht="57">
      <c r="B184" s="476" t="s">
        <v>325</v>
      </c>
      <c r="C184" s="476"/>
      <c r="D184" s="476"/>
      <c r="E184" s="476" t="s">
        <v>786</v>
      </c>
      <c r="F184" s="461"/>
      <c r="G184" s="488">
        <f>G185+G186</f>
        <v>0</v>
      </c>
      <c r="H184" s="488">
        <f>H185+H186</f>
        <v>1705000</v>
      </c>
      <c r="I184" s="475">
        <f>G184+H184</f>
        <v>1705000</v>
      </c>
      <c r="AW184" s="375"/>
      <c r="AX184" s="375"/>
      <c r="AY184" s="375"/>
      <c r="AZ184" s="375"/>
      <c r="BA184" s="375"/>
      <c r="BB184" s="375"/>
      <c r="BC184" s="375"/>
      <c r="BD184" s="375"/>
      <c r="BE184" s="375"/>
      <c r="BF184" s="375"/>
      <c r="BG184" s="375"/>
      <c r="BH184" s="375"/>
      <c r="BI184" s="375"/>
      <c r="BJ184" s="375"/>
      <c r="BK184" s="375"/>
      <c r="BL184" s="375"/>
      <c r="BM184" s="375"/>
      <c r="BN184" s="375"/>
      <c r="BO184" s="375"/>
      <c r="BP184" s="375"/>
      <c r="BQ184" s="375"/>
      <c r="BR184" s="375"/>
      <c r="BS184" s="375"/>
      <c r="BT184" s="375"/>
      <c r="BU184" s="375"/>
      <c r="BV184" s="375"/>
      <c r="BW184" s="375"/>
      <c r="BX184" s="375"/>
      <c r="BY184" s="375"/>
      <c r="BZ184" s="375"/>
      <c r="CA184" s="375"/>
      <c r="CB184" s="375"/>
      <c r="CC184" s="375"/>
      <c r="CD184" s="375"/>
      <c r="CE184" s="375"/>
      <c r="CF184" s="375"/>
      <c r="CG184" s="375"/>
      <c r="CH184" s="375"/>
      <c r="CI184" s="375"/>
      <c r="CJ184" s="375"/>
      <c r="CK184" s="375"/>
      <c r="CL184" s="375"/>
      <c r="CM184" s="375"/>
      <c r="CN184" s="375"/>
      <c r="CO184" s="375"/>
      <c r="CP184" s="375"/>
      <c r="CQ184" s="375"/>
      <c r="CR184" s="375"/>
      <c r="CS184" s="375"/>
      <c r="CT184" s="375"/>
      <c r="CU184" s="375"/>
      <c r="CV184" s="375"/>
      <c r="CW184" s="375"/>
      <c r="CX184" s="375"/>
      <c r="CY184" s="375"/>
      <c r="CZ184" s="375"/>
      <c r="DA184" s="375"/>
      <c r="DB184" s="375"/>
      <c r="DC184" s="375"/>
      <c r="DD184" s="375"/>
      <c r="DE184" s="375"/>
      <c r="DF184" s="375"/>
      <c r="DG184" s="375"/>
      <c r="DH184" s="375"/>
      <c r="DI184" s="375"/>
      <c r="DJ184" s="375"/>
      <c r="DK184" s="375"/>
      <c r="DL184" s="375"/>
      <c r="DM184" s="375"/>
      <c r="DN184" s="375"/>
      <c r="DO184" s="375"/>
      <c r="DP184" s="375"/>
      <c r="DQ184" s="375"/>
      <c r="DR184" s="375"/>
      <c r="DS184" s="375"/>
      <c r="DT184" s="375"/>
      <c r="DU184" s="375"/>
      <c r="DV184" s="375"/>
      <c r="DW184" s="375"/>
      <c r="DX184" s="375"/>
      <c r="DY184" s="375"/>
      <c r="DZ184" s="375"/>
      <c r="EA184" s="375"/>
      <c r="EB184" s="375"/>
      <c r="EC184" s="375"/>
      <c r="ED184" s="375"/>
      <c r="EE184" s="375"/>
      <c r="EF184" s="375"/>
      <c r="EG184" s="375"/>
      <c r="EH184" s="375"/>
      <c r="EI184" s="375"/>
      <c r="EJ184" s="375"/>
      <c r="EK184" s="375"/>
      <c r="EL184" s="375"/>
      <c r="EM184" s="375"/>
      <c r="EN184" s="375"/>
      <c r="EO184" s="375"/>
      <c r="EP184" s="375"/>
      <c r="EQ184" s="375"/>
      <c r="ER184" s="375"/>
      <c r="ES184" s="375"/>
      <c r="ET184" s="375"/>
      <c r="EU184" s="375"/>
      <c r="EV184" s="375"/>
      <c r="EW184" s="375"/>
      <c r="EX184" s="375"/>
      <c r="EY184" s="375"/>
      <c r="EZ184" s="375"/>
      <c r="FA184" s="375"/>
      <c r="FB184" s="375"/>
      <c r="FC184" s="375"/>
      <c r="FD184" s="375"/>
      <c r="FE184" s="375"/>
      <c r="FF184" s="375"/>
      <c r="FG184" s="375"/>
      <c r="FH184" s="375"/>
      <c r="FI184" s="375"/>
      <c r="FJ184" s="375"/>
      <c r="FK184" s="375"/>
      <c r="FL184" s="375"/>
      <c r="FM184" s="375"/>
      <c r="FN184" s="375"/>
      <c r="FO184" s="375"/>
      <c r="FP184" s="375"/>
      <c r="FQ184" s="375"/>
      <c r="FR184" s="375"/>
      <c r="FS184" s="375"/>
      <c r="FT184" s="375"/>
      <c r="FU184" s="375"/>
      <c r="FV184" s="375"/>
      <c r="FW184" s="375"/>
      <c r="FX184" s="375"/>
      <c r="FY184" s="375"/>
      <c r="FZ184" s="375"/>
      <c r="GA184" s="375"/>
      <c r="GB184" s="375"/>
      <c r="GC184" s="375"/>
      <c r="GD184" s="375"/>
      <c r="GE184" s="375"/>
      <c r="GF184" s="375"/>
      <c r="GG184" s="375"/>
      <c r="GH184" s="375"/>
      <c r="GI184" s="375"/>
      <c r="GJ184" s="375"/>
    </row>
    <row r="185" spans="1:16384" ht="45">
      <c r="B185" s="374" t="s">
        <v>589</v>
      </c>
      <c r="C185" s="374" t="s">
        <v>590</v>
      </c>
      <c r="D185" s="374" t="s">
        <v>591</v>
      </c>
      <c r="E185" s="374" t="s">
        <v>588</v>
      </c>
      <c r="F185" s="58" t="s">
        <v>608</v>
      </c>
      <c r="G185" s="72">
        <f>'dod3'!E182</f>
        <v>0</v>
      </c>
      <c r="H185" s="68">
        <f>'dod3'!J182</f>
        <v>1653000</v>
      </c>
      <c r="I185" s="72">
        <f t="shared" ref="I185:I186" si="17">G185+H185</f>
        <v>1653000</v>
      </c>
      <c r="J185" s="375"/>
      <c r="K185" s="375"/>
      <c r="L185" s="375"/>
      <c r="M185" s="375"/>
      <c r="N185" s="375"/>
      <c r="O185" s="375"/>
      <c r="P185" s="375"/>
      <c r="Q185" s="375"/>
      <c r="R185" s="375"/>
      <c r="S185" s="375"/>
      <c r="T185" s="375"/>
      <c r="U185" s="375"/>
      <c r="V185" s="375"/>
      <c r="W185" s="375"/>
      <c r="X185" s="375"/>
      <c r="Y185" s="375"/>
      <c r="Z185" s="375"/>
      <c r="AA185" s="375"/>
      <c r="AB185" s="375"/>
      <c r="AC185" s="375"/>
      <c r="AD185" s="375"/>
      <c r="AE185" s="375"/>
      <c r="AF185" s="375"/>
      <c r="AG185" s="375"/>
      <c r="AH185" s="375"/>
      <c r="AI185" s="375"/>
      <c r="AJ185" s="375"/>
      <c r="AK185" s="375"/>
      <c r="AL185" s="375"/>
      <c r="AM185" s="375"/>
      <c r="AN185" s="375"/>
      <c r="AO185" s="375"/>
      <c r="AP185" s="375"/>
      <c r="AQ185" s="375"/>
      <c r="AR185" s="375"/>
      <c r="AS185" s="375"/>
      <c r="AT185" s="375"/>
      <c r="AU185" s="375"/>
      <c r="AV185" s="375"/>
      <c r="AW185" s="375"/>
      <c r="AX185" s="375"/>
      <c r="AY185" s="375"/>
      <c r="AZ185" s="375"/>
      <c r="BA185" s="375"/>
      <c r="BB185" s="375"/>
      <c r="BC185" s="375"/>
      <c r="BD185" s="375"/>
      <c r="BE185" s="375"/>
      <c r="BF185" s="375"/>
      <c r="BG185" s="375"/>
      <c r="BH185" s="375"/>
      <c r="BI185" s="375"/>
      <c r="BJ185" s="375"/>
      <c r="BK185" s="375"/>
      <c r="BL185" s="375"/>
      <c r="BM185" s="375"/>
      <c r="BN185" s="375"/>
      <c r="BO185" s="375"/>
      <c r="BP185" s="375"/>
      <c r="BQ185" s="375"/>
      <c r="BR185" s="375"/>
      <c r="BS185" s="375"/>
      <c r="BT185" s="375"/>
      <c r="BU185" s="375"/>
      <c r="BV185" s="375"/>
      <c r="BW185" s="375"/>
      <c r="BX185" s="375"/>
      <c r="BY185" s="375"/>
      <c r="BZ185" s="375"/>
      <c r="CA185" s="375"/>
      <c r="CB185" s="375"/>
      <c r="CC185" s="375"/>
      <c r="CD185" s="375"/>
      <c r="CE185" s="375"/>
      <c r="CF185" s="375"/>
      <c r="CG185" s="375"/>
      <c r="CH185" s="375"/>
      <c r="CI185" s="375"/>
      <c r="CJ185" s="375"/>
      <c r="CK185" s="375"/>
      <c r="CL185" s="375"/>
      <c r="CM185" s="375"/>
      <c r="CN185" s="375"/>
      <c r="CO185" s="375"/>
      <c r="CP185" s="375"/>
      <c r="CQ185" s="375"/>
      <c r="CR185" s="375"/>
      <c r="CS185" s="375"/>
      <c r="CT185" s="375"/>
      <c r="CU185" s="375"/>
      <c r="CV185" s="375"/>
      <c r="CW185" s="375"/>
      <c r="CX185" s="375"/>
      <c r="CY185" s="375"/>
      <c r="CZ185" s="375"/>
      <c r="DA185" s="375"/>
      <c r="DB185" s="375"/>
      <c r="DC185" s="375"/>
      <c r="DD185" s="375"/>
      <c r="DE185" s="375"/>
      <c r="DF185" s="375"/>
      <c r="DG185" s="375"/>
      <c r="DH185" s="375"/>
      <c r="DI185" s="375"/>
      <c r="DJ185" s="375"/>
      <c r="DK185" s="375"/>
      <c r="DL185" s="375"/>
      <c r="DM185" s="375"/>
      <c r="DN185" s="375"/>
      <c r="DO185" s="375"/>
      <c r="DP185" s="375"/>
      <c r="DQ185" s="375"/>
      <c r="DR185" s="375"/>
      <c r="DS185" s="375"/>
      <c r="DT185" s="375"/>
      <c r="DU185" s="375"/>
      <c r="DV185" s="375"/>
      <c r="DW185" s="375"/>
      <c r="DX185" s="375"/>
      <c r="DY185" s="375"/>
      <c r="DZ185" s="375"/>
      <c r="EA185" s="375"/>
      <c r="EB185" s="375"/>
      <c r="EC185" s="375"/>
      <c r="ED185" s="375"/>
      <c r="EE185" s="375"/>
      <c r="EF185" s="375"/>
      <c r="EG185" s="375"/>
      <c r="EH185" s="375"/>
      <c r="EI185" s="375"/>
      <c r="EJ185" s="375"/>
      <c r="EK185" s="375"/>
      <c r="EL185" s="375"/>
      <c r="EM185" s="375"/>
      <c r="EN185" s="375"/>
      <c r="EO185" s="375"/>
      <c r="EP185" s="375"/>
      <c r="EQ185" s="375"/>
      <c r="ER185" s="375"/>
      <c r="ES185" s="375"/>
      <c r="ET185" s="375"/>
      <c r="EU185" s="375"/>
      <c r="EV185" s="375"/>
      <c r="EW185" s="375"/>
      <c r="EX185" s="375"/>
      <c r="EY185" s="375"/>
      <c r="EZ185" s="375"/>
      <c r="FA185" s="375"/>
      <c r="FB185" s="375"/>
      <c r="FC185" s="375"/>
      <c r="FD185" s="375"/>
      <c r="FE185" s="375"/>
      <c r="FF185" s="375"/>
      <c r="FG185" s="375"/>
      <c r="FH185" s="375"/>
      <c r="FI185" s="375"/>
      <c r="FJ185" s="375"/>
      <c r="FK185" s="375"/>
      <c r="FL185" s="375"/>
      <c r="FM185" s="375"/>
      <c r="FN185" s="375"/>
      <c r="FO185" s="375"/>
      <c r="FP185" s="375"/>
      <c r="FQ185" s="375"/>
      <c r="FR185" s="375"/>
      <c r="FS185" s="375"/>
      <c r="FT185" s="375"/>
      <c r="FU185" s="375"/>
      <c r="FV185" s="375"/>
      <c r="FW185" s="375"/>
      <c r="FX185" s="375"/>
      <c r="FY185" s="375"/>
      <c r="FZ185" s="375"/>
      <c r="GA185" s="375"/>
      <c r="GB185" s="375"/>
      <c r="GC185" s="375"/>
      <c r="GD185" s="375"/>
      <c r="GE185" s="375"/>
      <c r="GF185" s="375"/>
      <c r="GG185" s="375"/>
      <c r="GH185" s="375"/>
      <c r="GI185" s="375"/>
      <c r="GJ185" s="375"/>
    </row>
    <row r="186" spans="1:16384" ht="45">
      <c r="B186" s="503" t="s">
        <v>864</v>
      </c>
      <c r="C186" s="503" t="s">
        <v>865</v>
      </c>
      <c r="D186" s="503" t="s">
        <v>334</v>
      </c>
      <c r="E186" s="503" t="s">
        <v>866</v>
      </c>
      <c r="F186" s="58" t="s">
        <v>608</v>
      </c>
      <c r="G186" s="72">
        <f>'dod3'!E183</f>
        <v>0</v>
      </c>
      <c r="H186" s="504">
        <f>'dod3'!J183</f>
        <v>52000</v>
      </c>
      <c r="I186" s="72">
        <f t="shared" si="17"/>
        <v>52000</v>
      </c>
      <c r="J186" s="375"/>
      <c r="K186" s="375"/>
      <c r="L186" s="375"/>
      <c r="M186" s="375"/>
      <c r="N186" s="375"/>
      <c r="O186" s="375"/>
      <c r="P186" s="375"/>
      <c r="Q186" s="375"/>
      <c r="R186" s="375"/>
      <c r="S186" s="375"/>
      <c r="T186" s="375"/>
      <c r="U186" s="375"/>
      <c r="V186" s="375"/>
      <c r="W186" s="375"/>
      <c r="X186" s="375"/>
      <c r="Y186" s="375"/>
      <c r="Z186" s="375"/>
      <c r="AA186" s="375"/>
      <c r="AB186" s="375"/>
      <c r="AC186" s="375"/>
      <c r="AD186" s="375"/>
      <c r="AE186" s="375"/>
      <c r="AF186" s="375"/>
      <c r="AG186" s="375"/>
      <c r="AH186" s="375"/>
      <c r="AI186" s="375"/>
      <c r="AJ186" s="375"/>
      <c r="AK186" s="375"/>
      <c r="AL186" s="375"/>
      <c r="AM186" s="375"/>
      <c r="AN186" s="375"/>
      <c r="AO186" s="375"/>
      <c r="AP186" s="375"/>
      <c r="AQ186" s="375"/>
      <c r="AR186" s="375"/>
      <c r="AS186" s="375"/>
      <c r="AT186" s="375"/>
      <c r="AU186" s="375"/>
      <c r="AV186" s="375"/>
      <c r="AW186" s="375"/>
      <c r="AX186" s="375"/>
      <c r="AY186" s="375"/>
      <c r="AZ186" s="375"/>
      <c r="BA186" s="375"/>
      <c r="BB186" s="375"/>
      <c r="BC186" s="375"/>
      <c r="BD186" s="375"/>
      <c r="BE186" s="375"/>
      <c r="BF186" s="375"/>
      <c r="BG186" s="375"/>
      <c r="BH186" s="375"/>
      <c r="BI186" s="375"/>
      <c r="BJ186" s="375"/>
      <c r="BK186" s="375"/>
      <c r="BL186" s="375"/>
      <c r="BM186" s="375"/>
      <c r="BN186" s="375"/>
      <c r="BO186" s="375"/>
      <c r="BP186" s="375"/>
      <c r="BQ186" s="375"/>
      <c r="BR186" s="375"/>
      <c r="BS186" s="375"/>
      <c r="BT186" s="375"/>
      <c r="BU186" s="375"/>
      <c r="BV186" s="375"/>
      <c r="BW186" s="375"/>
      <c r="BX186" s="375"/>
      <c r="BY186" s="375"/>
      <c r="BZ186" s="375"/>
      <c r="CA186" s="375"/>
      <c r="CB186" s="375"/>
      <c r="CC186" s="375"/>
      <c r="CD186" s="375"/>
      <c r="CE186" s="375"/>
      <c r="CF186" s="375"/>
      <c r="CG186" s="375"/>
      <c r="CH186" s="375"/>
      <c r="CI186" s="375"/>
      <c r="CJ186" s="375"/>
      <c r="CK186" s="375"/>
      <c r="CL186" s="375"/>
      <c r="CM186" s="375"/>
      <c r="CN186" s="375"/>
      <c r="CO186" s="375"/>
      <c r="CP186" s="375"/>
      <c r="CQ186" s="375"/>
      <c r="CR186" s="375"/>
      <c r="CS186" s="375"/>
      <c r="CT186" s="375"/>
      <c r="CU186" s="375"/>
      <c r="CV186" s="375"/>
      <c r="CW186" s="375"/>
      <c r="CX186" s="375"/>
      <c r="CY186" s="375"/>
      <c r="CZ186" s="375"/>
      <c r="DA186" s="375"/>
      <c r="DB186" s="375"/>
      <c r="DC186" s="375"/>
      <c r="DD186" s="375"/>
      <c r="DE186" s="375"/>
      <c r="DF186" s="375"/>
      <c r="DG186" s="375"/>
      <c r="DH186" s="375"/>
      <c r="DI186" s="375"/>
      <c r="DJ186" s="375"/>
      <c r="DK186" s="375"/>
      <c r="DL186" s="375"/>
      <c r="DM186" s="375"/>
      <c r="DN186" s="375"/>
      <c r="DO186" s="375"/>
      <c r="DP186" s="375"/>
      <c r="DQ186" s="375"/>
      <c r="DR186" s="375"/>
      <c r="DS186" s="375"/>
      <c r="DT186" s="375"/>
      <c r="DU186" s="375"/>
      <c r="DV186" s="375"/>
      <c r="DW186" s="375"/>
      <c r="DX186" s="375"/>
      <c r="DY186" s="375"/>
      <c r="DZ186" s="375"/>
      <c r="EA186" s="375"/>
      <c r="EB186" s="375"/>
      <c r="EC186" s="375"/>
      <c r="ED186" s="375"/>
      <c r="EE186" s="375"/>
      <c r="EF186" s="375"/>
      <c r="EG186" s="375"/>
      <c r="EH186" s="375"/>
      <c r="EI186" s="375"/>
      <c r="EJ186" s="375"/>
      <c r="EK186" s="375"/>
      <c r="EL186" s="375"/>
      <c r="EM186" s="375"/>
      <c r="EN186" s="375"/>
      <c r="EO186" s="375"/>
      <c r="EP186" s="375"/>
      <c r="EQ186" s="375"/>
      <c r="ER186" s="375"/>
      <c r="ES186" s="375"/>
      <c r="ET186" s="375"/>
      <c r="EU186" s="375"/>
      <c r="EV186" s="375"/>
      <c r="EW186" s="375"/>
      <c r="EX186" s="375"/>
      <c r="EY186" s="375"/>
      <c r="EZ186" s="375"/>
      <c r="FA186" s="375"/>
      <c r="FB186" s="375"/>
      <c r="FC186" s="375"/>
      <c r="FD186" s="375"/>
      <c r="FE186" s="375"/>
      <c r="FF186" s="375"/>
      <c r="FG186" s="375"/>
      <c r="FH186" s="375"/>
      <c r="FI186" s="375"/>
      <c r="FJ186" s="375"/>
      <c r="FK186" s="375"/>
      <c r="FL186" s="375"/>
      <c r="FM186" s="375"/>
      <c r="FN186" s="375"/>
      <c r="FO186" s="375"/>
      <c r="FP186" s="375"/>
      <c r="FQ186" s="375"/>
      <c r="FR186" s="375"/>
      <c r="FS186" s="375"/>
      <c r="FT186" s="375"/>
      <c r="FU186" s="375"/>
      <c r="FV186" s="375"/>
      <c r="FW186" s="375"/>
      <c r="FX186" s="375"/>
      <c r="FY186" s="375"/>
      <c r="FZ186" s="375"/>
      <c r="GA186" s="375"/>
      <c r="GB186" s="375"/>
      <c r="GC186" s="375"/>
      <c r="GD186" s="375"/>
      <c r="GE186" s="375"/>
      <c r="GF186" s="375"/>
      <c r="GG186" s="375"/>
      <c r="GH186" s="375"/>
      <c r="GI186" s="375"/>
      <c r="GJ186" s="375"/>
    </row>
    <row r="187" spans="1:16384" ht="26.25" customHeight="1">
      <c r="A187" s="34"/>
      <c r="B187" s="256"/>
      <c r="C187" s="256"/>
      <c r="D187" s="257"/>
      <c r="E187" s="258" t="s">
        <v>60</v>
      </c>
      <c r="F187" s="267"/>
      <c r="G187" s="259">
        <f>G5+G21+G113+G41+G49+G98+G137+G167+G183+G176+G164+G157</f>
        <v>2244822078</v>
      </c>
      <c r="H187" s="259">
        <f>H5+H21+H113+H41+H49+H98+H137+H157+H164+H183+H176+H167</f>
        <v>507138992.06999999</v>
      </c>
      <c r="I187" s="268">
        <f>G187+H187</f>
        <v>2751961070.0700002</v>
      </c>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5"/>
      <c r="AY187" s="375"/>
      <c r="AZ187" s="375"/>
      <c r="BA187" s="375"/>
      <c r="BB187" s="375"/>
      <c r="BC187" s="375"/>
      <c r="BD187" s="375"/>
      <c r="BE187" s="375"/>
      <c r="BF187" s="375"/>
      <c r="BG187" s="375"/>
      <c r="BH187" s="375"/>
      <c r="BI187" s="375"/>
      <c r="BJ187" s="375"/>
      <c r="BK187" s="375"/>
      <c r="BL187" s="375"/>
      <c r="BM187" s="375"/>
      <c r="BN187" s="375"/>
      <c r="BO187" s="375"/>
      <c r="BP187" s="375"/>
      <c r="BQ187" s="375"/>
      <c r="BR187" s="375"/>
      <c r="BS187" s="375"/>
      <c r="BT187" s="375"/>
      <c r="BU187" s="375"/>
      <c r="BV187" s="375"/>
      <c r="BW187" s="375"/>
      <c r="BX187" s="375"/>
      <c r="BY187" s="375"/>
      <c r="BZ187" s="375"/>
      <c r="CA187" s="375"/>
      <c r="CB187" s="375"/>
      <c r="CC187" s="375"/>
      <c r="CD187" s="375"/>
      <c r="CE187" s="375"/>
      <c r="CF187" s="375"/>
      <c r="CG187" s="375"/>
      <c r="CH187" s="375"/>
      <c r="CI187" s="375"/>
      <c r="CJ187" s="375"/>
      <c r="CK187" s="375"/>
      <c r="CL187" s="375"/>
      <c r="CM187" s="375"/>
      <c r="CN187" s="375"/>
      <c r="CO187" s="375"/>
      <c r="CP187" s="375"/>
      <c r="CQ187" s="375"/>
      <c r="CR187" s="375"/>
      <c r="CS187" s="375"/>
      <c r="CT187" s="375"/>
      <c r="CU187" s="375"/>
      <c r="CV187" s="375"/>
      <c r="CW187" s="375"/>
      <c r="CX187" s="375"/>
      <c r="CY187" s="375"/>
      <c r="CZ187" s="375"/>
      <c r="DA187" s="375"/>
      <c r="DB187" s="375"/>
      <c r="DC187" s="375"/>
      <c r="DD187" s="375"/>
      <c r="DE187" s="375"/>
      <c r="DF187" s="375"/>
      <c r="DG187" s="375"/>
      <c r="DH187" s="375"/>
      <c r="DI187" s="375"/>
      <c r="DJ187" s="375"/>
      <c r="DK187" s="375"/>
      <c r="DL187" s="375"/>
      <c r="DM187" s="375"/>
      <c r="DN187" s="375"/>
      <c r="DO187" s="375"/>
      <c r="DP187" s="375"/>
      <c r="DQ187" s="375"/>
      <c r="DR187" s="375"/>
      <c r="DS187" s="375"/>
      <c r="DT187" s="375"/>
      <c r="DU187" s="375"/>
      <c r="DV187" s="375"/>
      <c r="DW187" s="375"/>
      <c r="DX187" s="375"/>
      <c r="DY187" s="375"/>
      <c r="DZ187" s="375"/>
      <c r="EA187" s="375"/>
      <c r="EB187" s="375"/>
      <c r="EC187" s="375"/>
      <c r="ED187" s="375"/>
      <c r="EE187" s="375"/>
      <c r="EF187" s="375"/>
      <c r="EG187" s="375"/>
      <c r="EH187" s="375"/>
      <c r="EI187" s="375"/>
      <c r="EJ187" s="375"/>
      <c r="EK187" s="375"/>
      <c r="EL187" s="375"/>
      <c r="EM187" s="375"/>
      <c r="EN187" s="375"/>
      <c r="EO187" s="375"/>
      <c r="EP187" s="375"/>
      <c r="EQ187" s="375"/>
      <c r="ER187" s="375"/>
      <c r="ES187" s="375"/>
      <c r="ET187" s="375"/>
      <c r="EU187" s="375"/>
      <c r="EV187" s="375"/>
      <c r="EW187" s="375"/>
      <c r="EX187" s="375"/>
      <c r="EY187" s="375"/>
      <c r="EZ187" s="375"/>
      <c r="FA187" s="375"/>
      <c r="FB187" s="375"/>
      <c r="FC187" s="375"/>
      <c r="FD187" s="375"/>
      <c r="FE187" s="375"/>
      <c r="FF187" s="375"/>
      <c r="FG187" s="375"/>
      <c r="FH187" s="375"/>
      <c r="FI187" s="375"/>
      <c r="FJ187" s="375"/>
      <c r="FK187" s="375"/>
      <c r="FL187" s="375"/>
      <c r="FM187" s="375"/>
      <c r="FN187" s="375"/>
      <c r="FO187" s="375"/>
      <c r="FP187" s="375"/>
      <c r="FQ187" s="375"/>
      <c r="FR187" s="375"/>
      <c r="FS187" s="375"/>
      <c r="FT187" s="375"/>
      <c r="FU187" s="375"/>
      <c r="FV187" s="375"/>
      <c r="FW187" s="375"/>
      <c r="FX187" s="375"/>
      <c r="FY187" s="375"/>
      <c r="FZ187" s="375"/>
      <c r="GA187" s="375"/>
      <c r="GB187" s="375"/>
      <c r="GC187" s="375"/>
      <c r="GD187" s="375"/>
      <c r="GE187" s="375"/>
      <c r="GF187" s="375"/>
      <c r="GG187" s="375"/>
      <c r="GH187" s="375"/>
      <c r="GI187" s="375"/>
      <c r="GJ187" s="375"/>
    </row>
    <row r="188" spans="1:16384" ht="26.25" customHeight="1">
      <c r="A188" s="600" t="s">
        <v>646</v>
      </c>
      <c r="B188" s="619"/>
      <c r="C188" s="619"/>
      <c r="D188" s="619"/>
      <c r="E188" s="619"/>
      <c r="F188" s="619"/>
      <c r="G188" s="619"/>
      <c r="H188" s="619"/>
      <c r="I188" s="619"/>
      <c r="J188" s="619"/>
      <c r="K188" s="619"/>
      <c r="L188" s="619"/>
      <c r="M188" s="619"/>
      <c r="N188" s="619"/>
      <c r="O188" s="619"/>
      <c r="P188" s="619"/>
      <c r="Q188" s="620"/>
      <c r="R188" s="619"/>
      <c r="S188" s="619"/>
      <c r="T188" s="619"/>
      <c r="U188" s="619"/>
      <c r="V188" s="619"/>
      <c r="W188" s="619"/>
      <c r="X188" s="619"/>
      <c r="Y188" s="619"/>
      <c r="Z188" s="619"/>
      <c r="AA188" s="619"/>
      <c r="AB188" s="619"/>
      <c r="AC188" s="619"/>
      <c r="AD188" s="619"/>
      <c r="AE188" s="619"/>
      <c r="AF188" s="619"/>
      <c r="AG188" s="620"/>
      <c r="AH188" s="619"/>
      <c r="AI188" s="619"/>
      <c r="AJ188" s="619"/>
      <c r="AK188" s="619"/>
      <c r="AL188" s="619"/>
      <c r="AM188" s="619"/>
      <c r="AN188" s="619"/>
      <c r="AO188" s="619"/>
      <c r="AP188" s="619"/>
      <c r="AQ188" s="619"/>
      <c r="AR188" s="619"/>
      <c r="AS188" s="619"/>
      <c r="AT188" s="619"/>
      <c r="AU188" s="619"/>
      <c r="AV188" s="619"/>
      <c r="AW188" s="620"/>
      <c r="AX188" s="619"/>
      <c r="AY188" s="619"/>
      <c r="AZ188" s="619"/>
      <c r="BA188" s="619"/>
      <c r="BB188" s="619"/>
      <c r="BC188" s="619"/>
      <c r="BD188" s="619"/>
      <c r="BE188" s="619"/>
      <c r="BF188" s="619"/>
      <c r="BG188" s="619"/>
      <c r="BH188" s="619"/>
      <c r="BI188" s="619"/>
      <c r="BJ188" s="619"/>
      <c r="BK188" s="619"/>
      <c r="BL188" s="619"/>
      <c r="BM188" s="620"/>
      <c r="BN188" s="619"/>
      <c r="BO188" s="619"/>
      <c r="BP188" s="619"/>
      <c r="BQ188" s="619"/>
      <c r="BR188" s="619"/>
      <c r="BS188" s="619"/>
      <c r="BT188" s="619"/>
      <c r="BU188" s="619"/>
      <c r="BV188" s="619"/>
      <c r="BW188" s="619"/>
      <c r="BX188" s="619"/>
      <c r="BY188" s="619"/>
      <c r="BZ188" s="619"/>
      <c r="CA188" s="619"/>
      <c r="CB188" s="619"/>
      <c r="CC188" s="620"/>
      <c r="CD188" s="619"/>
      <c r="CE188" s="619"/>
      <c r="CF188" s="619"/>
      <c r="CG188" s="619"/>
      <c r="CH188" s="619"/>
      <c r="CI188" s="619"/>
      <c r="CJ188" s="619"/>
      <c r="CK188" s="619"/>
      <c r="CL188" s="619"/>
      <c r="CM188" s="619"/>
      <c r="CN188" s="619"/>
      <c r="CO188" s="619"/>
      <c r="CP188" s="619"/>
      <c r="CQ188" s="619"/>
      <c r="CR188" s="619"/>
      <c r="CS188" s="620"/>
      <c r="CT188" s="619"/>
      <c r="CU188" s="619"/>
      <c r="CV188" s="619"/>
      <c r="CW188" s="619"/>
      <c r="CX188" s="619"/>
      <c r="CY188" s="619"/>
      <c r="CZ188" s="619"/>
      <c r="DA188" s="619"/>
      <c r="DB188" s="619"/>
      <c r="DC188" s="619"/>
      <c r="DD188" s="619"/>
      <c r="DE188" s="619"/>
      <c r="DF188" s="619"/>
      <c r="DG188" s="619"/>
      <c r="DH188" s="619"/>
      <c r="DI188" s="620"/>
      <c r="DJ188" s="619"/>
      <c r="DK188" s="619"/>
      <c r="DL188" s="619"/>
      <c r="DM188" s="619"/>
      <c r="DN188" s="619"/>
      <c r="DO188" s="619"/>
      <c r="DP188" s="619"/>
      <c r="DQ188" s="619"/>
      <c r="DR188" s="619"/>
      <c r="DS188" s="619"/>
      <c r="DT188" s="619"/>
      <c r="DU188" s="619"/>
      <c r="DV188" s="619"/>
      <c r="DW188" s="619"/>
      <c r="DX188" s="619"/>
      <c r="DY188" s="620"/>
      <c r="DZ188" s="619"/>
      <c r="EA188" s="619"/>
      <c r="EB188" s="619"/>
      <c r="EC188" s="619"/>
      <c r="ED188" s="619"/>
      <c r="EE188" s="619"/>
      <c r="EF188" s="619"/>
      <c r="EG188" s="619"/>
      <c r="EH188" s="619"/>
      <c r="EI188" s="619"/>
      <c r="EJ188" s="619"/>
      <c r="EK188" s="619"/>
      <c r="EL188" s="619"/>
      <c r="EM188" s="619"/>
      <c r="EN188" s="619"/>
      <c r="EO188" s="620"/>
      <c r="EP188" s="619"/>
      <c r="EQ188" s="619"/>
      <c r="ER188" s="619"/>
      <c r="ES188" s="619"/>
      <c r="ET188" s="619"/>
      <c r="EU188" s="619"/>
      <c r="EV188" s="619"/>
      <c r="EW188" s="619"/>
      <c r="EX188" s="619"/>
      <c r="EY188" s="619"/>
      <c r="EZ188" s="619"/>
      <c r="FA188" s="619"/>
      <c r="FB188" s="619"/>
      <c r="FC188" s="619"/>
      <c r="FD188" s="619"/>
      <c r="FE188" s="620"/>
      <c r="FF188" s="619"/>
      <c r="FG188" s="619"/>
      <c r="FH188" s="619"/>
      <c r="FI188" s="619"/>
      <c r="FJ188" s="619"/>
      <c r="FK188" s="619"/>
      <c r="FL188" s="619"/>
      <c r="FM188" s="619"/>
      <c r="FN188" s="619"/>
      <c r="FO188" s="619"/>
      <c r="FP188" s="619"/>
      <c r="FQ188" s="619"/>
      <c r="FR188" s="619"/>
      <c r="FS188" s="619"/>
      <c r="FT188" s="619"/>
      <c r="FU188" s="620"/>
      <c r="FV188" s="619"/>
      <c r="FW188" s="619"/>
      <c r="FX188" s="619"/>
      <c r="FY188" s="619"/>
      <c r="FZ188" s="619"/>
      <c r="GA188" s="619"/>
      <c r="GB188" s="619"/>
      <c r="GC188" s="619"/>
      <c r="GD188" s="619"/>
      <c r="GE188" s="619"/>
      <c r="GF188" s="619"/>
      <c r="GG188" s="619"/>
      <c r="GH188" s="619"/>
      <c r="GI188" s="619"/>
      <c r="GJ188" s="619"/>
      <c r="GK188" s="600" t="s">
        <v>646</v>
      </c>
      <c r="GL188" s="601"/>
      <c r="GM188" s="601"/>
      <c r="GN188" s="601"/>
      <c r="GO188" s="601"/>
      <c r="GP188" s="601"/>
      <c r="GQ188" s="601"/>
      <c r="GR188" s="601"/>
      <c r="GS188" s="601"/>
      <c r="GT188" s="601"/>
      <c r="GU188" s="601"/>
      <c r="GV188" s="601"/>
      <c r="GW188" s="601"/>
      <c r="GX188" s="601"/>
      <c r="GY188" s="601"/>
      <c r="GZ188" s="601"/>
      <c r="HA188" s="600" t="s">
        <v>646</v>
      </c>
      <c r="HB188" s="601"/>
      <c r="HC188" s="601"/>
      <c r="HD188" s="601"/>
      <c r="HE188" s="601"/>
      <c r="HF188" s="601"/>
      <c r="HG188" s="601"/>
      <c r="HH188" s="601"/>
      <c r="HI188" s="601"/>
      <c r="HJ188" s="601"/>
      <c r="HK188" s="601"/>
      <c r="HL188" s="601"/>
      <c r="HM188" s="601"/>
      <c r="HN188" s="601"/>
      <c r="HO188" s="601"/>
      <c r="HP188" s="601"/>
      <c r="HQ188" s="600" t="s">
        <v>646</v>
      </c>
      <c r="HR188" s="601"/>
      <c r="HS188" s="601"/>
      <c r="HT188" s="601"/>
      <c r="HU188" s="601"/>
      <c r="HV188" s="601"/>
      <c r="HW188" s="601"/>
      <c r="HX188" s="601"/>
      <c r="HY188" s="601"/>
      <c r="HZ188" s="601"/>
      <c r="IA188" s="601"/>
      <c r="IB188" s="601"/>
      <c r="IC188" s="601"/>
      <c r="ID188" s="601"/>
      <c r="IE188" s="601"/>
      <c r="IF188" s="601"/>
      <c r="IG188" s="600" t="s">
        <v>646</v>
      </c>
      <c r="IH188" s="601"/>
      <c r="II188" s="601"/>
      <c r="IJ188" s="601"/>
      <c r="IK188" s="601"/>
      <c r="IL188" s="601"/>
      <c r="IM188" s="601"/>
      <c r="IN188" s="601"/>
      <c r="IO188" s="601"/>
      <c r="IP188" s="601"/>
      <c r="IQ188" s="601"/>
      <c r="IR188" s="601"/>
      <c r="IS188" s="601"/>
      <c r="IT188" s="601"/>
      <c r="IU188" s="601"/>
      <c r="IV188" s="601"/>
      <c r="IW188" s="600" t="s">
        <v>646</v>
      </c>
      <c r="IX188" s="601"/>
      <c r="IY188" s="601"/>
      <c r="IZ188" s="601"/>
      <c r="JA188" s="601"/>
      <c r="JB188" s="601"/>
      <c r="JC188" s="601"/>
      <c r="JD188" s="601"/>
      <c r="JE188" s="601"/>
      <c r="JF188" s="601"/>
      <c r="JG188" s="601"/>
      <c r="JH188" s="601"/>
      <c r="JI188" s="601"/>
      <c r="JJ188" s="601"/>
      <c r="JK188" s="601"/>
      <c r="JL188" s="601"/>
      <c r="JM188" s="600" t="s">
        <v>646</v>
      </c>
      <c r="JN188" s="601"/>
      <c r="JO188" s="601"/>
      <c r="JP188" s="601"/>
      <c r="JQ188" s="601"/>
      <c r="JR188" s="601"/>
      <c r="JS188" s="601"/>
      <c r="JT188" s="601"/>
      <c r="JU188" s="601"/>
      <c r="JV188" s="601"/>
      <c r="JW188" s="601"/>
      <c r="JX188" s="601"/>
      <c r="JY188" s="601"/>
      <c r="JZ188" s="601"/>
      <c r="KA188" s="601"/>
      <c r="KB188" s="601"/>
      <c r="KC188" s="600" t="s">
        <v>646</v>
      </c>
      <c r="KD188" s="601"/>
      <c r="KE188" s="601"/>
      <c r="KF188" s="601"/>
      <c r="KG188" s="601"/>
      <c r="KH188" s="601"/>
      <c r="KI188" s="601"/>
      <c r="KJ188" s="601"/>
      <c r="KK188" s="601"/>
      <c r="KL188" s="601"/>
      <c r="KM188" s="601"/>
      <c r="KN188" s="601"/>
      <c r="KO188" s="601"/>
      <c r="KP188" s="601"/>
      <c r="KQ188" s="601"/>
      <c r="KR188" s="601"/>
      <c r="KS188" s="600" t="s">
        <v>646</v>
      </c>
      <c r="KT188" s="601"/>
      <c r="KU188" s="601"/>
      <c r="KV188" s="601"/>
      <c r="KW188" s="601"/>
      <c r="KX188" s="601"/>
      <c r="KY188" s="601"/>
      <c r="KZ188" s="601"/>
      <c r="LA188" s="601"/>
      <c r="LB188" s="601"/>
      <c r="LC188" s="601"/>
      <c r="LD188" s="601"/>
      <c r="LE188" s="601"/>
      <c r="LF188" s="601"/>
      <c r="LG188" s="601"/>
      <c r="LH188" s="601"/>
      <c r="LI188" s="600" t="s">
        <v>646</v>
      </c>
      <c r="LJ188" s="601"/>
      <c r="LK188" s="601"/>
      <c r="LL188" s="601"/>
      <c r="LM188" s="601"/>
      <c r="LN188" s="601"/>
      <c r="LO188" s="601"/>
      <c r="LP188" s="601"/>
      <c r="LQ188" s="601"/>
      <c r="LR188" s="601"/>
      <c r="LS188" s="601"/>
      <c r="LT188" s="601"/>
      <c r="LU188" s="601"/>
      <c r="LV188" s="601"/>
      <c r="LW188" s="601"/>
      <c r="LX188" s="601"/>
      <c r="LY188" s="600" t="s">
        <v>646</v>
      </c>
      <c r="LZ188" s="601"/>
      <c r="MA188" s="601"/>
      <c r="MB188" s="601"/>
      <c r="MC188" s="601"/>
      <c r="MD188" s="601"/>
      <c r="ME188" s="601"/>
      <c r="MF188" s="601"/>
      <c r="MG188" s="601"/>
      <c r="MH188" s="601"/>
      <c r="MI188" s="601"/>
      <c r="MJ188" s="601"/>
      <c r="MK188" s="601"/>
      <c r="ML188" s="601"/>
      <c r="MM188" s="601"/>
      <c r="MN188" s="601"/>
      <c r="MO188" s="600" t="s">
        <v>646</v>
      </c>
      <c r="MP188" s="601"/>
      <c r="MQ188" s="601"/>
      <c r="MR188" s="601"/>
      <c r="MS188" s="601"/>
      <c r="MT188" s="601"/>
      <c r="MU188" s="601"/>
      <c r="MV188" s="601"/>
      <c r="MW188" s="601"/>
      <c r="MX188" s="601"/>
      <c r="MY188" s="601"/>
      <c r="MZ188" s="601"/>
      <c r="NA188" s="601"/>
      <c r="NB188" s="601"/>
      <c r="NC188" s="601"/>
      <c r="ND188" s="601"/>
      <c r="NE188" s="600" t="s">
        <v>646</v>
      </c>
      <c r="NF188" s="601"/>
      <c r="NG188" s="601"/>
      <c r="NH188" s="601"/>
      <c r="NI188" s="601"/>
      <c r="NJ188" s="601"/>
      <c r="NK188" s="601"/>
      <c r="NL188" s="601"/>
      <c r="NM188" s="601"/>
      <c r="NN188" s="601"/>
      <c r="NO188" s="601"/>
      <c r="NP188" s="601"/>
      <c r="NQ188" s="601"/>
      <c r="NR188" s="601"/>
      <c r="NS188" s="601"/>
      <c r="NT188" s="601"/>
      <c r="NU188" s="600" t="s">
        <v>646</v>
      </c>
      <c r="NV188" s="601"/>
      <c r="NW188" s="601"/>
      <c r="NX188" s="601"/>
      <c r="NY188" s="601"/>
      <c r="NZ188" s="601"/>
      <c r="OA188" s="601"/>
      <c r="OB188" s="601"/>
      <c r="OC188" s="601"/>
      <c r="OD188" s="601"/>
      <c r="OE188" s="601"/>
      <c r="OF188" s="601"/>
      <c r="OG188" s="601"/>
      <c r="OH188" s="601"/>
      <c r="OI188" s="601"/>
      <c r="OJ188" s="601"/>
      <c r="OK188" s="600" t="s">
        <v>646</v>
      </c>
      <c r="OL188" s="601"/>
      <c r="OM188" s="601"/>
      <c r="ON188" s="601"/>
      <c r="OO188" s="601"/>
      <c r="OP188" s="601"/>
      <c r="OQ188" s="601"/>
      <c r="OR188" s="601"/>
      <c r="OS188" s="601"/>
      <c r="OT188" s="601"/>
      <c r="OU188" s="601"/>
      <c r="OV188" s="601"/>
      <c r="OW188" s="601"/>
      <c r="OX188" s="601"/>
      <c r="OY188" s="601"/>
      <c r="OZ188" s="601"/>
      <c r="PA188" s="600" t="s">
        <v>646</v>
      </c>
      <c r="PB188" s="601"/>
      <c r="PC188" s="601"/>
      <c r="PD188" s="601"/>
      <c r="PE188" s="601"/>
      <c r="PF188" s="601"/>
      <c r="PG188" s="601"/>
      <c r="PH188" s="601"/>
      <c r="PI188" s="601"/>
      <c r="PJ188" s="601"/>
      <c r="PK188" s="601"/>
      <c r="PL188" s="601"/>
      <c r="PM188" s="601"/>
      <c r="PN188" s="601"/>
      <c r="PO188" s="601"/>
      <c r="PP188" s="601"/>
      <c r="PQ188" s="600" t="s">
        <v>646</v>
      </c>
      <c r="PR188" s="601"/>
      <c r="PS188" s="601"/>
      <c r="PT188" s="601"/>
      <c r="PU188" s="601"/>
      <c r="PV188" s="601"/>
      <c r="PW188" s="601"/>
      <c r="PX188" s="601"/>
      <c r="PY188" s="601"/>
      <c r="PZ188" s="601"/>
      <c r="QA188" s="601"/>
      <c r="QB188" s="601"/>
      <c r="QC188" s="601"/>
      <c r="QD188" s="601"/>
      <c r="QE188" s="601"/>
      <c r="QF188" s="601"/>
      <c r="QG188" s="600" t="s">
        <v>646</v>
      </c>
      <c r="QH188" s="601"/>
      <c r="QI188" s="601"/>
      <c r="QJ188" s="601"/>
      <c r="QK188" s="601"/>
      <c r="QL188" s="601"/>
      <c r="QM188" s="601"/>
      <c r="QN188" s="601"/>
      <c r="QO188" s="601"/>
      <c r="QP188" s="601"/>
      <c r="QQ188" s="601"/>
      <c r="QR188" s="601"/>
      <c r="QS188" s="601"/>
      <c r="QT188" s="601"/>
      <c r="QU188" s="601"/>
      <c r="QV188" s="601"/>
      <c r="QW188" s="600" t="s">
        <v>646</v>
      </c>
      <c r="QX188" s="601"/>
      <c r="QY188" s="601"/>
      <c r="QZ188" s="601"/>
      <c r="RA188" s="601"/>
      <c r="RB188" s="601"/>
      <c r="RC188" s="601"/>
      <c r="RD188" s="601"/>
      <c r="RE188" s="601"/>
      <c r="RF188" s="601"/>
      <c r="RG188" s="601"/>
      <c r="RH188" s="601"/>
      <c r="RI188" s="601"/>
      <c r="RJ188" s="601"/>
      <c r="RK188" s="601"/>
      <c r="RL188" s="601"/>
      <c r="RM188" s="600" t="s">
        <v>646</v>
      </c>
      <c r="RN188" s="601"/>
      <c r="RO188" s="601"/>
      <c r="RP188" s="601"/>
      <c r="RQ188" s="601"/>
      <c r="RR188" s="601"/>
      <c r="RS188" s="601"/>
      <c r="RT188" s="601"/>
      <c r="RU188" s="601"/>
      <c r="RV188" s="601"/>
      <c r="RW188" s="601"/>
      <c r="RX188" s="601"/>
      <c r="RY188" s="601"/>
      <c r="RZ188" s="601"/>
      <c r="SA188" s="601"/>
      <c r="SB188" s="601"/>
      <c r="SC188" s="600" t="s">
        <v>646</v>
      </c>
      <c r="SD188" s="601"/>
      <c r="SE188" s="601"/>
      <c r="SF188" s="601"/>
      <c r="SG188" s="601"/>
      <c r="SH188" s="601"/>
      <c r="SI188" s="601"/>
      <c r="SJ188" s="601"/>
      <c r="SK188" s="601"/>
      <c r="SL188" s="601"/>
      <c r="SM188" s="601"/>
      <c r="SN188" s="601"/>
      <c r="SO188" s="601"/>
      <c r="SP188" s="601"/>
      <c r="SQ188" s="601"/>
      <c r="SR188" s="601"/>
      <c r="SS188" s="600" t="s">
        <v>646</v>
      </c>
      <c r="ST188" s="601"/>
      <c r="SU188" s="601"/>
      <c r="SV188" s="601"/>
      <c r="SW188" s="601"/>
      <c r="SX188" s="601"/>
      <c r="SY188" s="601"/>
      <c r="SZ188" s="601"/>
      <c r="TA188" s="601"/>
      <c r="TB188" s="601"/>
      <c r="TC188" s="601"/>
      <c r="TD188" s="601"/>
      <c r="TE188" s="601"/>
      <c r="TF188" s="601"/>
      <c r="TG188" s="601"/>
      <c r="TH188" s="601"/>
      <c r="TI188" s="600" t="s">
        <v>646</v>
      </c>
      <c r="TJ188" s="601"/>
      <c r="TK188" s="601"/>
      <c r="TL188" s="601"/>
      <c r="TM188" s="601"/>
      <c r="TN188" s="601"/>
      <c r="TO188" s="601"/>
      <c r="TP188" s="601"/>
      <c r="TQ188" s="601"/>
      <c r="TR188" s="601"/>
      <c r="TS188" s="601"/>
      <c r="TT188" s="601"/>
      <c r="TU188" s="601"/>
      <c r="TV188" s="601"/>
      <c r="TW188" s="601"/>
      <c r="TX188" s="601"/>
      <c r="TY188" s="600" t="s">
        <v>646</v>
      </c>
      <c r="TZ188" s="601"/>
      <c r="UA188" s="601"/>
      <c r="UB188" s="601"/>
      <c r="UC188" s="601"/>
      <c r="UD188" s="601"/>
      <c r="UE188" s="601"/>
      <c r="UF188" s="601"/>
      <c r="UG188" s="601"/>
      <c r="UH188" s="601"/>
      <c r="UI188" s="601"/>
      <c r="UJ188" s="601"/>
      <c r="UK188" s="601"/>
      <c r="UL188" s="601"/>
      <c r="UM188" s="601"/>
      <c r="UN188" s="601"/>
      <c r="UO188" s="600" t="s">
        <v>646</v>
      </c>
      <c r="UP188" s="601"/>
      <c r="UQ188" s="601"/>
      <c r="UR188" s="601"/>
      <c r="US188" s="601"/>
      <c r="UT188" s="601"/>
      <c r="UU188" s="601"/>
      <c r="UV188" s="601"/>
      <c r="UW188" s="601"/>
      <c r="UX188" s="601"/>
      <c r="UY188" s="601"/>
      <c r="UZ188" s="601"/>
      <c r="VA188" s="601"/>
      <c r="VB188" s="601"/>
      <c r="VC188" s="601"/>
      <c r="VD188" s="601"/>
      <c r="VE188" s="600" t="s">
        <v>646</v>
      </c>
      <c r="VF188" s="601"/>
      <c r="VG188" s="601"/>
      <c r="VH188" s="601"/>
      <c r="VI188" s="601"/>
      <c r="VJ188" s="601"/>
      <c r="VK188" s="601"/>
      <c r="VL188" s="601"/>
      <c r="VM188" s="601"/>
      <c r="VN188" s="601"/>
      <c r="VO188" s="601"/>
      <c r="VP188" s="601"/>
      <c r="VQ188" s="601"/>
      <c r="VR188" s="601"/>
      <c r="VS188" s="601"/>
      <c r="VT188" s="601"/>
      <c r="VU188" s="600" t="s">
        <v>646</v>
      </c>
      <c r="VV188" s="601"/>
      <c r="VW188" s="601"/>
      <c r="VX188" s="601"/>
      <c r="VY188" s="601"/>
      <c r="VZ188" s="601"/>
      <c r="WA188" s="601"/>
      <c r="WB188" s="601"/>
      <c r="WC188" s="601"/>
      <c r="WD188" s="601"/>
      <c r="WE188" s="601"/>
      <c r="WF188" s="601"/>
      <c r="WG188" s="601"/>
      <c r="WH188" s="601"/>
      <c r="WI188" s="601"/>
      <c r="WJ188" s="601"/>
      <c r="WK188" s="600" t="s">
        <v>646</v>
      </c>
      <c r="WL188" s="601"/>
      <c r="WM188" s="601"/>
      <c r="WN188" s="601"/>
      <c r="WO188" s="601"/>
      <c r="WP188" s="601"/>
      <c r="WQ188" s="601"/>
      <c r="WR188" s="601"/>
      <c r="WS188" s="601"/>
      <c r="WT188" s="601"/>
      <c r="WU188" s="601"/>
      <c r="WV188" s="601"/>
      <c r="WW188" s="601"/>
      <c r="WX188" s="601"/>
      <c r="WY188" s="601"/>
      <c r="WZ188" s="601"/>
      <c r="XA188" s="600" t="s">
        <v>646</v>
      </c>
      <c r="XB188" s="601"/>
      <c r="XC188" s="601"/>
      <c r="XD188" s="601"/>
      <c r="XE188" s="601"/>
      <c r="XF188" s="601"/>
      <c r="XG188" s="601"/>
      <c r="XH188" s="601"/>
      <c r="XI188" s="601"/>
      <c r="XJ188" s="601"/>
      <c r="XK188" s="601"/>
      <c r="XL188" s="601"/>
      <c r="XM188" s="601"/>
      <c r="XN188" s="601"/>
      <c r="XO188" s="601"/>
      <c r="XP188" s="601"/>
      <c r="XQ188" s="600" t="s">
        <v>646</v>
      </c>
      <c r="XR188" s="601"/>
      <c r="XS188" s="601"/>
      <c r="XT188" s="601"/>
      <c r="XU188" s="601"/>
      <c r="XV188" s="601"/>
      <c r="XW188" s="601"/>
      <c r="XX188" s="601"/>
      <c r="XY188" s="601"/>
      <c r="XZ188" s="601"/>
      <c r="YA188" s="601"/>
      <c r="YB188" s="601"/>
      <c r="YC188" s="601"/>
      <c r="YD188" s="601"/>
      <c r="YE188" s="601"/>
      <c r="YF188" s="601"/>
      <c r="YG188" s="600" t="s">
        <v>646</v>
      </c>
      <c r="YH188" s="601"/>
      <c r="YI188" s="601"/>
      <c r="YJ188" s="601"/>
      <c r="YK188" s="601"/>
      <c r="YL188" s="601"/>
      <c r="YM188" s="601"/>
      <c r="YN188" s="601"/>
      <c r="YO188" s="601"/>
      <c r="YP188" s="601"/>
      <c r="YQ188" s="601"/>
      <c r="YR188" s="601"/>
      <c r="YS188" s="601"/>
      <c r="YT188" s="601"/>
      <c r="YU188" s="601"/>
      <c r="YV188" s="601"/>
      <c r="YW188" s="600" t="s">
        <v>646</v>
      </c>
      <c r="YX188" s="601"/>
      <c r="YY188" s="601"/>
      <c r="YZ188" s="601"/>
      <c r="ZA188" s="601"/>
      <c r="ZB188" s="601"/>
      <c r="ZC188" s="601"/>
      <c r="ZD188" s="601"/>
      <c r="ZE188" s="601"/>
      <c r="ZF188" s="601"/>
      <c r="ZG188" s="601"/>
      <c r="ZH188" s="601"/>
      <c r="ZI188" s="601"/>
      <c r="ZJ188" s="601"/>
      <c r="ZK188" s="601"/>
      <c r="ZL188" s="601"/>
      <c r="ZM188" s="600" t="s">
        <v>646</v>
      </c>
      <c r="ZN188" s="601"/>
      <c r="ZO188" s="601"/>
      <c r="ZP188" s="601"/>
      <c r="ZQ188" s="601"/>
      <c r="ZR188" s="601"/>
      <c r="ZS188" s="601"/>
      <c r="ZT188" s="601"/>
      <c r="ZU188" s="601"/>
      <c r="ZV188" s="601"/>
      <c r="ZW188" s="601"/>
      <c r="ZX188" s="601"/>
      <c r="ZY188" s="601"/>
      <c r="ZZ188" s="601"/>
      <c r="AAA188" s="601"/>
      <c r="AAB188" s="601"/>
      <c r="AAC188" s="600" t="s">
        <v>646</v>
      </c>
      <c r="AAD188" s="601"/>
      <c r="AAE188" s="601"/>
      <c r="AAF188" s="601"/>
      <c r="AAG188" s="601"/>
      <c r="AAH188" s="601"/>
      <c r="AAI188" s="601"/>
      <c r="AAJ188" s="601"/>
      <c r="AAK188" s="601"/>
      <c r="AAL188" s="601"/>
      <c r="AAM188" s="601"/>
      <c r="AAN188" s="601"/>
      <c r="AAO188" s="601"/>
      <c r="AAP188" s="601"/>
      <c r="AAQ188" s="601"/>
      <c r="AAR188" s="601"/>
      <c r="AAS188" s="600" t="s">
        <v>646</v>
      </c>
      <c r="AAT188" s="601"/>
      <c r="AAU188" s="601"/>
      <c r="AAV188" s="601"/>
      <c r="AAW188" s="601"/>
      <c r="AAX188" s="601"/>
      <c r="AAY188" s="601"/>
      <c r="AAZ188" s="601"/>
      <c r="ABA188" s="601"/>
      <c r="ABB188" s="601"/>
      <c r="ABC188" s="601"/>
      <c r="ABD188" s="601"/>
      <c r="ABE188" s="601"/>
      <c r="ABF188" s="601"/>
      <c r="ABG188" s="601"/>
      <c r="ABH188" s="601"/>
      <c r="ABI188" s="600" t="s">
        <v>646</v>
      </c>
      <c r="ABJ188" s="601"/>
      <c r="ABK188" s="601"/>
      <c r="ABL188" s="601"/>
      <c r="ABM188" s="601"/>
      <c r="ABN188" s="601"/>
      <c r="ABO188" s="601"/>
      <c r="ABP188" s="601"/>
      <c r="ABQ188" s="601"/>
      <c r="ABR188" s="601"/>
      <c r="ABS188" s="601"/>
      <c r="ABT188" s="601"/>
      <c r="ABU188" s="601"/>
      <c r="ABV188" s="601"/>
      <c r="ABW188" s="601"/>
      <c r="ABX188" s="601"/>
      <c r="ABY188" s="600" t="s">
        <v>646</v>
      </c>
      <c r="ABZ188" s="601"/>
      <c r="ACA188" s="601"/>
      <c r="ACB188" s="601"/>
      <c r="ACC188" s="601"/>
      <c r="ACD188" s="601"/>
      <c r="ACE188" s="601"/>
      <c r="ACF188" s="601"/>
      <c r="ACG188" s="601"/>
      <c r="ACH188" s="601"/>
      <c r="ACI188" s="601"/>
      <c r="ACJ188" s="601"/>
      <c r="ACK188" s="601"/>
      <c r="ACL188" s="601"/>
      <c r="ACM188" s="601"/>
      <c r="ACN188" s="601"/>
      <c r="ACO188" s="600" t="s">
        <v>646</v>
      </c>
      <c r="ACP188" s="601"/>
      <c r="ACQ188" s="601"/>
      <c r="ACR188" s="601"/>
      <c r="ACS188" s="601"/>
      <c r="ACT188" s="601"/>
      <c r="ACU188" s="601"/>
      <c r="ACV188" s="601"/>
      <c r="ACW188" s="601"/>
      <c r="ACX188" s="601"/>
      <c r="ACY188" s="601"/>
      <c r="ACZ188" s="601"/>
      <c r="ADA188" s="601"/>
      <c r="ADB188" s="601"/>
      <c r="ADC188" s="601"/>
      <c r="ADD188" s="601"/>
      <c r="ADE188" s="600" t="s">
        <v>646</v>
      </c>
      <c r="ADF188" s="601"/>
      <c r="ADG188" s="601"/>
      <c r="ADH188" s="601"/>
      <c r="ADI188" s="601"/>
      <c r="ADJ188" s="601"/>
      <c r="ADK188" s="601"/>
      <c r="ADL188" s="601"/>
      <c r="ADM188" s="601"/>
      <c r="ADN188" s="601"/>
      <c r="ADO188" s="601"/>
      <c r="ADP188" s="601"/>
      <c r="ADQ188" s="601"/>
      <c r="ADR188" s="601"/>
      <c r="ADS188" s="601"/>
      <c r="ADT188" s="601"/>
      <c r="ADU188" s="600" t="s">
        <v>646</v>
      </c>
      <c r="ADV188" s="601"/>
      <c r="ADW188" s="601"/>
      <c r="ADX188" s="601"/>
      <c r="ADY188" s="601"/>
      <c r="ADZ188" s="601"/>
      <c r="AEA188" s="601"/>
      <c r="AEB188" s="601"/>
      <c r="AEC188" s="601"/>
      <c r="AED188" s="601"/>
      <c r="AEE188" s="601"/>
      <c r="AEF188" s="601"/>
      <c r="AEG188" s="601"/>
      <c r="AEH188" s="601"/>
      <c r="AEI188" s="601"/>
      <c r="AEJ188" s="601"/>
      <c r="AEK188" s="600" t="s">
        <v>646</v>
      </c>
      <c r="AEL188" s="601"/>
      <c r="AEM188" s="601"/>
      <c r="AEN188" s="601"/>
      <c r="AEO188" s="601"/>
      <c r="AEP188" s="601"/>
      <c r="AEQ188" s="601"/>
      <c r="AER188" s="601"/>
      <c r="AES188" s="601"/>
      <c r="AET188" s="601"/>
      <c r="AEU188" s="601"/>
      <c r="AEV188" s="601"/>
      <c r="AEW188" s="601"/>
      <c r="AEX188" s="601"/>
      <c r="AEY188" s="601"/>
      <c r="AEZ188" s="601"/>
      <c r="AFA188" s="600" t="s">
        <v>646</v>
      </c>
      <c r="AFB188" s="601"/>
      <c r="AFC188" s="601"/>
      <c r="AFD188" s="601"/>
      <c r="AFE188" s="601"/>
      <c r="AFF188" s="601"/>
      <c r="AFG188" s="601"/>
      <c r="AFH188" s="601"/>
      <c r="AFI188" s="601"/>
      <c r="AFJ188" s="601"/>
      <c r="AFK188" s="601"/>
      <c r="AFL188" s="601"/>
      <c r="AFM188" s="601"/>
      <c r="AFN188" s="601"/>
      <c r="AFO188" s="601"/>
      <c r="AFP188" s="601"/>
      <c r="AFQ188" s="600" t="s">
        <v>646</v>
      </c>
      <c r="AFR188" s="601"/>
      <c r="AFS188" s="601"/>
      <c r="AFT188" s="601"/>
      <c r="AFU188" s="601"/>
      <c r="AFV188" s="601"/>
      <c r="AFW188" s="601"/>
      <c r="AFX188" s="601"/>
      <c r="AFY188" s="601"/>
      <c r="AFZ188" s="601"/>
      <c r="AGA188" s="601"/>
      <c r="AGB188" s="601"/>
      <c r="AGC188" s="601"/>
      <c r="AGD188" s="601"/>
      <c r="AGE188" s="601"/>
      <c r="AGF188" s="601"/>
      <c r="AGG188" s="600" t="s">
        <v>646</v>
      </c>
      <c r="AGH188" s="601"/>
      <c r="AGI188" s="601"/>
      <c r="AGJ188" s="601"/>
      <c r="AGK188" s="601"/>
      <c r="AGL188" s="601"/>
      <c r="AGM188" s="601"/>
      <c r="AGN188" s="601"/>
      <c r="AGO188" s="601"/>
      <c r="AGP188" s="601"/>
      <c r="AGQ188" s="601"/>
      <c r="AGR188" s="601"/>
      <c r="AGS188" s="601"/>
      <c r="AGT188" s="601"/>
      <c r="AGU188" s="601"/>
      <c r="AGV188" s="601"/>
      <c r="AGW188" s="600" t="s">
        <v>646</v>
      </c>
      <c r="AGX188" s="601"/>
      <c r="AGY188" s="601"/>
      <c r="AGZ188" s="601"/>
      <c r="AHA188" s="601"/>
      <c r="AHB188" s="601"/>
      <c r="AHC188" s="601"/>
      <c r="AHD188" s="601"/>
      <c r="AHE188" s="601"/>
      <c r="AHF188" s="601"/>
      <c r="AHG188" s="601"/>
      <c r="AHH188" s="601"/>
      <c r="AHI188" s="601"/>
      <c r="AHJ188" s="601"/>
      <c r="AHK188" s="601"/>
      <c r="AHL188" s="601"/>
      <c r="AHM188" s="600" t="s">
        <v>646</v>
      </c>
      <c r="AHN188" s="601"/>
      <c r="AHO188" s="601"/>
      <c r="AHP188" s="601"/>
      <c r="AHQ188" s="601"/>
      <c r="AHR188" s="601"/>
      <c r="AHS188" s="601"/>
      <c r="AHT188" s="601"/>
      <c r="AHU188" s="601"/>
      <c r="AHV188" s="601"/>
      <c r="AHW188" s="601"/>
      <c r="AHX188" s="601"/>
      <c r="AHY188" s="601"/>
      <c r="AHZ188" s="601"/>
      <c r="AIA188" s="601"/>
      <c r="AIB188" s="601"/>
      <c r="AIC188" s="600" t="s">
        <v>646</v>
      </c>
      <c r="AID188" s="601"/>
      <c r="AIE188" s="601"/>
      <c r="AIF188" s="601"/>
      <c r="AIG188" s="601"/>
      <c r="AIH188" s="601"/>
      <c r="AII188" s="601"/>
      <c r="AIJ188" s="601"/>
      <c r="AIK188" s="601"/>
      <c r="AIL188" s="601"/>
      <c r="AIM188" s="601"/>
      <c r="AIN188" s="601"/>
      <c r="AIO188" s="601"/>
      <c r="AIP188" s="601"/>
      <c r="AIQ188" s="601"/>
      <c r="AIR188" s="601"/>
      <c r="AIS188" s="600" t="s">
        <v>646</v>
      </c>
      <c r="AIT188" s="601"/>
      <c r="AIU188" s="601"/>
      <c r="AIV188" s="601"/>
      <c r="AIW188" s="601"/>
      <c r="AIX188" s="601"/>
      <c r="AIY188" s="601"/>
      <c r="AIZ188" s="601"/>
      <c r="AJA188" s="601"/>
      <c r="AJB188" s="601"/>
      <c r="AJC188" s="601"/>
      <c r="AJD188" s="601"/>
      <c r="AJE188" s="601"/>
      <c r="AJF188" s="601"/>
      <c r="AJG188" s="601"/>
      <c r="AJH188" s="601"/>
      <c r="AJI188" s="600" t="s">
        <v>646</v>
      </c>
      <c r="AJJ188" s="601"/>
      <c r="AJK188" s="601"/>
      <c r="AJL188" s="601"/>
      <c r="AJM188" s="601"/>
      <c r="AJN188" s="601"/>
      <c r="AJO188" s="601"/>
      <c r="AJP188" s="601"/>
      <c r="AJQ188" s="601"/>
      <c r="AJR188" s="601"/>
      <c r="AJS188" s="601"/>
      <c r="AJT188" s="601"/>
      <c r="AJU188" s="601"/>
      <c r="AJV188" s="601"/>
      <c r="AJW188" s="601"/>
      <c r="AJX188" s="601"/>
      <c r="AJY188" s="600" t="s">
        <v>646</v>
      </c>
      <c r="AJZ188" s="601"/>
      <c r="AKA188" s="601"/>
      <c r="AKB188" s="601"/>
      <c r="AKC188" s="601"/>
      <c r="AKD188" s="601"/>
      <c r="AKE188" s="601"/>
      <c r="AKF188" s="601"/>
      <c r="AKG188" s="601"/>
      <c r="AKH188" s="601"/>
      <c r="AKI188" s="601"/>
      <c r="AKJ188" s="601"/>
      <c r="AKK188" s="601"/>
      <c r="AKL188" s="601"/>
      <c r="AKM188" s="601"/>
      <c r="AKN188" s="601"/>
      <c r="AKO188" s="600" t="s">
        <v>646</v>
      </c>
      <c r="AKP188" s="601"/>
      <c r="AKQ188" s="601"/>
      <c r="AKR188" s="601"/>
      <c r="AKS188" s="601"/>
      <c r="AKT188" s="601"/>
      <c r="AKU188" s="601"/>
      <c r="AKV188" s="601"/>
      <c r="AKW188" s="601"/>
      <c r="AKX188" s="601"/>
      <c r="AKY188" s="601"/>
      <c r="AKZ188" s="601"/>
      <c r="ALA188" s="601"/>
      <c r="ALB188" s="601"/>
      <c r="ALC188" s="601"/>
      <c r="ALD188" s="601"/>
      <c r="ALE188" s="600" t="s">
        <v>646</v>
      </c>
      <c r="ALF188" s="601"/>
      <c r="ALG188" s="601"/>
      <c r="ALH188" s="601"/>
      <c r="ALI188" s="601"/>
      <c r="ALJ188" s="601"/>
      <c r="ALK188" s="601"/>
      <c r="ALL188" s="601"/>
      <c r="ALM188" s="601"/>
      <c r="ALN188" s="601"/>
      <c r="ALO188" s="601"/>
      <c r="ALP188" s="601"/>
      <c r="ALQ188" s="601"/>
      <c r="ALR188" s="601"/>
      <c r="ALS188" s="601"/>
      <c r="ALT188" s="601"/>
      <c r="ALU188" s="600" t="s">
        <v>646</v>
      </c>
      <c r="ALV188" s="601"/>
      <c r="ALW188" s="601"/>
      <c r="ALX188" s="601"/>
      <c r="ALY188" s="601"/>
      <c r="ALZ188" s="601"/>
      <c r="AMA188" s="601"/>
      <c r="AMB188" s="601"/>
      <c r="AMC188" s="601"/>
      <c r="AMD188" s="601"/>
      <c r="AME188" s="601"/>
      <c r="AMF188" s="601"/>
      <c r="AMG188" s="601"/>
      <c r="AMH188" s="601"/>
      <c r="AMI188" s="601"/>
      <c r="AMJ188" s="601"/>
      <c r="AMK188" s="600" t="s">
        <v>646</v>
      </c>
      <c r="AML188" s="601"/>
      <c r="AMM188" s="601"/>
      <c r="AMN188" s="601"/>
      <c r="AMO188" s="601"/>
      <c r="AMP188" s="601"/>
      <c r="AMQ188" s="601"/>
      <c r="AMR188" s="601"/>
      <c r="AMS188" s="601"/>
      <c r="AMT188" s="601"/>
      <c r="AMU188" s="601"/>
      <c r="AMV188" s="601"/>
      <c r="AMW188" s="601"/>
      <c r="AMX188" s="601"/>
      <c r="AMY188" s="601"/>
      <c r="AMZ188" s="601"/>
      <c r="ANA188" s="600" t="s">
        <v>646</v>
      </c>
      <c r="ANB188" s="601"/>
      <c r="ANC188" s="601"/>
      <c r="AND188" s="601"/>
      <c r="ANE188" s="601"/>
      <c r="ANF188" s="601"/>
      <c r="ANG188" s="601"/>
      <c r="ANH188" s="601"/>
      <c r="ANI188" s="601"/>
      <c r="ANJ188" s="601"/>
      <c r="ANK188" s="601"/>
      <c r="ANL188" s="601"/>
      <c r="ANM188" s="601"/>
      <c r="ANN188" s="601"/>
      <c r="ANO188" s="601"/>
      <c r="ANP188" s="601"/>
      <c r="ANQ188" s="600" t="s">
        <v>646</v>
      </c>
      <c r="ANR188" s="601"/>
      <c r="ANS188" s="601"/>
      <c r="ANT188" s="601"/>
      <c r="ANU188" s="601"/>
      <c r="ANV188" s="601"/>
      <c r="ANW188" s="601"/>
      <c r="ANX188" s="601"/>
      <c r="ANY188" s="601"/>
      <c r="ANZ188" s="601"/>
      <c r="AOA188" s="601"/>
      <c r="AOB188" s="601"/>
      <c r="AOC188" s="601"/>
      <c r="AOD188" s="601"/>
      <c r="AOE188" s="601"/>
      <c r="AOF188" s="601"/>
      <c r="AOG188" s="600" t="s">
        <v>646</v>
      </c>
      <c r="AOH188" s="601"/>
      <c r="AOI188" s="601"/>
      <c r="AOJ188" s="601"/>
      <c r="AOK188" s="601"/>
      <c r="AOL188" s="601"/>
      <c r="AOM188" s="601"/>
      <c r="AON188" s="601"/>
      <c r="AOO188" s="601"/>
      <c r="AOP188" s="601"/>
      <c r="AOQ188" s="601"/>
      <c r="AOR188" s="601"/>
      <c r="AOS188" s="601"/>
      <c r="AOT188" s="601"/>
      <c r="AOU188" s="601"/>
      <c r="AOV188" s="601"/>
      <c r="AOW188" s="600" t="s">
        <v>646</v>
      </c>
      <c r="AOX188" s="601"/>
      <c r="AOY188" s="601"/>
      <c r="AOZ188" s="601"/>
      <c r="APA188" s="601"/>
      <c r="APB188" s="601"/>
      <c r="APC188" s="601"/>
      <c r="APD188" s="601"/>
      <c r="APE188" s="601"/>
      <c r="APF188" s="601"/>
      <c r="APG188" s="601"/>
      <c r="APH188" s="601"/>
      <c r="API188" s="601"/>
      <c r="APJ188" s="601"/>
      <c r="APK188" s="601"/>
      <c r="APL188" s="601"/>
      <c r="APM188" s="600" t="s">
        <v>646</v>
      </c>
      <c r="APN188" s="601"/>
      <c r="APO188" s="601"/>
      <c r="APP188" s="601"/>
      <c r="APQ188" s="601"/>
      <c r="APR188" s="601"/>
      <c r="APS188" s="601"/>
      <c r="APT188" s="601"/>
      <c r="APU188" s="601"/>
      <c r="APV188" s="601"/>
      <c r="APW188" s="601"/>
      <c r="APX188" s="601"/>
      <c r="APY188" s="601"/>
      <c r="APZ188" s="601"/>
      <c r="AQA188" s="601"/>
      <c r="AQB188" s="601"/>
      <c r="AQC188" s="600" t="s">
        <v>646</v>
      </c>
      <c r="AQD188" s="601"/>
      <c r="AQE188" s="601"/>
      <c r="AQF188" s="601"/>
      <c r="AQG188" s="601"/>
      <c r="AQH188" s="601"/>
      <c r="AQI188" s="601"/>
      <c r="AQJ188" s="601"/>
      <c r="AQK188" s="601"/>
      <c r="AQL188" s="601"/>
      <c r="AQM188" s="601"/>
      <c r="AQN188" s="601"/>
      <c r="AQO188" s="601"/>
      <c r="AQP188" s="601"/>
      <c r="AQQ188" s="601"/>
      <c r="AQR188" s="601"/>
      <c r="AQS188" s="600" t="s">
        <v>646</v>
      </c>
      <c r="AQT188" s="601"/>
      <c r="AQU188" s="601"/>
      <c r="AQV188" s="601"/>
      <c r="AQW188" s="601"/>
      <c r="AQX188" s="601"/>
      <c r="AQY188" s="601"/>
      <c r="AQZ188" s="601"/>
      <c r="ARA188" s="601"/>
      <c r="ARB188" s="601"/>
      <c r="ARC188" s="601"/>
      <c r="ARD188" s="601"/>
      <c r="ARE188" s="601"/>
      <c r="ARF188" s="601"/>
      <c r="ARG188" s="601"/>
      <c r="ARH188" s="601"/>
      <c r="ARI188" s="600" t="s">
        <v>646</v>
      </c>
      <c r="ARJ188" s="601"/>
      <c r="ARK188" s="601"/>
      <c r="ARL188" s="601"/>
      <c r="ARM188" s="601"/>
      <c r="ARN188" s="601"/>
      <c r="ARO188" s="601"/>
      <c r="ARP188" s="601"/>
      <c r="ARQ188" s="601"/>
      <c r="ARR188" s="601"/>
      <c r="ARS188" s="601"/>
      <c r="ART188" s="601"/>
      <c r="ARU188" s="601"/>
      <c r="ARV188" s="601"/>
      <c r="ARW188" s="601"/>
      <c r="ARX188" s="601"/>
      <c r="ARY188" s="600" t="s">
        <v>646</v>
      </c>
      <c r="ARZ188" s="601"/>
      <c r="ASA188" s="601"/>
      <c r="ASB188" s="601"/>
      <c r="ASC188" s="601"/>
      <c r="ASD188" s="601"/>
      <c r="ASE188" s="601"/>
      <c r="ASF188" s="601"/>
      <c r="ASG188" s="601"/>
      <c r="ASH188" s="601"/>
      <c r="ASI188" s="601"/>
      <c r="ASJ188" s="601"/>
      <c r="ASK188" s="601"/>
      <c r="ASL188" s="601"/>
      <c r="ASM188" s="601"/>
      <c r="ASN188" s="601"/>
      <c r="ASO188" s="600" t="s">
        <v>646</v>
      </c>
      <c r="ASP188" s="601"/>
      <c r="ASQ188" s="601"/>
      <c r="ASR188" s="601"/>
      <c r="ASS188" s="601"/>
      <c r="AST188" s="601"/>
      <c r="ASU188" s="601"/>
      <c r="ASV188" s="601"/>
      <c r="ASW188" s="601"/>
      <c r="ASX188" s="601"/>
      <c r="ASY188" s="601"/>
      <c r="ASZ188" s="601"/>
      <c r="ATA188" s="601"/>
      <c r="ATB188" s="601"/>
      <c r="ATC188" s="601"/>
      <c r="ATD188" s="601"/>
      <c r="ATE188" s="600" t="s">
        <v>646</v>
      </c>
      <c r="ATF188" s="601"/>
      <c r="ATG188" s="601"/>
      <c r="ATH188" s="601"/>
      <c r="ATI188" s="601"/>
      <c r="ATJ188" s="601"/>
      <c r="ATK188" s="601"/>
      <c r="ATL188" s="601"/>
      <c r="ATM188" s="601"/>
      <c r="ATN188" s="601"/>
      <c r="ATO188" s="601"/>
      <c r="ATP188" s="601"/>
      <c r="ATQ188" s="601"/>
      <c r="ATR188" s="601"/>
      <c r="ATS188" s="601"/>
      <c r="ATT188" s="601"/>
      <c r="ATU188" s="600" t="s">
        <v>646</v>
      </c>
      <c r="ATV188" s="601"/>
      <c r="ATW188" s="601"/>
      <c r="ATX188" s="601"/>
      <c r="ATY188" s="601"/>
      <c r="ATZ188" s="601"/>
      <c r="AUA188" s="601"/>
      <c r="AUB188" s="601"/>
      <c r="AUC188" s="601"/>
      <c r="AUD188" s="601"/>
      <c r="AUE188" s="601"/>
      <c r="AUF188" s="601"/>
      <c r="AUG188" s="601"/>
      <c r="AUH188" s="601"/>
      <c r="AUI188" s="601"/>
      <c r="AUJ188" s="601"/>
      <c r="AUK188" s="600" t="s">
        <v>646</v>
      </c>
      <c r="AUL188" s="601"/>
      <c r="AUM188" s="601"/>
      <c r="AUN188" s="601"/>
      <c r="AUO188" s="601"/>
      <c r="AUP188" s="601"/>
      <c r="AUQ188" s="601"/>
      <c r="AUR188" s="601"/>
      <c r="AUS188" s="601"/>
      <c r="AUT188" s="601"/>
      <c r="AUU188" s="601"/>
      <c r="AUV188" s="601"/>
      <c r="AUW188" s="601"/>
      <c r="AUX188" s="601"/>
      <c r="AUY188" s="601"/>
      <c r="AUZ188" s="601"/>
      <c r="AVA188" s="600" t="s">
        <v>646</v>
      </c>
      <c r="AVB188" s="601"/>
      <c r="AVC188" s="601"/>
      <c r="AVD188" s="601"/>
      <c r="AVE188" s="601"/>
      <c r="AVF188" s="601"/>
      <c r="AVG188" s="601"/>
      <c r="AVH188" s="601"/>
      <c r="AVI188" s="601"/>
      <c r="AVJ188" s="601"/>
      <c r="AVK188" s="601"/>
      <c r="AVL188" s="601"/>
      <c r="AVM188" s="601"/>
      <c r="AVN188" s="601"/>
      <c r="AVO188" s="601"/>
      <c r="AVP188" s="601"/>
      <c r="AVQ188" s="600" t="s">
        <v>646</v>
      </c>
      <c r="AVR188" s="601"/>
      <c r="AVS188" s="601"/>
      <c r="AVT188" s="601"/>
      <c r="AVU188" s="601"/>
      <c r="AVV188" s="601"/>
      <c r="AVW188" s="601"/>
      <c r="AVX188" s="601"/>
      <c r="AVY188" s="601"/>
      <c r="AVZ188" s="601"/>
      <c r="AWA188" s="601"/>
      <c r="AWB188" s="601"/>
      <c r="AWC188" s="601"/>
      <c r="AWD188" s="601"/>
      <c r="AWE188" s="601"/>
      <c r="AWF188" s="601"/>
      <c r="AWG188" s="600" t="s">
        <v>646</v>
      </c>
      <c r="AWH188" s="601"/>
      <c r="AWI188" s="601"/>
      <c r="AWJ188" s="601"/>
      <c r="AWK188" s="601"/>
      <c r="AWL188" s="601"/>
      <c r="AWM188" s="601"/>
      <c r="AWN188" s="601"/>
      <c r="AWO188" s="601"/>
      <c r="AWP188" s="601"/>
      <c r="AWQ188" s="601"/>
      <c r="AWR188" s="601"/>
      <c r="AWS188" s="601"/>
      <c r="AWT188" s="601"/>
      <c r="AWU188" s="601"/>
      <c r="AWV188" s="601"/>
      <c r="AWW188" s="600" t="s">
        <v>646</v>
      </c>
      <c r="AWX188" s="601"/>
      <c r="AWY188" s="601"/>
      <c r="AWZ188" s="601"/>
      <c r="AXA188" s="601"/>
      <c r="AXB188" s="601"/>
      <c r="AXC188" s="601"/>
      <c r="AXD188" s="601"/>
      <c r="AXE188" s="601"/>
      <c r="AXF188" s="601"/>
      <c r="AXG188" s="601"/>
      <c r="AXH188" s="601"/>
      <c r="AXI188" s="601"/>
      <c r="AXJ188" s="601"/>
      <c r="AXK188" s="601"/>
      <c r="AXL188" s="601"/>
      <c r="AXM188" s="600" t="s">
        <v>646</v>
      </c>
      <c r="AXN188" s="601"/>
      <c r="AXO188" s="601"/>
      <c r="AXP188" s="601"/>
      <c r="AXQ188" s="601"/>
      <c r="AXR188" s="601"/>
      <c r="AXS188" s="601"/>
      <c r="AXT188" s="601"/>
      <c r="AXU188" s="601"/>
      <c r="AXV188" s="601"/>
      <c r="AXW188" s="601"/>
      <c r="AXX188" s="601"/>
      <c r="AXY188" s="601"/>
      <c r="AXZ188" s="601"/>
      <c r="AYA188" s="601"/>
      <c r="AYB188" s="601"/>
      <c r="AYC188" s="600" t="s">
        <v>646</v>
      </c>
      <c r="AYD188" s="601"/>
      <c r="AYE188" s="601"/>
      <c r="AYF188" s="601"/>
      <c r="AYG188" s="601"/>
      <c r="AYH188" s="601"/>
      <c r="AYI188" s="601"/>
      <c r="AYJ188" s="601"/>
      <c r="AYK188" s="601"/>
      <c r="AYL188" s="601"/>
      <c r="AYM188" s="601"/>
      <c r="AYN188" s="601"/>
      <c r="AYO188" s="601"/>
      <c r="AYP188" s="601"/>
      <c r="AYQ188" s="601"/>
      <c r="AYR188" s="601"/>
      <c r="AYS188" s="600" t="s">
        <v>646</v>
      </c>
      <c r="AYT188" s="601"/>
      <c r="AYU188" s="601"/>
      <c r="AYV188" s="601"/>
      <c r="AYW188" s="601"/>
      <c r="AYX188" s="601"/>
      <c r="AYY188" s="601"/>
      <c r="AYZ188" s="601"/>
      <c r="AZA188" s="601"/>
      <c r="AZB188" s="601"/>
      <c r="AZC188" s="601"/>
      <c r="AZD188" s="601"/>
      <c r="AZE188" s="601"/>
      <c r="AZF188" s="601"/>
      <c r="AZG188" s="601"/>
      <c r="AZH188" s="601"/>
      <c r="AZI188" s="600" t="s">
        <v>646</v>
      </c>
      <c r="AZJ188" s="601"/>
      <c r="AZK188" s="601"/>
      <c r="AZL188" s="601"/>
      <c r="AZM188" s="601"/>
      <c r="AZN188" s="601"/>
      <c r="AZO188" s="601"/>
      <c r="AZP188" s="601"/>
      <c r="AZQ188" s="601"/>
      <c r="AZR188" s="601"/>
      <c r="AZS188" s="601"/>
      <c r="AZT188" s="601"/>
      <c r="AZU188" s="601"/>
      <c r="AZV188" s="601"/>
      <c r="AZW188" s="601"/>
      <c r="AZX188" s="601"/>
      <c r="AZY188" s="600" t="s">
        <v>646</v>
      </c>
      <c r="AZZ188" s="601"/>
      <c r="BAA188" s="601"/>
      <c r="BAB188" s="601"/>
      <c r="BAC188" s="601"/>
      <c r="BAD188" s="601"/>
      <c r="BAE188" s="601"/>
      <c r="BAF188" s="601"/>
      <c r="BAG188" s="601"/>
      <c r="BAH188" s="601"/>
      <c r="BAI188" s="601"/>
      <c r="BAJ188" s="601"/>
      <c r="BAK188" s="601"/>
      <c r="BAL188" s="601"/>
      <c r="BAM188" s="601"/>
      <c r="BAN188" s="601"/>
      <c r="BAO188" s="600" t="s">
        <v>646</v>
      </c>
      <c r="BAP188" s="601"/>
      <c r="BAQ188" s="601"/>
      <c r="BAR188" s="601"/>
      <c r="BAS188" s="601"/>
      <c r="BAT188" s="601"/>
      <c r="BAU188" s="601"/>
      <c r="BAV188" s="601"/>
      <c r="BAW188" s="601"/>
      <c r="BAX188" s="601"/>
      <c r="BAY188" s="601"/>
      <c r="BAZ188" s="601"/>
      <c r="BBA188" s="601"/>
      <c r="BBB188" s="601"/>
      <c r="BBC188" s="601"/>
      <c r="BBD188" s="601"/>
      <c r="BBE188" s="600" t="s">
        <v>646</v>
      </c>
      <c r="BBF188" s="601"/>
      <c r="BBG188" s="601"/>
      <c r="BBH188" s="601"/>
      <c r="BBI188" s="601"/>
      <c r="BBJ188" s="601"/>
      <c r="BBK188" s="601"/>
      <c r="BBL188" s="601"/>
      <c r="BBM188" s="601"/>
      <c r="BBN188" s="601"/>
      <c r="BBO188" s="601"/>
      <c r="BBP188" s="601"/>
      <c r="BBQ188" s="601"/>
      <c r="BBR188" s="601"/>
      <c r="BBS188" s="601"/>
      <c r="BBT188" s="601"/>
      <c r="BBU188" s="600" t="s">
        <v>646</v>
      </c>
      <c r="BBV188" s="601"/>
      <c r="BBW188" s="601"/>
      <c r="BBX188" s="601"/>
      <c r="BBY188" s="601"/>
      <c r="BBZ188" s="601"/>
      <c r="BCA188" s="601"/>
      <c r="BCB188" s="601"/>
      <c r="BCC188" s="601"/>
      <c r="BCD188" s="601"/>
      <c r="BCE188" s="601"/>
      <c r="BCF188" s="601"/>
      <c r="BCG188" s="601"/>
      <c r="BCH188" s="601"/>
      <c r="BCI188" s="601"/>
      <c r="BCJ188" s="601"/>
      <c r="BCK188" s="600" t="s">
        <v>646</v>
      </c>
      <c r="BCL188" s="601"/>
      <c r="BCM188" s="601"/>
      <c r="BCN188" s="601"/>
      <c r="BCO188" s="601"/>
      <c r="BCP188" s="601"/>
      <c r="BCQ188" s="601"/>
      <c r="BCR188" s="601"/>
      <c r="BCS188" s="601"/>
      <c r="BCT188" s="601"/>
      <c r="BCU188" s="601"/>
      <c r="BCV188" s="601"/>
      <c r="BCW188" s="601"/>
      <c r="BCX188" s="601"/>
      <c r="BCY188" s="601"/>
      <c r="BCZ188" s="601"/>
      <c r="BDA188" s="600" t="s">
        <v>646</v>
      </c>
      <c r="BDB188" s="601"/>
      <c r="BDC188" s="601"/>
      <c r="BDD188" s="601"/>
      <c r="BDE188" s="601"/>
      <c r="BDF188" s="601"/>
      <c r="BDG188" s="601"/>
      <c r="BDH188" s="601"/>
      <c r="BDI188" s="601"/>
      <c r="BDJ188" s="601"/>
      <c r="BDK188" s="601"/>
      <c r="BDL188" s="601"/>
      <c r="BDM188" s="601"/>
      <c r="BDN188" s="601"/>
      <c r="BDO188" s="601"/>
      <c r="BDP188" s="601"/>
      <c r="BDQ188" s="600" t="s">
        <v>646</v>
      </c>
      <c r="BDR188" s="601"/>
      <c r="BDS188" s="601"/>
      <c r="BDT188" s="601"/>
      <c r="BDU188" s="601"/>
      <c r="BDV188" s="601"/>
      <c r="BDW188" s="601"/>
      <c r="BDX188" s="601"/>
      <c r="BDY188" s="601"/>
      <c r="BDZ188" s="601"/>
      <c r="BEA188" s="601"/>
      <c r="BEB188" s="601"/>
      <c r="BEC188" s="601"/>
      <c r="BED188" s="601"/>
      <c r="BEE188" s="601"/>
      <c r="BEF188" s="601"/>
      <c r="BEG188" s="600" t="s">
        <v>646</v>
      </c>
      <c r="BEH188" s="601"/>
      <c r="BEI188" s="601"/>
      <c r="BEJ188" s="601"/>
      <c r="BEK188" s="601"/>
      <c r="BEL188" s="601"/>
      <c r="BEM188" s="601"/>
      <c r="BEN188" s="601"/>
      <c r="BEO188" s="601"/>
      <c r="BEP188" s="601"/>
      <c r="BEQ188" s="601"/>
      <c r="BER188" s="601"/>
      <c r="BES188" s="601"/>
      <c r="BET188" s="601"/>
      <c r="BEU188" s="601"/>
      <c r="BEV188" s="601"/>
      <c r="BEW188" s="600" t="s">
        <v>646</v>
      </c>
      <c r="BEX188" s="601"/>
      <c r="BEY188" s="601"/>
      <c r="BEZ188" s="601"/>
      <c r="BFA188" s="601"/>
      <c r="BFB188" s="601"/>
      <c r="BFC188" s="601"/>
      <c r="BFD188" s="601"/>
      <c r="BFE188" s="601"/>
      <c r="BFF188" s="601"/>
      <c r="BFG188" s="601"/>
      <c r="BFH188" s="601"/>
      <c r="BFI188" s="601"/>
      <c r="BFJ188" s="601"/>
      <c r="BFK188" s="601"/>
      <c r="BFL188" s="601"/>
      <c r="BFM188" s="600" t="s">
        <v>646</v>
      </c>
      <c r="BFN188" s="601"/>
      <c r="BFO188" s="601"/>
      <c r="BFP188" s="601"/>
      <c r="BFQ188" s="601"/>
      <c r="BFR188" s="601"/>
      <c r="BFS188" s="601"/>
      <c r="BFT188" s="601"/>
      <c r="BFU188" s="601"/>
      <c r="BFV188" s="601"/>
      <c r="BFW188" s="601"/>
      <c r="BFX188" s="601"/>
      <c r="BFY188" s="601"/>
      <c r="BFZ188" s="601"/>
      <c r="BGA188" s="601"/>
      <c r="BGB188" s="601"/>
      <c r="BGC188" s="600" t="s">
        <v>646</v>
      </c>
      <c r="BGD188" s="601"/>
      <c r="BGE188" s="601"/>
      <c r="BGF188" s="601"/>
      <c r="BGG188" s="601"/>
      <c r="BGH188" s="601"/>
      <c r="BGI188" s="601"/>
      <c r="BGJ188" s="601"/>
      <c r="BGK188" s="601"/>
      <c r="BGL188" s="601"/>
      <c r="BGM188" s="601"/>
      <c r="BGN188" s="601"/>
      <c r="BGO188" s="601"/>
      <c r="BGP188" s="601"/>
      <c r="BGQ188" s="601"/>
      <c r="BGR188" s="601"/>
      <c r="BGS188" s="600" t="s">
        <v>646</v>
      </c>
      <c r="BGT188" s="601"/>
      <c r="BGU188" s="601"/>
      <c r="BGV188" s="601"/>
      <c r="BGW188" s="601"/>
      <c r="BGX188" s="601"/>
      <c r="BGY188" s="601"/>
      <c r="BGZ188" s="601"/>
      <c r="BHA188" s="601"/>
      <c r="BHB188" s="601"/>
      <c r="BHC188" s="601"/>
      <c r="BHD188" s="601"/>
      <c r="BHE188" s="601"/>
      <c r="BHF188" s="601"/>
      <c r="BHG188" s="601"/>
      <c r="BHH188" s="601"/>
      <c r="BHI188" s="600" t="s">
        <v>646</v>
      </c>
      <c r="BHJ188" s="601"/>
      <c r="BHK188" s="601"/>
      <c r="BHL188" s="601"/>
      <c r="BHM188" s="601"/>
      <c r="BHN188" s="601"/>
      <c r="BHO188" s="601"/>
      <c r="BHP188" s="601"/>
      <c r="BHQ188" s="601"/>
      <c r="BHR188" s="601"/>
      <c r="BHS188" s="601"/>
      <c r="BHT188" s="601"/>
      <c r="BHU188" s="601"/>
      <c r="BHV188" s="601"/>
      <c r="BHW188" s="601"/>
      <c r="BHX188" s="601"/>
      <c r="BHY188" s="600" t="s">
        <v>646</v>
      </c>
      <c r="BHZ188" s="601"/>
      <c r="BIA188" s="601"/>
      <c r="BIB188" s="601"/>
      <c r="BIC188" s="601"/>
      <c r="BID188" s="601"/>
      <c r="BIE188" s="601"/>
      <c r="BIF188" s="601"/>
      <c r="BIG188" s="601"/>
      <c r="BIH188" s="601"/>
      <c r="BII188" s="601"/>
      <c r="BIJ188" s="601"/>
      <c r="BIK188" s="601"/>
      <c r="BIL188" s="601"/>
      <c r="BIM188" s="601"/>
      <c r="BIN188" s="601"/>
      <c r="BIO188" s="600" t="s">
        <v>646</v>
      </c>
      <c r="BIP188" s="601"/>
      <c r="BIQ188" s="601"/>
      <c r="BIR188" s="601"/>
      <c r="BIS188" s="601"/>
      <c r="BIT188" s="601"/>
      <c r="BIU188" s="601"/>
      <c r="BIV188" s="601"/>
      <c r="BIW188" s="601"/>
      <c r="BIX188" s="601"/>
      <c r="BIY188" s="601"/>
      <c r="BIZ188" s="601"/>
      <c r="BJA188" s="601"/>
      <c r="BJB188" s="601"/>
      <c r="BJC188" s="601"/>
      <c r="BJD188" s="601"/>
      <c r="BJE188" s="600" t="s">
        <v>646</v>
      </c>
      <c r="BJF188" s="601"/>
      <c r="BJG188" s="601"/>
      <c r="BJH188" s="601"/>
      <c r="BJI188" s="601"/>
      <c r="BJJ188" s="601"/>
      <c r="BJK188" s="601"/>
      <c r="BJL188" s="601"/>
      <c r="BJM188" s="601"/>
      <c r="BJN188" s="601"/>
      <c r="BJO188" s="601"/>
      <c r="BJP188" s="601"/>
      <c r="BJQ188" s="601"/>
      <c r="BJR188" s="601"/>
      <c r="BJS188" s="601"/>
      <c r="BJT188" s="601"/>
      <c r="BJU188" s="600" t="s">
        <v>646</v>
      </c>
      <c r="BJV188" s="601"/>
      <c r="BJW188" s="601"/>
      <c r="BJX188" s="601"/>
      <c r="BJY188" s="601"/>
      <c r="BJZ188" s="601"/>
      <c r="BKA188" s="601"/>
      <c r="BKB188" s="601"/>
      <c r="BKC188" s="601"/>
      <c r="BKD188" s="601"/>
      <c r="BKE188" s="601"/>
      <c r="BKF188" s="601"/>
      <c r="BKG188" s="601"/>
      <c r="BKH188" s="601"/>
      <c r="BKI188" s="601"/>
      <c r="BKJ188" s="601"/>
      <c r="BKK188" s="600" t="s">
        <v>646</v>
      </c>
      <c r="BKL188" s="601"/>
      <c r="BKM188" s="601"/>
      <c r="BKN188" s="601"/>
      <c r="BKO188" s="601"/>
      <c r="BKP188" s="601"/>
      <c r="BKQ188" s="601"/>
      <c r="BKR188" s="601"/>
      <c r="BKS188" s="601"/>
      <c r="BKT188" s="601"/>
      <c r="BKU188" s="601"/>
      <c r="BKV188" s="601"/>
      <c r="BKW188" s="601"/>
      <c r="BKX188" s="601"/>
      <c r="BKY188" s="601"/>
      <c r="BKZ188" s="601"/>
      <c r="BLA188" s="600" t="s">
        <v>646</v>
      </c>
      <c r="BLB188" s="601"/>
      <c r="BLC188" s="601"/>
      <c r="BLD188" s="601"/>
      <c r="BLE188" s="601"/>
      <c r="BLF188" s="601"/>
      <c r="BLG188" s="601"/>
      <c r="BLH188" s="601"/>
      <c r="BLI188" s="601"/>
      <c r="BLJ188" s="601"/>
      <c r="BLK188" s="601"/>
      <c r="BLL188" s="601"/>
      <c r="BLM188" s="601"/>
      <c r="BLN188" s="601"/>
      <c r="BLO188" s="601"/>
      <c r="BLP188" s="601"/>
      <c r="BLQ188" s="600" t="s">
        <v>646</v>
      </c>
      <c r="BLR188" s="601"/>
      <c r="BLS188" s="601"/>
      <c r="BLT188" s="601"/>
      <c r="BLU188" s="601"/>
      <c r="BLV188" s="601"/>
      <c r="BLW188" s="601"/>
      <c r="BLX188" s="601"/>
      <c r="BLY188" s="601"/>
      <c r="BLZ188" s="601"/>
      <c r="BMA188" s="601"/>
      <c r="BMB188" s="601"/>
      <c r="BMC188" s="601"/>
      <c r="BMD188" s="601"/>
      <c r="BME188" s="601"/>
      <c r="BMF188" s="601"/>
      <c r="BMG188" s="600" t="s">
        <v>646</v>
      </c>
      <c r="BMH188" s="601"/>
      <c r="BMI188" s="601"/>
      <c r="BMJ188" s="601"/>
      <c r="BMK188" s="601"/>
      <c r="BML188" s="601"/>
      <c r="BMM188" s="601"/>
      <c r="BMN188" s="601"/>
      <c r="BMO188" s="601"/>
      <c r="BMP188" s="601"/>
      <c r="BMQ188" s="601"/>
      <c r="BMR188" s="601"/>
      <c r="BMS188" s="601"/>
      <c r="BMT188" s="601"/>
      <c r="BMU188" s="601"/>
      <c r="BMV188" s="601"/>
      <c r="BMW188" s="600" t="s">
        <v>646</v>
      </c>
      <c r="BMX188" s="601"/>
      <c r="BMY188" s="601"/>
      <c r="BMZ188" s="601"/>
      <c r="BNA188" s="601"/>
      <c r="BNB188" s="601"/>
      <c r="BNC188" s="601"/>
      <c r="BND188" s="601"/>
      <c r="BNE188" s="601"/>
      <c r="BNF188" s="601"/>
      <c r="BNG188" s="601"/>
      <c r="BNH188" s="601"/>
      <c r="BNI188" s="601"/>
      <c r="BNJ188" s="601"/>
      <c r="BNK188" s="601"/>
      <c r="BNL188" s="601"/>
      <c r="BNM188" s="600" t="s">
        <v>646</v>
      </c>
      <c r="BNN188" s="601"/>
      <c r="BNO188" s="601"/>
      <c r="BNP188" s="601"/>
      <c r="BNQ188" s="601"/>
      <c r="BNR188" s="601"/>
      <c r="BNS188" s="601"/>
      <c r="BNT188" s="601"/>
      <c r="BNU188" s="601"/>
      <c r="BNV188" s="601"/>
      <c r="BNW188" s="601"/>
      <c r="BNX188" s="601"/>
      <c r="BNY188" s="601"/>
      <c r="BNZ188" s="601"/>
      <c r="BOA188" s="601"/>
      <c r="BOB188" s="601"/>
      <c r="BOC188" s="600" t="s">
        <v>646</v>
      </c>
      <c r="BOD188" s="601"/>
      <c r="BOE188" s="601"/>
      <c r="BOF188" s="601"/>
      <c r="BOG188" s="601"/>
      <c r="BOH188" s="601"/>
      <c r="BOI188" s="601"/>
      <c r="BOJ188" s="601"/>
      <c r="BOK188" s="601"/>
      <c r="BOL188" s="601"/>
      <c r="BOM188" s="601"/>
      <c r="BON188" s="601"/>
      <c r="BOO188" s="601"/>
      <c r="BOP188" s="601"/>
      <c r="BOQ188" s="601"/>
      <c r="BOR188" s="601"/>
      <c r="BOS188" s="600" t="s">
        <v>646</v>
      </c>
      <c r="BOT188" s="601"/>
      <c r="BOU188" s="601"/>
      <c r="BOV188" s="601"/>
      <c r="BOW188" s="601"/>
      <c r="BOX188" s="601"/>
      <c r="BOY188" s="601"/>
      <c r="BOZ188" s="601"/>
      <c r="BPA188" s="601"/>
      <c r="BPB188" s="601"/>
      <c r="BPC188" s="601"/>
      <c r="BPD188" s="601"/>
      <c r="BPE188" s="601"/>
      <c r="BPF188" s="601"/>
      <c r="BPG188" s="601"/>
      <c r="BPH188" s="601"/>
      <c r="BPI188" s="600" t="s">
        <v>646</v>
      </c>
      <c r="BPJ188" s="601"/>
      <c r="BPK188" s="601"/>
      <c r="BPL188" s="601"/>
      <c r="BPM188" s="601"/>
      <c r="BPN188" s="601"/>
      <c r="BPO188" s="601"/>
      <c r="BPP188" s="601"/>
      <c r="BPQ188" s="601"/>
      <c r="BPR188" s="601"/>
      <c r="BPS188" s="601"/>
      <c r="BPT188" s="601"/>
      <c r="BPU188" s="601"/>
      <c r="BPV188" s="601"/>
      <c r="BPW188" s="601"/>
      <c r="BPX188" s="601"/>
      <c r="BPY188" s="600" t="s">
        <v>646</v>
      </c>
      <c r="BPZ188" s="601"/>
      <c r="BQA188" s="601"/>
      <c r="BQB188" s="601"/>
      <c r="BQC188" s="601"/>
      <c r="BQD188" s="601"/>
      <c r="BQE188" s="601"/>
      <c r="BQF188" s="601"/>
      <c r="BQG188" s="601"/>
      <c r="BQH188" s="601"/>
      <c r="BQI188" s="601"/>
      <c r="BQJ188" s="601"/>
      <c r="BQK188" s="601"/>
      <c r="BQL188" s="601"/>
      <c r="BQM188" s="601"/>
      <c r="BQN188" s="601"/>
      <c r="BQO188" s="600" t="s">
        <v>646</v>
      </c>
      <c r="BQP188" s="601"/>
      <c r="BQQ188" s="601"/>
      <c r="BQR188" s="601"/>
      <c r="BQS188" s="601"/>
      <c r="BQT188" s="601"/>
      <c r="BQU188" s="601"/>
      <c r="BQV188" s="601"/>
      <c r="BQW188" s="601"/>
      <c r="BQX188" s="601"/>
      <c r="BQY188" s="601"/>
      <c r="BQZ188" s="601"/>
      <c r="BRA188" s="601"/>
      <c r="BRB188" s="601"/>
      <c r="BRC188" s="601"/>
      <c r="BRD188" s="601"/>
      <c r="BRE188" s="600" t="s">
        <v>646</v>
      </c>
      <c r="BRF188" s="601"/>
      <c r="BRG188" s="601"/>
      <c r="BRH188" s="601"/>
      <c r="BRI188" s="601"/>
      <c r="BRJ188" s="601"/>
      <c r="BRK188" s="601"/>
      <c r="BRL188" s="601"/>
      <c r="BRM188" s="601"/>
      <c r="BRN188" s="601"/>
      <c r="BRO188" s="601"/>
      <c r="BRP188" s="601"/>
      <c r="BRQ188" s="601"/>
      <c r="BRR188" s="601"/>
      <c r="BRS188" s="601"/>
      <c r="BRT188" s="601"/>
      <c r="BRU188" s="600" t="s">
        <v>646</v>
      </c>
      <c r="BRV188" s="601"/>
      <c r="BRW188" s="601"/>
      <c r="BRX188" s="601"/>
      <c r="BRY188" s="601"/>
      <c r="BRZ188" s="601"/>
      <c r="BSA188" s="601"/>
      <c r="BSB188" s="601"/>
      <c r="BSC188" s="601"/>
      <c r="BSD188" s="601"/>
      <c r="BSE188" s="601"/>
      <c r="BSF188" s="601"/>
      <c r="BSG188" s="601"/>
      <c r="BSH188" s="601"/>
      <c r="BSI188" s="601"/>
      <c r="BSJ188" s="601"/>
      <c r="BSK188" s="600" t="s">
        <v>646</v>
      </c>
      <c r="BSL188" s="601"/>
      <c r="BSM188" s="601"/>
      <c r="BSN188" s="601"/>
      <c r="BSO188" s="601"/>
      <c r="BSP188" s="601"/>
      <c r="BSQ188" s="601"/>
      <c r="BSR188" s="601"/>
      <c r="BSS188" s="601"/>
      <c r="BST188" s="601"/>
      <c r="BSU188" s="601"/>
      <c r="BSV188" s="601"/>
      <c r="BSW188" s="601"/>
      <c r="BSX188" s="601"/>
      <c r="BSY188" s="601"/>
      <c r="BSZ188" s="601"/>
      <c r="BTA188" s="600" t="s">
        <v>646</v>
      </c>
      <c r="BTB188" s="601"/>
      <c r="BTC188" s="601"/>
      <c r="BTD188" s="601"/>
      <c r="BTE188" s="601"/>
      <c r="BTF188" s="601"/>
      <c r="BTG188" s="601"/>
      <c r="BTH188" s="601"/>
      <c r="BTI188" s="601"/>
      <c r="BTJ188" s="601"/>
      <c r="BTK188" s="601"/>
      <c r="BTL188" s="601"/>
      <c r="BTM188" s="601"/>
      <c r="BTN188" s="601"/>
      <c r="BTO188" s="601"/>
      <c r="BTP188" s="601"/>
      <c r="BTQ188" s="600" t="s">
        <v>646</v>
      </c>
      <c r="BTR188" s="601"/>
      <c r="BTS188" s="601"/>
      <c r="BTT188" s="601"/>
      <c r="BTU188" s="601"/>
      <c r="BTV188" s="601"/>
      <c r="BTW188" s="601"/>
      <c r="BTX188" s="601"/>
      <c r="BTY188" s="601"/>
      <c r="BTZ188" s="601"/>
      <c r="BUA188" s="601"/>
      <c r="BUB188" s="601"/>
      <c r="BUC188" s="601"/>
      <c r="BUD188" s="601"/>
      <c r="BUE188" s="601"/>
      <c r="BUF188" s="601"/>
      <c r="BUG188" s="600" t="s">
        <v>646</v>
      </c>
      <c r="BUH188" s="601"/>
      <c r="BUI188" s="601"/>
      <c r="BUJ188" s="601"/>
      <c r="BUK188" s="601"/>
      <c r="BUL188" s="601"/>
      <c r="BUM188" s="601"/>
      <c r="BUN188" s="601"/>
      <c r="BUO188" s="601"/>
      <c r="BUP188" s="601"/>
      <c r="BUQ188" s="601"/>
      <c r="BUR188" s="601"/>
      <c r="BUS188" s="601"/>
      <c r="BUT188" s="601"/>
      <c r="BUU188" s="601"/>
      <c r="BUV188" s="601"/>
      <c r="BUW188" s="600" t="s">
        <v>646</v>
      </c>
      <c r="BUX188" s="601"/>
      <c r="BUY188" s="601"/>
      <c r="BUZ188" s="601"/>
      <c r="BVA188" s="601"/>
      <c r="BVB188" s="601"/>
      <c r="BVC188" s="601"/>
      <c r="BVD188" s="601"/>
      <c r="BVE188" s="601"/>
      <c r="BVF188" s="601"/>
      <c r="BVG188" s="601"/>
      <c r="BVH188" s="601"/>
      <c r="BVI188" s="601"/>
      <c r="BVJ188" s="601"/>
      <c r="BVK188" s="601"/>
      <c r="BVL188" s="601"/>
      <c r="BVM188" s="600" t="s">
        <v>646</v>
      </c>
      <c r="BVN188" s="601"/>
      <c r="BVO188" s="601"/>
      <c r="BVP188" s="601"/>
      <c r="BVQ188" s="601"/>
      <c r="BVR188" s="601"/>
      <c r="BVS188" s="601"/>
      <c r="BVT188" s="601"/>
      <c r="BVU188" s="601"/>
      <c r="BVV188" s="601"/>
      <c r="BVW188" s="601"/>
      <c r="BVX188" s="601"/>
      <c r="BVY188" s="601"/>
      <c r="BVZ188" s="601"/>
      <c r="BWA188" s="601"/>
      <c r="BWB188" s="601"/>
      <c r="BWC188" s="600" t="s">
        <v>646</v>
      </c>
      <c r="BWD188" s="601"/>
      <c r="BWE188" s="601"/>
      <c r="BWF188" s="601"/>
      <c r="BWG188" s="601"/>
      <c r="BWH188" s="601"/>
      <c r="BWI188" s="601"/>
      <c r="BWJ188" s="601"/>
      <c r="BWK188" s="601"/>
      <c r="BWL188" s="601"/>
      <c r="BWM188" s="601"/>
      <c r="BWN188" s="601"/>
      <c r="BWO188" s="601"/>
      <c r="BWP188" s="601"/>
      <c r="BWQ188" s="601"/>
      <c r="BWR188" s="601"/>
      <c r="BWS188" s="600" t="s">
        <v>646</v>
      </c>
      <c r="BWT188" s="601"/>
      <c r="BWU188" s="601"/>
      <c r="BWV188" s="601"/>
      <c r="BWW188" s="601"/>
      <c r="BWX188" s="601"/>
      <c r="BWY188" s="601"/>
      <c r="BWZ188" s="601"/>
      <c r="BXA188" s="601"/>
      <c r="BXB188" s="601"/>
      <c r="BXC188" s="601"/>
      <c r="BXD188" s="601"/>
      <c r="BXE188" s="601"/>
      <c r="BXF188" s="601"/>
      <c r="BXG188" s="601"/>
      <c r="BXH188" s="601"/>
      <c r="BXI188" s="600" t="s">
        <v>646</v>
      </c>
      <c r="BXJ188" s="601"/>
      <c r="BXK188" s="601"/>
      <c r="BXL188" s="601"/>
      <c r="BXM188" s="601"/>
      <c r="BXN188" s="601"/>
      <c r="BXO188" s="601"/>
      <c r="BXP188" s="601"/>
      <c r="BXQ188" s="601"/>
      <c r="BXR188" s="601"/>
      <c r="BXS188" s="601"/>
      <c r="BXT188" s="601"/>
      <c r="BXU188" s="601"/>
      <c r="BXV188" s="601"/>
      <c r="BXW188" s="601"/>
      <c r="BXX188" s="601"/>
      <c r="BXY188" s="600" t="s">
        <v>646</v>
      </c>
      <c r="BXZ188" s="601"/>
      <c r="BYA188" s="601"/>
      <c r="BYB188" s="601"/>
      <c r="BYC188" s="601"/>
      <c r="BYD188" s="601"/>
      <c r="BYE188" s="601"/>
      <c r="BYF188" s="601"/>
      <c r="BYG188" s="601"/>
      <c r="BYH188" s="601"/>
      <c r="BYI188" s="601"/>
      <c r="BYJ188" s="601"/>
      <c r="BYK188" s="601"/>
      <c r="BYL188" s="601"/>
      <c r="BYM188" s="601"/>
      <c r="BYN188" s="601"/>
      <c r="BYO188" s="600" t="s">
        <v>646</v>
      </c>
      <c r="BYP188" s="601"/>
      <c r="BYQ188" s="601"/>
      <c r="BYR188" s="601"/>
      <c r="BYS188" s="601"/>
      <c r="BYT188" s="601"/>
      <c r="BYU188" s="601"/>
      <c r="BYV188" s="601"/>
      <c r="BYW188" s="601"/>
      <c r="BYX188" s="601"/>
      <c r="BYY188" s="601"/>
      <c r="BYZ188" s="601"/>
      <c r="BZA188" s="601"/>
      <c r="BZB188" s="601"/>
      <c r="BZC188" s="601"/>
      <c r="BZD188" s="601"/>
      <c r="BZE188" s="600" t="s">
        <v>646</v>
      </c>
      <c r="BZF188" s="601"/>
      <c r="BZG188" s="601"/>
      <c r="BZH188" s="601"/>
      <c r="BZI188" s="601"/>
      <c r="BZJ188" s="601"/>
      <c r="BZK188" s="601"/>
      <c r="BZL188" s="601"/>
      <c r="BZM188" s="601"/>
      <c r="BZN188" s="601"/>
      <c r="BZO188" s="601"/>
      <c r="BZP188" s="601"/>
      <c r="BZQ188" s="601"/>
      <c r="BZR188" s="601"/>
      <c r="BZS188" s="601"/>
      <c r="BZT188" s="601"/>
      <c r="BZU188" s="600" t="s">
        <v>646</v>
      </c>
      <c r="BZV188" s="601"/>
      <c r="BZW188" s="601"/>
      <c r="BZX188" s="601"/>
      <c r="BZY188" s="601"/>
      <c r="BZZ188" s="601"/>
      <c r="CAA188" s="601"/>
      <c r="CAB188" s="601"/>
      <c r="CAC188" s="601"/>
      <c r="CAD188" s="601"/>
      <c r="CAE188" s="601"/>
      <c r="CAF188" s="601"/>
      <c r="CAG188" s="601"/>
      <c r="CAH188" s="601"/>
      <c r="CAI188" s="601"/>
      <c r="CAJ188" s="601"/>
      <c r="CAK188" s="600" t="s">
        <v>646</v>
      </c>
      <c r="CAL188" s="601"/>
      <c r="CAM188" s="601"/>
      <c r="CAN188" s="601"/>
      <c r="CAO188" s="601"/>
      <c r="CAP188" s="601"/>
      <c r="CAQ188" s="601"/>
      <c r="CAR188" s="601"/>
      <c r="CAS188" s="601"/>
      <c r="CAT188" s="601"/>
      <c r="CAU188" s="601"/>
      <c r="CAV188" s="601"/>
      <c r="CAW188" s="601"/>
      <c r="CAX188" s="601"/>
      <c r="CAY188" s="601"/>
      <c r="CAZ188" s="601"/>
      <c r="CBA188" s="600" t="s">
        <v>646</v>
      </c>
      <c r="CBB188" s="601"/>
      <c r="CBC188" s="601"/>
      <c r="CBD188" s="601"/>
      <c r="CBE188" s="601"/>
      <c r="CBF188" s="601"/>
      <c r="CBG188" s="601"/>
      <c r="CBH188" s="601"/>
      <c r="CBI188" s="601"/>
      <c r="CBJ188" s="601"/>
      <c r="CBK188" s="601"/>
      <c r="CBL188" s="601"/>
      <c r="CBM188" s="601"/>
      <c r="CBN188" s="601"/>
      <c r="CBO188" s="601"/>
      <c r="CBP188" s="601"/>
      <c r="CBQ188" s="600" t="s">
        <v>646</v>
      </c>
      <c r="CBR188" s="601"/>
      <c r="CBS188" s="601"/>
      <c r="CBT188" s="601"/>
      <c r="CBU188" s="601"/>
      <c r="CBV188" s="601"/>
      <c r="CBW188" s="601"/>
      <c r="CBX188" s="601"/>
      <c r="CBY188" s="601"/>
      <c r="CBZ188" s="601"/>
      <c r="CCA188" s="601"/>
      <c r="CCB188" s="601"/>
      <c r="CCC188" s="601"/>
      <c r="CCD188" s="601"/>
      <c r="CCE188" s="601"/>
      <c r="CCF188" s="601"/>
      <c r="CCG188" s="600" t="s">
        <v>646</v>
      </c>
      <c r="CCH188" s="601"/>
      <c r="CCI188" s="601"/>
      <c r="CCJ188" s="601"/>
      <c r="CCK188" s="601"/>
      <c r="CCL188" s="601"/>
      <c r="CCM188" s="601"/>
      <c r="CCN188" s="601"/>
      <c r="CCO188" s="601"/>
      <c r="CCP188" s="601"/>
      <c r="CCQ188" s="601"/>
      <c r="CCR188" s="601"/>
      <c r="CCS188" s="601"/>
      <c r="CCT188" s="601"/>
      <c r="CCU188" s="601"/>
      <c r="CCV188" s="601"/>
      <c r="CCW188" s="600" t="s">
        <v>646</v>
      </c>
      <c r="CCX188" s="601"/>
      <c r="CCY188" s="601"/>
      <c r="CCZ188" s="601"/>
      <c r="CDA188" s="601"/>
      <c r="CDB188" s="601"/>
      <c r="CDC188" s="601"/>
      <c r="CDD188" s="601"/>
      <c r="CDE188" s="601"/>
      <c r="CDF188" s="601"/>
      <c r="CDG188" s="601"/>
      <c r="CDH188" s="601"/>
      <c r="CDI188" s="601"/>
      <c r="CDJ188" s="601"/>
      <c r="CDK188" s="601"/>
      <c r="CDL188" s="601"/>
      <c r="CDM188" s="600" t="s">
        <v>646</v>
      </c>
      <c r="CDN188" s="601"/>
      <c r="CDO188" s="601"/>
      <c r="CDP188" s="601"/>
      <c r="CDQ188" s="601"/>
      <c r="CDR188" s="601"/>
      <c r="CDS188" s="601"/>
      <c r="CDT188" s="601"/>
      <c r="CDU188" s="601"/>
      <c r="CDV188" s="601"/>
      <c r="CDW188" s="601"/>
      <c r="CDX188" s="601"/>
      <c r="CDY188" s="601"/>
      <c r="CDZ188" s="601"/>
      <c r="CEA188" s="601"/>
      <c r="CEB188" s="601"/>
      <c r="CEC188" s="600" t="s">
        <v>646</v>
      </c>
      <c r="CED188" s="601"/>
      <c r="CEE188" s="601"/>
      <c r="CEF188" s="601"/>
      <c r="CEG188" s="601"/>
      <c r="CEH188" s="601"/>
      <c r="CEI188" s="601"/>
      <c r="CEJ188" s="601"/>
      <c r="CEK188" s="601"/>
      <c r="CEL188" s="601"/>
      <c r="CEM188" s="601"/>
      <c r="CEN188" s="601"/>
      <c r="CEO188" s="601"/>
      <c r="CEP188" s="601"/>
      <c r="CEQ188" s="601"/>
      <c r="CER188" s="601"/>
      <c r="CES188" s="600" t="s">
        <v>646</v>
      </c>
      <c r="CET188" s="601"/>
      <c r="CEU188" s="601"/>
      <c r="CEV188" s="601"/>
      <c r="CEW188" s="601"/>
      <c r="CEX188" s="601"/>
      <c r="CEY188" s="601"/>
      <c r="CEZ188" s="601"/>
      <c r="CFA188" s="601"/>
      <c r="CFB188" s="601"/>
      <c r="CFC188" s="601"/>
      <c r="CFD188" s="601"/>
      <c r="CFE188" s="601"/>
      <c r="CFF188" s="601"/>
      <c r="CFG188" s="601"/>
      <c r="CFH188" s="601"/>
      <c r="CFI188" s="600" t="s">
        <v>646</v>
      </c>
      <c r="CFJ188" s="601"/>
      <c r="CFK188" s="601"/>
      <c r="CFL188" s="601"/>
      <c r="CFM188" s="601"/>
      <c r="CFN188" s="601"/>
      <c r="CFO188" s="601"/>
      <c r="CFP188" s="601"/>
      <c r="CFQ188" s="601"/>
      <c r="CFR188" s="601"/>
      <c r="CFS188" s="601"/>
      <c r="CFT188" s="601"/>
      <c r="CFU188" s="601"/>
      <c r="CFV188" s="601"/>
      <c r="CFW188" s="601"/>
      <c r="CFX188" s="601"/>
      <c r="CFY188" s="600" t="s">
        <v>646</v>
      </c>
      <c r="CFZ188" s="601"/>
      <c r="CGA188" s="601"/>
      <c r="CGB188" s="601"/>
      <c r="CGC188" s="601"/>
      <c r="CGD188" s="601"/>
      <c r="CGE188" s="601"/>
      <c r="CGF188" s="601"/>
      <c r="CGG188" s="601"/>
      <c r="CGH188" s="601"/>
      <c r="CGI188" s="601"/>
      <c r="CGJ188" s="601"/>
      <c r="CGK188" s="601"/>
      <c r="CGL188" s="601"/>
      <c r="CGM188" s="601"/>
      <c r="CGN188" s="601"/>
      <c r="CGO188" s="600" t="s">
        <v>646</v>
      </c>
      <c r="CGP188" s="601"/>
      <c r="CGQ188" s="601"/>
      <c r="CGR188" s="601"/>
      <c r="CGS188" s="601"/>
      <c r="CGT188" s="601"/>
      <c r="CGU188" s="601"/>
      <c r="CGV188" s="601"/>
      <c r="CGW188" s="601"/>
      <c r="CGX188" s="601"/>
      <c r="CGY188" s="601"/>
      <c r="CGZ188" s="601"/>
      <c r="CHA188" s="601"/>
      <c r="CHB188" s="601"/>
      <c r="CHC188" s="601"/>
      <c r="CHD188" s="601"/>
      <c r="CHE188" s="600" t="s">
        <v>646</v>
      </c>
      <c r="CHF188" s="601"/>
      <c r="CHG188" s="601"/>
      <c r="CHH188" s="601"/>
      <c r="CHI188" s="601"/>
      <c r="CHJ188" s="601"/>
      <c r="CHK188" s="601"/>
      <c r="CHL188" s="601"/>
      <c r="CHM188" s="601"/>
      <c r="CHN188" s="601"/>
      <c r="CHO188" s="601"/>
      <c r="CHP188" s="601"/>
      <c r="CHQ188" s="601"/>
      <c r="CHR188" s="601"/>
      <c r="CHS188" s="601"/>
      <c r="CHT188" s="601"/>
      <c r="CHU188" s="600" t="s">
        <v>646</v>
      </c>
      <c r="CHV188" s="601"/>
      <c r="CHW188" s="601"/>
      <c r="CHX188" s="601"/>
      <c r="CHY188" s="601"/>
      <c r="CHZ188" s="601"/>
      <c r="CIA188" s="601"/>
      <c r="CIB188" s="601"/>
      <c r="CIC188" s="601"/>
      <c r="CID188" s="601"/>
      <c r="CIE188" s="601"/>
      <c r="CIF188" s="601"/>
      <c r="CIG188" s="601"/>
      <c r="CIH188" s="601"/>
      <c r="CII188" s="601"/>
      <c r="CIJ188" s="601"/>
      <c r="CIK188" s="600" t="s">
        <v>646</v>
      </c>
      <c r="CIL188" s="601"/>
      <c r="CIM188" s="601"/>
      <c r="CIN188" s="601"/>
      <c r="CIO188" s="601"/>
      <c r="CIP188" s="601"/>
      <c r="CIQ188" s="601"/>
      <c r="CIR188" s="601"/>
      <c r="CIS188" s="601"/>
      <c r="CIT188" s="601"/>
      <c r="CIU188" s="601"/>
      <c r="CIV188" s="601"/>
      <c r="CIW188" s="601"/>
      <c r="CIX188" s="601"/>
      <c r="CIY188" s="601"/>
      <c r="CIZ188" s="601"/>
      <c r="CJA188" s="600" t="s">
        <v>646</v>
      </c>
      <c r="CJB188" s="601"/>
      <c r="CJC188" s="601"/>
      <c r="CJD188" s="601"/>
      <c r="CJE188" s="601"/>
      <c r="CJF188" s="601"/>
      <c r="CJG188" s="601"/>
      <c r="CJH188" s="601"/>
      <c r="CJI188" s="601"/>
      <c r="CJJ188" s="601"/>
      <c r="CJK188" s="601"/>
      <c r="CJL188" s="601"/>
      <c r="CJM188" s="601"/>
      <c r="CJN188" s="601"/>
      <c r="CJO188" s="601"/>
      <c r="CJP188" s="601"/>
      <c r="CJQ188" s="600" t="s">
        <v>646</v>
      </c>
      <c r="CJR188" s="601"/>
      <c r="CJS188" s="601"/>
      <c r="CJT188" s="601"/>
      <c r="CJU188" s="601"/>
      <c r="CJV188" s="601"/>
      <c r="CJW188" s="601"/>
      <c r="CJX188" s="601"/>
      <c r="CJY188" s="601"/>
      <c r="CJZ188" s="601"/>
      <c r="CKA188" s="601"/>
      <c r="CKB188" s="601"/>
      <c r="CKC188" s="601"/>
      <c r="CKD188" s="601"/>
      <c r="CKE188" s="601"/>
      <c r="CKF188" s="601"/>
      <c r="CKG188" s="600" t="s">
        <v>646</v>
      </c>
      <c r="CKH188" s="601"/>
      <c r="CKI188" s="601"/>
      <c r="CKJ188" s="601"/>
      <c r="CKK188" s="601"/>
      <c r="CKL188" s="601"/>
      <c r="CKM188" s="601"/>
      <c r="CKN188" s="601"/>
      <c r="CKO188" s="601"/>
      <c r="CKP188" s="601"/>
      <c r="CKQ188" s="601"/>
      <c r="CKR188" s="601"/>
      <c r="CKS188" s="601"/>
      <c r="CKT188" s="601"/>
      <c r="CKU188" s="601"/>
      <c r="CKV188" s="601"/>
      <c r="CKW188" s="600" t="s">
        <v>646</v>
      </c>
      <c r="CKX188" s="601"/>
      <c r="CKY188" s="601"/>
      <c r="CKZ188" s="601"/>
      <c r="CLA188" s="601"/>
      <c r="CLB188" s="601"/>
      <c r="CLC188" s="601"/>
      <c r="CLD188" s="601"/>
      <c r="CLE188" s="601"/>
      <c r="CLF188" s="601"/>
      <c r="CLG188" s="601"/>
      <c r="CLH188" s="601"/>
      <c r="CLI188" s="601"/>
      <c r="CLJ188" s="601"/>
      <c r="CLK188" s="601"/>
      <c r="CLL188" s="601"/>
      <c r="CLM188" s="600" t="s">
        <v>646</v>
      </c>
      <c r="CLN188" s="601"/>
      <c r="CLO188" s="601"/>
      <c r="CLP188" s="601"/>
      <c r="CLQ188" s="601"/>
      <c r="CLR188" s="601"/>
      <c r="CLS188" s="601"/>
      <c r="CLT188" s="601"/>
      <c r="CLU188" s="601"/>
      <c r="CLV188" s="601"/>
      <c r="CLW188" s="601"/>
      <c r="CLX188" s="601"/>
      <c r="CLY188" s="601"/>
      <c r="CLZ188" s="601"/>
      <c r="CMA188" s="601"/>
      <c r="CMB188" s="601"/>
      <c r="CMC188" s="600" t="s">
        <v>646</v>
      </c>
      <c r="CMD188" s="601"/>
      <c r="CME188" s="601"/>
      <c r="CMF188" s="601"/>
      <c r="CMG188" s="601"/>
      <c r="CMH188" s="601"/>
      <c r="CMI188" s="601"/>
      <c r="CMJ188" s="601"/>
      <c r="CMK188" s="601"/>
      <c r="CML188" s="601"/>
      <c r="CMM188" s="601"/>
      <c r="CMN188" s="601"/>
      <c r="CMO188" s="601"/>
      <c r="CMP188" s="601"/>
      <c r="CMQ188" s="601"/>
      <c r="CMR188" s="601"/>
      <c r="CMS188" s="600" t="s">
        <v>646</v>
      </c>
      <c r="CMT188" s="601"/>
      <c r="CMU188" s="601"/>
      <c r="CMV188" s="601"/>
      <c r="CMW188" s="601"/>
      <c r="CMX188" s="601"/>
      <c r="CMY188" s="601"/>
      <c r="CMZ188" s="601"/>
      <c r="CNA188" s="601"/>
      <c r="CNB188" s="601"/>
      <c r="CNC188" s="601"/>
      <c r="CND188" s="601"/>
      <c r="CNE188" s="601"/>
      <c r="CNF188" s="601"/>
      <c r="CNG188" s="601"/>
      <c r="CNH188" s="601"/>
      <c r="CNI188" s="600" t="s">
        <v>646</v>
      </c>
      <c r="CNJ188" s="601"/>
      <c r="CNK188" s="601"/>
      <c r="CNL188" s="601"/>
      <c r="CNM188" s="601"/>
      <c r="CNN188" s="601"/>
      <c r="CNO188" s="601"/>
      <c r="CNP188" s="601"/>
      <c r="CNQ188" s="601"/>
      <c r="CNR188" s="601"/>
      <c r="CNS188" s="601"/>
      <c r="CNT188" s="601"/>
      <c r="CNU188" s="601"/>
      <c r="CNV188" s="601"/>
      <c r="CNW188" s="601"/>
      <c r="CNX188" s="601"/>
      <c r="CNY188" s="600" t="s">
        <v>646</v>
      </c>
      <c r="CNZ188" s="601"/>
      <c r="COA188" s="601"/>
      <c r="COB188" s="601"/>
      <c r="COC188" s="601"/>
      <c r="COD188" s="601"/>
      <c r="COE188" s="601"/>
      <c r="COF188" s="601"/>
      <c r="COG188" s="601"/>
      <c r="COH188" s="601"/>
      <c r="COI188" s="601"/>
      <c r="COJ188" s="601"/>
      <c r="COK188" s="601"/>
      <c r="COL188" s="601"/>
      <c r="COM188" s="601"/>
      <c r="CON188" s="601"/>
      <c r="COO188" s="600" t="s">
        <v>646</v>
      </c>
      <c r="COP188" s="601"/>
      <c r="COQ188" s="601"/>
      <c r="COR188" s="601"/>
      <c r="COS188" s="601"/>
      <c r="COT188" s="601"/>
      <c r="COU188" s="601"/>
      <c r="COV188" s="601"/>
      <c r="COW188" s="601"/>
      <c r="COX188" s="601"/>
      <c r="COY188" s="601"/>
      <c r="COZ188" s="601"/>
      <c r="CPA188" s="601"/>
      <c r="CPB188" s="601"/>
      <c r="CPC188" s="601"/>
      <c r="CPD188" s="601"/>
      <c r="CPE188" s="600" t="s">
        <v>646</v>
      </c>
      <c r="CPF188" s="601"/>
      <c r="CPG188" s="601"/>
      <c r="CPH188" s="601"/>
      <c r="CPI188" s="601"/>
      <c r="CPJ188" s="601"/>
      <c r="CPK188" s="601"/>
      <c r="CPL188" s="601"/>
      <c r="CPM188" s="601"/>
      <c r="CPN188" s="601"/>
      <c r="CPO188" s="601"/>
      <c r="CPP188" s="601"/>
      <c r="CPQ188" s="601"/>
      <c r="CPR188" s="601"/>
      <c r="CPS188" s="601"/>
      <c r="CPT188" s="601"/>
      <c r="CPU188" s="600" t="s">
        <v>646</v>
      </c>
      <c r="CPV188" s="601"/>
      <c r="CPW188" s="601"/>
      <c r="CPX188" s="601"/>
      <c r="CPY188" s="601"/>
      <c r="CPZ188" s="601"/>
      <c r="CQA188" s="601"/>
      <c r="CQB188" s="601"/>
      <c r="CQC188" s="601"/>
      <c r="CQD188" s="601"/>
      <c r="CQE188" s="601"/>
      <c r="CQF188" s="601"/>
      <c r="CQG188" s="601"/>
      <c r="CQH188" s="601"/>
      <c r="CQI188" s="601"/>
      <c r="CQJ188" s="601"/>
      <c r="CQK188" s="600" t="s">
        <v>646</v>
      </c>
      <c r="CQL188" s="601"/>
      <c r="CQM188" s="601"/>
      <c r="CQN188" s="601"/>
      <c r="CQO188" s="601"/>
      <c r="CQP188" s="601"/>
      <c r="CQQ188" s="601"/>
      <c r="CQR188" s="601"/>
      <c r="CQS188" s="601"/>
      <c r="CQT188" s="601"/>
      <c r="CQU188" s="601"/>
      <c r="CQV188" s="601"/>
      <c r="CQW188" s="601"/>
      <c r="CQX188" s="601"/>
      <c r="CQY188" s="601"/>
      <c r="CQZ188" s="601"/>
      <c r="CRA188" s="600" t="s">
        <v>646</v>
      </c>
      <c r="CRB188" s="601"/>
      <c r="CRC188" s="601"/>
      <c r="CRD188" s="601"/>
      <c r="CRE188" s="601"/>
      <c r="CRF188" s="601"/>
      <c r="CRG188" s="601"/>
      <c r="CRH188" s="601"/>
      <c r="CRI188" s="601"/>
      <c r="CRJ188" s="601"/>
      <c r="CRK188" s="601"/>
      <c r="CRL188" s="601"/>
      <c r="CRM188" s="601"/>
      <c r="CRN188" s="601"/>
      <c r="CRO188" s="601"/>
      <c r="CRP188" s="601"/>
      <c r="CRQ188" s="600" t="s">
        <v>646</v>
      </c>
      <c r="CRR188" s="601"/>
      <c r="CRS188" s="601"/>
      <c r="CRT188" s="601"/>
      <c r="CRU188" s="601"/>
      <c r="CRV188" s="601"/>
      <c r="CRW188" s="601"/>
      <c r="CRX188" s="601"/>
      <c r="CRY188" s="601"/>
      <c r="CRZ188" s="601"/>
      <c r="CSA188" s="601"/>
      <c r="CSB188" s="601"/>
      <c r="CSC188" s="601"/>
      <c r="CSD188" s="601"/>
      <c r="CSE188" s="601"/>
      <c r="CSF188" s="601"/>
      <c r="CSG188" s="600" t="s">
        <v>646</v>
      </c>
      <c r="CSH188" s="601"/>
      <c r="CSI188" s="601"/>
      <c r="CSJ188" s="601"/>
      <c r="CSK188" s="601"/>
      <c r="CSL188" s="601"/>
      <c r="CSM188" s="601"/>
      <c r="CSN188" s="601"/>
      <c r="CSO188" s="601"/>
      <c r="CSP188" s="601"/>
      <c r="CSQ188" s="601"/>
      <c r="CSR188" s="601"/>
      <c r="CSS188" s="601"/>
      <c r="CST188" s="601"/>
      <c r="CSU188" s="601"/>
      <c r="CSV188" s="601"/>
      <c r="CSW188" s="600" t="s">
        <v>646</v>
      </c>
      <c r="CSX188" s="601"/>
      <c r="CSY188" s="601"/>
      <c r="CSZ188" s="601"/>
      <c r="CTA188" s="601"/>
      <c r="CTB188" s="601"/>
      <c r="CTC188" s="601"/>
      <c r="CTD188" s="601"/>
      <c r="CTE188" s="601"/>
      <c r="CTF188" s="601"/>
      <c r="CTG188" s="601"/>
      <c r="CTH188" s="601"/>
      <c r="CTI188" s="601"/>
      <c r="CTJ188" s="601"/>
      <c r="CTK188" s="601"/>
      <c r="CTL188" s="601"/>
      <c r="CTM188" s="600" t="s">
        <v>646</v>
      </c>
      <c r="CTN188" s="601"/>
      <c r="CTO188" s="601"/>
      <c r="CTP188" s="601"/>
      <c r="CTQ188" s="601"/>
      <c r="CTR188" s="601"/>
      <c r="CTS188" s="601"/>
      <c r="CTT188" s="601"/>
      <c r="CTU188" s="601"/>
      <c r="CTV188" s="601"/>
      <c r="CTW188" s="601"/>
      <c r="CTX188" s="601"/>
      <c r="CTY188" s="601"/>
      <c r="CTZ188" s="601"/>
      <c r="CUA188" s="601"/>
      <c r="CUB188" s="601"/>
      <c r="CUC188" s="600" t="s">
        <v>646</v>
      </c>
      <c r="CUD188" s="601"/>
      <c r="CUE188" s="601"/>
      <c r="CUF188" s="601"/>
      <c r="CUG188" s="601"/>
      <c r="CUH188" s="601"/>
      <c r="CUI188" s="601"/>
      <c r="CUJ188" s="601"/>
      <c r="CUK188" s="601"/>
      <c r="CUL188" s="601"/>
      <c r="CUM188" s="601"/>
      <c r="CUN188" s="601"/>
      <c r="CUO188" s="601"/>
      <c r="CUP188" s="601"/>
      <c r="CUQ188" s="601"/>
      <c r="CUR188" s="601"/>
      <c r="CUS188" s="600" t="s">
        <v>646</v>
      </c>
      <c r="CUT188" s="601"/>
      <c r="CUU188" s="601"/>
      <c r="CUV188" s="601"/>
      <c r="CUW188" s="601"/>
      <c r="CUX188" s="601"/>
      <c r="CUY188" s="601"/>
      <c r="CUZ188" s="601"/>
      <c r="CVA188" s="601"/>
      <c r="CVB188" s="601"/>
      <c r="CVC188" s="601"/>
      <c r="CVD188" s="601"/>
      <c r="CVE188" s="601"/>
      <c r="CVF188" s="601"/>
      <c r="CVG188" s="601"/>
      <c r="CVH188" s="601"/>
      <c r="CVI188" s="600" t="s">
        <v>646</v>
      </c>
      <c r="CVJ188" s="601"/>
      <c r="CVK188" s="601"/>
      <c r="CVL188" s="601"/>
      <c r="CVM188" s="601"/>
      <c r="CVN188" s="601"/>
      <c r="CVO188" s="601"/>
      <c r="CVP188" s="601"/>
      <c r="CVQ188" s="601"/>
      <c r="CVR188" s="601"/>
      <c r="CVS188" s="601"/>
      <c r="CVT188" s="601"/>
      <c r="CVU188" s="601"/>
      <c r="CVV188" s="601"/>
      <c r="CVW188" s="601"/>
      <c r="CVX188" s="601"/>
      <c r="CVY188" s="600" t="s">
        <v>646</v>
      </c>
      <c r="CVZ188" s="601"/>
      <c r="CWA188" s="601"/>
      <c r="CWB188" s="601"/>
      <c r="CWC188" s="601"/>
      <c r="CWD188" s="601"/>
      <c r="CWE188" s="601"/>
      <c r="CWF188" s="601"/>
      <c r="CWG188" s="601"/>
      <c r="CWH188" s="601"/>
      <c r="CWI188" s="601"/>
      <c r="CWJ188" s="601"/>
      <c r="CWK188" s="601"/>
      <c r="CWL188" s="601"/>
      <c r="CWM188" s="601"/>
      <c r="CWN188" s="601"/>
      <c r="CWO188" s="600" t="s">
        <v>646</v>
      </c>
      <c r="CWP188" s="601"/>
      <c r="CWQ188" s="601"/>
      <c r="CWR188" s="601"/>
      <c r="CWS188" s="601"/>
      <c r="CWT188" s="601"/>
      <c r="CWU188" s="601"/>
      <c r="CWV188" s="601"/>
      <c r="CWW188" s="601"/>
      <c r="CWX188" s="601"/>
      <c r="CWY188" s="601"/>
      <c r="CWZ188" s="601"/>
      <c r="CXA188" s="601"/>
      <c r="CXB188" s="601"/>
      <c r="CXC188" s="601"/>
      <c r="CXD188" s="601"/>
      <c r="CXE188" s="600" t="s">
        <v>646</v>
      </c>
      <c r="CXF188" s="601"/>
      <c r="CXG188" s="601"/>
      <c r="CXH188" s="601"/>
      <c r="CXI188" s="601"/>
      <c r="CXJ188" s="601"/>
      <c r="CXK188" s="601"/>
      <c r="CXL188" s="601"/>
      <c r="CXM188" s="601"/>
      <c r="CXN188" s="601"/>
      <c r="CXO188" s="601"/>
      <c r="CXP188" s="601"/>
      <c r="CXQ188" s="601"/>
      <c r="CXR188" s="601"/>
      <c r="CXS188" s="601"/>
      <c r="CXT188" s="601"/>
      <c r="CXU188" s="600" t="s">
        <v>646</v>
      </c>
      <c r="CXV188" s="601"/>
      <c r="CXW188" s="601"/>
      <c r="CXX188" s="601"/>
      <c r="CXY188" s="601"/>
      <c r="CXZ188" s="601"/>
      <c r="CYA188" s="601"/>
      <c r="CYB188" s="601"/>
      <c r="CYC188" s="601"/>
      <c r="CYD188" s="601"/>
      <c r="CYE188" s="601"/>
      <c r="CYF188" s="601"/>
      <c r="CYG188" s="601"/>
      <c r="CYH188" s="601"/>
      <c r="CYI188" s="601"/>
      <c r="CYJ188" s="601"/>
      <c r="CYK188" s="600" t="s">
        <v>646</v>
      </c>
      <c r="CYL188" s="601"/>
      <c r="CYM188" s="601"/>
      <c r="CYN188" s="601"/>
      <c r="CYO188" s="601"/>
      <c r="CYP188" s="601"/>
      <c r="CYQ188" s="601"/>
      <c r="CYR188" s="601"/>
      <c r="CYS188" s="601"/>
      <c r="CYT188" s="601"/>
      <c r="CYU188" s="601"/>
      <c r="CYV188" s="601"/>
      <c r="CYW188" s="601"/>
      <c r="CYX188" s="601"/>
      <c r="CYY188" s="601"/>
      <c r="CYZ188" s="601"/>
      <c r="CZA188" s="600" t="s">
        <v>646</v>
      </c>
      <c r="CZB188" s="601"/>
      <c r="CZC188" s="601"/>
      <c r="CZD188" s="601"/>
      <c r="CZE188" s="601"/>
      <c r="CZF188" s="601"/>
      <c r="CZG188" s="601"/>
      <c r="CZH188" s="601"/>
      <c r="CZI188" s="601"/>
      <c r="CZJ188" s="601"/>
      <c r="CZK188" s="601"/>
      <c r="CZL188" s="601"/>
      <c r="CZM188" s="601"/>
      <c r="CZN188" s="601"/>
      <c r="CZO188" s="601"/>
      <c r="CZP188" s="601"/>
      <c r="CZQ188" s="600" t="s">
        <v>646</v>
      </c>
      <c r="CZR188" s="601"/>
      <c r="CZS188" s="601"/>
      <c r="CZT188" s="601"/>
      <c r="CZU188" s="601"/>
      <c r="CZV188" s="601"/>
      <c r="CZW188" s="601"/>
      <c r="CZX188" s="601"/>
      <c r="CZY188" s="601"/>
      <c r="CZZ188" s="601"/>
      <c r="DAA188" s="601"/>
      <c r="DAB188" s="601"/>
      <c r="DAC188" s="601"/>
      <c r="DAD188" s="601"/>
      <c r="DAE188" s="601"/>
      <c r="DAF188" s="601"/>
      <c r="DAG188" s="600" t="s">
        <v>646</v>
      </c>
      <c r="DAH188" s="601"/>
      <c r="DAI188" s="601"/>
      <c r="DAJ188" s="601"/>
      <c r="DAK188" s="601"/>
      <c r="DAL188" s="601"/>
      <c r="DAM188" s="601"/>
      <c r="DAN188" s="601"/>
      <c r="DAO188" s="601"/>
      <c r="DAP188" s="601"/>
      <c r="DAQ188" s="601"/>
      <c r="DAR188" s="601"/>
      <c r="DAS188" s="601"/>
      <c r="DAT188" s="601"/>
      <c r="DAU188" s="601"/>
      <c r="DAV188" s="601"/>
      <c r="DAW188" s="600" t="s">
        <v>646</v>
      </c>
      <c r="DAX188" s="601"/>
      <c r="DAY188" s="601"/>
      <c r="DAZ188" s="601"/>
      <c r="DBA188" s="601"/>
      <c r="DBB188" s="601"/>
      <c r="DBC188" s="601"/>
      <c r="DBD188" s="601"/>
      <c r="DBE188" s="601"/>
      <c r="DBF188" s="601"/>
      <c r="DBG188" s="601"/>
      <c r="DBH188" s="601"/>
      <c r="DBI188" s="601"/>
      <c r="DBJ188" s="601"/>
      <c r="DBK188" s="601"/>
      <c r="DBL188" s="601"/>
      <c r="DBM188" s="600" t="s">
        <v>646</v>
      </c>
      <c r="DBN188" s="601"/>
      <c r="DBO188" s="601"/>
      <c r="DBP188" s="601"/>
      <c r="DBQ188" s="601"/>
      <c r="DBR188" s="601"/>
      <c r="DBS188" s="601"/>
      <c r="DBT188" s="601"/>
      <c r="DBU188" s="601"/>
      <c r="DBV188" s="601"/>
      <c r="DBW188" s="601"/>
      <c r="DBX188" s="601"/>
      <c r="DBY188" s="601"/>
      <c r="DBZ188" s="601"/>
      <c r="DCA188" s="601"/>
      <c r="DCB188" s="601"/>
      <c r="DCC188" s="600" t="s">
        <v>646</v>
      </c>
      <c r="DCD188" s="601"/>
      <c r="DCE188" s="601"/>
      <c r="DCF188" s="601"/>
      <c r="DCG188" s="601"/>
      <c r="DCH188" s="601"/>
      <c r="DCI188" s="601"/>
      <c r="DCJ188" s="601"/>
      <c r="DCK188" s="601"/>
      <c r="DCL188" s="601"/>
      <c r="DCM188" s="601"/>
      <c r="DCN188" s="601"/>
      <c r="DCO188" s="601"/>
      <c r="DCP188" s="601"/>
      <c r="DCQ188" s="601"/>
      <c r="DCR188" s="601"/>
      <c r="DCS188" s="600" t="s">
        <v>646</v>
      </c>
      <c r="DCT188" s="601"/>
      <c r="DCU188" s="601"/>
      <c r="DCV188" s="601"/>
      <c r="DCW188" s="601"/>
      <c r="DCX188" s="601"/>
      <c r="DCY188" s="601"/>
      <c r="DCZ188" s="601"/>
      <c r="DDA188" s="601"/>
      <c r="DDB188" s="601"/>
      <c r="DDC188" s="601"/>
      <c r="DDD188" s="601"/>
      <c r="DDE188" s="601"/>
      <c r="DDF188" s="601"/>
      <c r="DDG188" s="601"/>
      <c r="DDH188" s="601"/>
      <c r="DDI188" s="600" t="s">
        <v>646</v>
      </c>
      <c r="DDJ188" s="601"/>
      <c r="DDK188" s="601"/>
      <c r="DDL188" s="601"/>
      <c r="DDM188" s="601"/>
      <c r="DDN188" s="601"/>
      <c r="DDO188" s="601"/>
      <c r="DDP188" s="601"/>
      <c r="DDQ188" s="601"/>
      <c r="DDR188" s="601"/>
      <c r="DDS188" s="601"/>
      <c r="DDT188" s="601"/>
      <c r="DDU188" s="601"/>
      <c r="DDV188" s="601"/>
      <c r="DDW188" s="601"/>
      <c r="DDX188" s="601"/>
      <c r="DDY188" s="600" t="s">
        <v>646</v>
      </c>
      <c r="DDZ188" s="601"/>
      <c r="DEA188" s="601"/>
      <c r="DEB188" s="601"/>
      <c r="DEC188" s="601"/>
      <c r="DED188" s="601"/>
      <c r="DEE188" s="601"/>
      <c r="DEF188" s="601"/>
      <c r="DEG188" s="601"/>
      <c r="DEH188" s="601"/>
      <c r="DEI188" s="601"/>
      <c r="DEJ188" s="601"/>
      <c r="DEK188" s="601"/>
      <c r="DEL188" s="601"/>
      <c r="DEM188" s="601"/>
      <c r="DEN188" s="601"/>
      <c r="DEO188" s="600" t="s">
        <v>646</v>
      </c>
      <c r="DEP188" s="601"/>
      <c r="DEQ188" s="601"/>
      <c r="DER188" s="601"/>
      <c r="DES188" s="601"/>
      <c r="DET188" s="601"/>
      <c r="DEU188" s="601"/>
      <c r="DEV188" s="601"/>
      <c r="DEW188" s="601"/>
      <c r="DEX188" s="601"/>
      <c r="DEY188" s="601"/>
      <c r="DEZ188" s="601"/>
      <c r="DFA188" s="601"/>
      <c r="DFB188" s="601"/>
      <c r="DFC188" s="601"/>
      <c r="DFD188" s="601"/>
      <c r="DFE188" s="600" t="s">
        <v>646</v>
      </c>
      <c r="DFF188" s="601"/>
      <c r="DFG188" s="601"/>
      <c r="DFH188" s="601"/>
      <c r="DFI188" s="601"/>
      <c r="DFJ188" s="601"/>
      <c r="DFK188" s="601"/>
      <c r="DFL188" s="601"/>
      <c r="DFM188" s="601"/>
      <c r="DFN188" s="601"/>
      <c r="DFO188" s="601"/>
      <c r="DFP188" s="601"/>
      <c r="DFQ188" s="601"/>
      <c r="DFR188" s="601"/>
      <c r="DFS188" s="601"/>
      <c r="DFT188" s="601"/>
      <c r="DFU188" s="600" t="s">
        <v>646</v>
      </c>
      <c r="DFV188" s="601"/>
      <c r="DFW188" s="601"/>
      <c r="DFX188" s="601"/>
      <c r="DFY188" s="601"/>
      <c r="DFZ188" s="601"/>
      <c r="DGA188" s="601"/>
      <c r="DGB188" s="601"/>
      <c r="DGC188" s="601"/>
      <c r="DGD188" s="601"/>
      <c r="DGE188" s="601"/>
      <c r="DGF188" s="601"/>
      <c r="DGG188" s="601"/>
      <c r="DGH188" s="601"/>
      <c r="DGI188" s="601"/>
      <c r="DGJ188" s="601"/>
      <c r="DGK188" s="600" t="s">
        <v>646</v>
      </c>
      <c r="DGL188" s="601"/>
      <c r="DGM188" s="601"/>
      <c r="DGN188" s="601"/>
      <c r="DGO188" s="601"/>
      <c r="DGP188" s="601"/>
      <c r="DGQ188" s="601"/>
      <c r="DGR188" s="601"/>
      <c r="DGS188" s="601"/>
      <c r="DGT188" s="601"/>
      <c r="DGU188" s="601"/>
      <c r="DGV188" s="601"/>
      <c r="DGW188" s="601"/>
      <c r="DGX188" s="601"/>
      <c r="DGY188" s="601"/>
      <c r="DGZ188" s="601"/>
      <c r="DHA188" s="600" t="s">
        <v>646</v>
      </c>
      <c r="DHB188" s="601"/>
      <c r="DHC188" s="601"/>
      <c r="DHD188" s="601"/>
      <c r="DHE188" s="601"/>
      <c r="DHF188" s="601"/>
      <c r="DHG188" s="601"/>
      <c r="DHH188" s="601"/>
      <c r="DHI188" s="601"/>
      <c r="DHJ188" s="601"/>
      <c r="DHK188" s="601"/>
      <c r="DHL188" s="601"/>
      <c r="DHM188" s="601"/>
      <c r="DHN188" s="601"/>
      <c r="DHO188" s="601"/>
      <c r="DHP188" s="601"/>
      <c r="DHQ188" s="600" t="s">
        <v>646</v>
      </c>
      <c r="DHR188" s="601"/>
      <c r="DHS188" s="601"/>
      <c r="DHT188" s="601"/>
      <c r="DHU188" s="601"/>
      <c r="DHV188" s="601"/>
      <c r="DHW188" s="601"/>
      <c r="DHX188" s="601"/>
      <c r="DHY188" s="601"/>
      <c r="DHZ188" s="601"/>
      <c r="DIA188" s="601"/>
      <c r="DIB188" s="601"/>
      <c r="DIC188" s="601"/>
      <c r="DID188" s="601"/>
      <c r="DIE188" s="601"/>
      <c r="DIF188" s="601"/>
      <c r="DIG188" s="600" t="s">
        <v>646</v>
      </c>
      <c r="DIH188" s="601"/>
      <c r="DII188" s="601"/>
      <c r="DIJ188" s="601"/>
      <c r="DIK188" s="601"/>
      <c r="DIL188" s="601"/>
      <c r="DIM188" s="601"/>
      <c r="DIN188" s="601"/>
      <c r="DIO188" s="601"/>
      <c r="DIP188" s="601"/>
      <c r="DIQ188" s="601"/>
      <c r="DIR188" s="601"/>
      <c r="DIS188" s="601"/>
      <c r="DIT188" s="601"/>
      <c r="DIU188" s="601"/>
      <c r="DIV188" s="601"/>
      <c r="DIW188" s="600" t="s">
        <v>646</v>
      </c>
      <c r="DIX188" s="601"/>
      <c r="DIY188" s="601"/>
      <c r="DIZ188" s="601"/>
      <c r="DJA188" s="601"/>
      <c r="DJB188" s="601"/>
      <c r="DJC188" s="601"/>
      <c r="DJD188" s="601"/>
      <c r="DJE188" s="601"/>
      <c r="DJF188" s="601"/>
      <c r="DJG188" s="601"/>
      <c r="DJH188" s="601"/>
      <c r="DJI188" s="601"/>
      <c r="DJJ188" s="601"/>
      <c r="DJK188" s="601"/>
      <c r="DJL188" s="601"/>
      <c r="DJM188" s="600" t="s">
        <v>646</v>
      </c>
      <c r="DJN188" s="601"/>
      <c r="DJO188" s="601"/>
      <c r="DJP188" s="601"/>
      <c r="DJQ188" s="601"/>
      <c r="DJR188" s="601"/>
      <c r="DJS188" s="601"/>
      <c r="DJT188" s="601"/>
      <c r="DJU188" s="601"/>
      <c r="DJV188" s="601"/>
      <c r="DJW188" s="601"/>
      <c r="DJX188" s="601"/>
      <c r="DJY188" s="601"/>
      <c r="DJZ188" s="601"/>
      <c r="DKA188" s="601"/>
      <c r="DKB188" s="601"/>
      <c r="DKC188" s="600" t="s">
        <v>646</v>
      </c>
      <c r="DKD188" s="601"/>
      <c r="DKE188" s="601"/>
      <c r="DKF188" s="601"/>
      <c r="DKG188" s="601"/>
      <c r="DKH188" s="601"/>
      <c r="DKI188" s="601"/>
      <c r="DKJ188" s="601"/>
      <c r="DKK188" s="601"/>
      <c r="DKL188" s="601"/>
      <c r="DKM188" s="601"/>
      <c r="DKN188" s="601"/>
      <c r="DKO188" s="601"/>
      <c r="DKP188" s="601"/>
      <c r="DKQ188" s="601"/>
      <c r="DKR188" s="601"/>
      <c r="DKS188" s="600" t="s">
        <v>646</v>
      </c>
      <c r="DKT188" s="601"/>
      <c r="DKU188" s="601"/>
      <c r="DKV188" s="601"/>
      <c r="DKW188" s="601"/>
      <c r="DKX188" s="601"/>
      <c r="DKY188" s="601"/>
      <c r="DKZ188" s="601"/>
      <c r="DLA188" s="601"/>
      <c r="DLB188" s="601"/>
      <c r="DLC188" s="601"/>
      <c r="DLD188" s="601"/>
      <c r="DLE188" s="601"/>
      <c r="DLF188" s="601"/>
      <c r="DLG188" s="601"/>
      <c r="DLH188" s="601"/>
      <c r="DLI188" s="600" t="s">
        <v>646</v>
      </c>
      <c r="DLJ188" s="601"/>
      <c r="DLK188" s="601"/>
      <c r="DLL188" s="601"/>
      <c r="DLM188" s="601"/>
      <c r="DLN188" s="601"/>
      <c r="DLO188" s="601"/>
      <c r="DLP188" s="601"/>
      <c r="DLQ188" s="601"/>
      <c r="DLR188" s="601"/>
      <c r="DLS188" s="601"/>
      <c r="DLT188" s="601"/>
      <c r="DLU188" s="601"/>
      <c r="DLV188" s="601"/>
      <c r="DLW188" s="601"/>
      <c r="DLX188" s="601"/>
      <c r="DLY188" s="600" t="s">
        <v>646</v>
      </c>
      <c r="DLZ188" s="601"/>
      <c r="DMA188" s="601"/>
      <c r="DMB188" s="601"/>
      <c r="DMC188" s="601"/>
      <c r="DMD188" s="601"/>
      <c r="DME188" s="601"/>
      <c r="DMF188" s="601"/>
      <c r="DMG188" s="601"/>
      <c r="DMH188" s="601"/>
      <c r="DMI188" s="601"/>
      <c r="DMJ188" s="601"/>
      <c r="DMK188" s="601"/>
      <c r="DML188" s="601"/>
      <c r="DMM188" s="601"/>
      <c r="DMN188" s="601"/>
      <c r="DMO188" s="600" t="s">
        <v>646</v>
      </c>
      <c r="DMP188" s="601"/>
      <c r="DMQ188" s="601"/>
      <c r="DMR188" s="601"/>
      <c r="DMS188" s="601"/>
      <c r="DMT188" s="601"/>
      <c r="DMU188" s="601"/>
      <c r="DMV188" s="601"/>
      <c r="DMW188" s="601"/>
      <c r="DMX188" s="601"/>
      <c r="DMY188" s="601"/>
      <c r="DMZ188" s="601"/>
      <c r="DNA188" s="601"/>
      <c r="DNB188" s="601"/>
      <c r="DNC188" s="601"/>
      <c r="DND188" s="601"/>
      <c r="DNE188" s="600" t="s">
        <v>646</v>
      </c>
      <c r="DNF188" s="601"/>
      <c r="DNG188" s="601"/>
      <c r="DNH188" s="601"/>
      <c r="DNI188" s="601"/>
      <c r="DNJ188" s="601"/>
      <c r="DNK188" s="601"/>
      <c r="DNL188" s="601"/>
      <c r="DNM188" s="601"/>
      <c r="DNN188" s="601"/>
      <c r="DNO188" s="601"/>
      <c r="DNP188" s="601"/>
      <c r="DNQ188" s="601"/>
      <c r="DNR188" s="601"/>
      <c r="DNS188" s="601"/>
      <c r="DNT188" s="601"/>
      <c r="DNU188" s="600" t="s">
        <v>646</v>
      </c>
      <c r="DNV188" s="601"/>
      <c r="DNW188" s="601"/>
      <c r="DNX188" s="601"/>
      <c r="DNY188" s="601"/>
      <c r="DNZ188" s="601"/>
      <c r="DOA188" s="601"/>
      <c r="DOB188" s="601"/>
      <c r="DOC188" s="601"/>
      <c r="DOD188" s="601"/>
      <c r="DOE188" s="601"/>
      <c r="DOF188" s="601"/>
      <c r="DOG188" s="601"/>
      <c r="DOH188" s="601"/>
      <c r="DOI188" s="601"/>
      <c r="DOJ188" s="601"/>
      <c r="DOK188" s="600" t="s">
        <v>646</v>
      </c>
      <c r="DOL188" s="601"/>
      <c r="DOM188" s="601"/>
      <c r="DON188" s="601"/>
      <c r="DOO188" s="601"/>
      <c r="DOP188" s="601"/>
      <c r="DOQ188" s="601"/>
      <c r="DOR188" s="601"/>
      <c r="DOS188" s="601"/>
      <c r="DOT188" s="601"/>
      <c r="DOU188" s="601"/>
      <c r="DOV188" s="601"/>
      <c r="DOW188" s="601"/>
      <c r="DOX188" s="601"/>
      <c r="DOY188" s="601"/>
      <c r="DOZ188" s="601"/>
      <c r="DPA188" s="600" t="s">
        <v>646</v>
      </c>
      <c r="DPB188" s="601"/>
      <c r="DPC188" s="601"/>
      <c r="DPD188" s="601"/>
      <c r="DPE188" s="601"/>
      <c r="DPF188" s="601"/>
      <c r="DPG188" s="601"/>
      <c r="DPH188" s="601"/>
      <c r="DPI188" s="601"/>
      <c r="DPJ188" s="601"/>
      <c r="DPK188" s="601"/>
      <c r="DPL188" s="601"/>
      <c r="DPM188" s="601"/>
      <c r="DPN188" s="601"/>
      <c r="DPO188" s="601"/>
      <c r="DPP188" s="601"/>
      <c r="DPQ188" s="600" t="s">
        <v>646</v>
      </c>
      <c r="DPR188" s="601"/>
      <c r="DPS188" s="601"/>
      <c r="DPT188" s="601"/>
      <c r="DPU188" s="601"/>
      <c r="DPV188" s="601"/>
      <c r="DPW188" s="601"/>
      <c r="DPX188" s="601"/>
      <c r="DPY188" s="601"/>
      <c r="DPZ188" s="601"/>
      <c r="DQA188" s="601"/>
      <c r="DQB188" s="601"/>
      <c r="DQC188" s="601"/>
      <c r="DQD188" s="601"/>
      <c r="DQE188" s="601"/>
      <c r="DQF188" s="601"/>
      <c r="DQG188" s="600" t="s">
        <v>646</v>
      </c>
      <c r="DQH188" s="601"/>
      <c r="DQI188" s="601"/>
      <c r="DQJ188" s="601"/>
      <c r="DQK188" s="601"/>
      <c r="DQL188" s="601"/>
      <c r="DQM188" s="601"/>
      <c r="DQN188" s="601"/>
      <c r="DQO188" s="601"/>
      <c r="DQP188" s="601"/>
      <c r="DQQ188" s="601"/>
      <c r="DQR188" s="601"/>
      <c r="DQS188" s="601"/>
      <c r="DQT188" s="601"/>
      <c r="DQU188" s="601"/>
      <c r="DQV188" s="601"/>
      <c r="DQW188" s="600" t="s">
        <v>646</v>
      </c>
      <c r="DQX188" s="601"/>
      <c r="DQY188" s="601"/>
      <c r="DQZ188" s="601"/>
      <c r="DRA188" s="601"/>
      <c r="DRB188" s="601"/>
      <c r="DRC188" s="601"/>
      <c r="DRD188" s="601"/>
      <c r="DRE188" s="601"/>
      <c r="DRF188" s="601"/>
      <c r="DRG188" s="601"/>
      <c r="DRH188" s="601"/>
      <c r="DRI188" s="601"/>
      <c r="DRJ188" s="601"/>
      <c r="DRK188" s="601"/>
      <c r="DRL188" s="601"/>
      <c r="DRM188" s="600" t="s">
        <v>646</v>
      </c>
      <c r="DRN188" s="601"/>
      <c r="DRO188" s="601"/>
      <c r="DRP188" s="601"/>
      <c r="DRQ188" s="601"/>
      <c r="DRR188" s="601"/>
      <c r="DRS188" s="601"/>
      <c r="DRT188" s="601"/>
      <c r="DRU188" s="601"/>
      <c r="DRV188" s="601"/>
      <c r="DRW188" s="601"/>
      <c r="DRX188" s="601"/>
      <c r="DRY188" s="601"/>
      <c r="DRZ188" s="601"/>
      <c r="DSA188" s="601"/>
      <c r="DSB188" s="601"/>
      <c r="DSC188" s="600" t="s">
        <v>646</v>
      </c>
      <c r="DSD188" s="601"/>
      <c r="DSE188" s="601"/>
      <c r="DSF188" s="601"/>
      <c r="DSG188" s="601"/>
      <c r="DSH188" s="601"/>
      <c r="DSI188" s="601"/>
      <c r="DSJ188" s="601"/>
      <c r="DSK188" s="601"/>
      <c r="DSL188" s="601"/>
      <c r="DSM188" s="601"/>
      <c r="DSN188" s="601"/>
      <c r="DSO188" s="601"/>
      <c r="DSP188" s="601"/>
      <c r="DSQ188" s="601"/>
      <c r="DSR188" s="601"/>
      <c r="DSS188" s="600" t="s">
        <v>646</v>
      </c>
      <c r="DST188" s="601"/>
      <c r="DSU188" s="601"/>
      <c r="DSV188" s="601"/>
      <c r="DSW188" s="601"/>
      <c r="DSX188" s="601"/>
      <c r="DSY188" s="601"/>
      <c r="DSZ188" s="601"/>
      <c r="DTA188" s="601"/>
      <c r="DTB188" s="601"/>
      <c r="DTC188" s="601"/>
      <c r="DTD188" s="601"/>
      <c r="DTE188" s="601"/>
      <c r="DTF188" s="601"/>
      <c r="DTG188" s="601"/>
      <c r="DTH188" s="601"/>
      <c r="DTI188" s="600" t="s">
        <v>646</v>
      </c>
      <c r="DTJ188" s="601"/>
      <c r="DTK188" s="601"/>
      <c r="DTL188" s="601"/>
      <c r="DTM188" s="601"/>
      <c r="DTN188" s="601"/>
      <c r="DTO188" s="601"/>
      <c r="DTP188" s="601"/>
      <c r="DTQ188" s="601"/>
      <c r="DTR188" s="601"/>
      <c r="DTS188" s="601"/>
      <c r="DTT188" s="601"/>
      <c r="DTU188" s="601"/>
      <c r="DTV188" s="601"/>
      <c r="DTW188" s="601"/>
      <c r="DTX188" s="601"/>
      <c r="DTY188" s="600" t="s">
        <v>646</v>
      </c>
      <c r="DTZ188" s="601"/>
      <c r="DUA188" s="601"/>
      <c r="DUB188" s="601"/>
      <c r="DUC188" s="601"/>
      <c r="DUD188" s="601"/>
      <c r="DUE188" s="601"/>
      <c r="DUF188" s="601"/>
      <c r="DUG188" s="601"/>
      <c r="DUH188" s="601"/>
      <c r="DUI188" s="601"/>
      <c r="DUJ188" s="601"/>
      <c r="DUK188" s="601"/>
      <c r="DUL188" s="601"/>
      <c r="DUM188" s="601"/>
      <c r="DUN188" s="601"/>
      <c r="DUO188" s="600" t="s">
        <v>646</v>
      </c>
      <c r="DUP188" s="601"/>
      <c r="DUQ188" s="601"/>
      <c r="DUR188" s="601"/>
      <c r="DUS188" s="601"/>
      <c r="DUT188" s="601"/>
      <c r="DUU188" s="601"/>
      <c r="DUV188" s="601"/>
      <c r="DUW188" s="601"/>
      <c r="DUX188" s="601"/>
      <c r="DUY188" s="601"/>
      <c r="DUZ188" s="601"/>
      <c r="DVA188" s="601"/>
      <c r="DVB188" s="601"/>
      <c r="DVC188" s="601"/>
      <c r="DVD188" s="601"/>
      <c r="DVE188" s="600" t="s">
        <v>646</v>
      </c>
      <c r="DVF188" s="601"/>
      <c r="DVG188" s="601"/>
      <c r="DVH188" s="601"/>
      <c r="DVI188" s="601"/>
      <c r="DVJ188" s="601"/>
      <c r="DVK188" s="601"/>
      <c r="DVL188" s="601"/>
      <c r="DVM188" s="601"/>
      <c r="DVN188" s="601"/>
      <c r="DVO188" s="601"/>
      <c r="DVP188" s="601"/>
      <c r="DVQ188" s="601"/>
      <c r="DVR188" s="601"/>
      <c r="DVS188" s="601"/>
      <c r="DVT188" s="601"/>
      <c r="DVU188" s="600" t="s">
        <v>646</v>
      </c>
      <c r="DVV188" s="601"/>
      <c r="DVW188" s="601"/>
      <c r="DVX188" s="601"/>
      <c r="DVY188" s="601"/>
      <c r="DVZ188" s="601"/>
      <c r="DWA188" s="601"/>
      <c r="DWB188" s="601"/>
      <c r="DWC188" s="601"/>
      <c r="DWD188" s="601"/>
      <c r="DWE188" s="601"/>
      <c r="DWF188" s="601"/>
      <c r="DWG188" s="601"/>
      <c r="DWH188" s="601"/>
      <c r="DWI188" s="601"/>
      <c r="DWJ188" s="601"/>
      <c r="DWK188" s="600" t="s">
        <v>646</v>
      </c>
      <c r="DWL188" s="601"/>
      <c r="DWM188" s="601"/>
      <c r="DWN188" s="601"/>
      <c r="DWO188" s="601"/>
      <c r="DWP188" s="601"/>
      <c r="DWQ188" s="601"/>
      <c r="DWR188" s="601"/>
      <c r="DWS188" s="601"/>
      <c r="DWT188" s="601"/>
      <c r="DWU188" s="601"/>
      <c r="DWV188" s="601"/>
      <c r="DWW188" s="601"/>
      <c r="DWX188" s="601"/>
      <c r="DWY188" s="601"/>
      <c r="DWZ188" s="601"/>
      <c r="DXA188" s="600" t="s">
        <v>646</v>
      </c>
      <c r="DXB188" s="601"/>
      <c r="DXC188" s="601"/>
      <c r="DXD188" s="601"/>
      <c r="DXE188" s="601"/>
      <c r="DXF188" s="601"/>
      <c r="DXG188" s="601"/>
      <c r="DXH188" s="601"/>
      <c r="DXI188" s="601"/>
      <c r="DXJ188" s="601"/>
      <c r="DXK188" s="601"/>
      <c r="DXL188" s="601"/>
      <c r="DXM188" s="601"/>
      <c r="DXN188" s="601"/>
      <c r="DXO188" s="601"/>
      <c r="DXP188" s="601"/>
      <c r="DXQ188" s="600" t="s">
        <v>646</v>
      </c>
      <c r="DXR188" s="601"/>
      <c r="DXS188" s="601"/>
      <c r="DXT188" s="601"/>
      <c r="DXU188" s="601"/>
      <c r="DXV188" s="601"/>
      <c r="DXW188" s="601"/>
      <c r="DXX188" s="601"/>
      <c r="DXY188" s="601"/>
      <c r="DXZ188" s="601"/>
      <c r="DYA188" s="601"/>
      <c r="DYB188" s="601"/>
      <c r="DYC188" s="601"/>
      <c r="DYD188" s="601"/>
      <c r="DYE188" s="601"/>
      <c r="DYF188" s="601"/>
      <c r="DYG188" s="600" t="s">
        <v>646</v>
      </c>
      <c r="DYH188" s="601"/>
      <c r="DYI188" s="601"/>
      <c r="DYJ188" s="601"/>
      <c r="DYK188" s="601"/>
      <c r="DYL188" s="601"/>
      <c r="DYM188" s="601"/>
      <c r="DYN188" s="601"/>
      <c r="DYO188" s="601"/>
      <c r="DYP188" s="601"/>
      <c r="DYQ188" s="601"/>
      <c r="DYR188" s="601"/>
      <c r="DYS188" s="601"/>
      <c r="DYT188" s="601"/>
      <c r="DYU188" s="601"/>
      <c r="DYV188" s="601"/>
      <c r="DYW188" s="600" t="s">
        <v>646</v>
      </c>
      <c r="DYX188" s="601"/>
      <c r="DYY188" s="601"/>
      <c r="DYZ188" s="601"/>
      <c r="DZA188" s="601"/>
      <c r="DZB188" s="601"/>
      <c r="DZC188" s="601"/>
      <c r="DZD188" s="601"/>
      <c r="DZE188" s="601"/>
      <c r="DZF188" s="601"/>
      <c r="DZG188" s="601"/>
      <c r="DZH188" s="601"/>
      <c r="DZI188" s="601"/>
      <c r="DZJ188" s="601"/>
      <c r="DZK188" s="601"/>
      <c r="DZL188" s="601"/>
      <c r="DZM188" s="600" t="s">
        <v>646</v>
      </c>
      <c r="DZN188" s="601"/>
      <c r="DZO188" s="601"/>
      <c r="DZP188" s="601"/>
      <c r="DZQ188" s="601"/>
      <c r="DZR188" s="601"/>
      <c r="DZS188" s="601"/>
      <c r="DZT188" s="601"/>
      <c r="DZU188" s="601"/>
      <c r="DZV188" s="601"/>
      <c r="DZW188" s="601"/>
      <c r="DZX188" s="601"/>
      <c r="DZY188" s="601"/>
      <c r="DZZ188" s="601"/>
      <c r="EAA188" s="601"/>
      <c r="EAB188" s="601"/>
      <c r="EAC188" s="600" t="s">
        <v>646</v>
      </c>
      <c r="EAD188" s="601"/>
      <c r="EAE188" s="601"/>
      <c r="EAF188" s="601"/>
      <c r="EAG188" s="601"/>
      <c r="EAH188" s="601"/>
      <c r="EAI188" s="601"/>
      <c r="EAJ188" s="601"/>
      <c r="EAK188" s="601"/>
      <c r="EAL188" s="601"/>
      <c r="EAM188" s="601"/>
      <c r="EAN188" s="601"/>
      <c r="EAO188" s="601"/>
      <c r="EAP188" s="601"/>
      <c r="EAQ188" s="601"/>
      <c r="EAR188" s="601"/>
      <c r="EAS188" s="600" t="s">
        <v>646</v>
      </c>
      <c r="EAT188" s="601"/>
      <c r="EAU188" s="601"/>
      <c r="EAV188" s="601"/>
      <c r="EAW188" s="601"/>
      <c r="EAX188" s="601"/>
      <c r="EAY188" s="601"/>
      <c r="EAZ188" s="601"/>
      <c r="EBA188" s="601"/>
      <c r="EBB188" s="601"/>
      <c r="EBC188" s="601"/>
      <c r="EBD188" s="601"/>
      <c r="EBE188" s="601"/>
      <c r="EBF188" s="601"/>
      <c r="EBG188" s="601"/>
      <c r="EBH188" s="601"/>
      <c r="EBI188" s="600" t="s">
        <v>646</v>
      </c>
      <c r="EBJ188" s="601"/>
      <c r="EBK188" s="601"/>
      <c r="EBL188" s="601"/>
      <c r="EBM188" s="601"/>
      <c r="EBN188" s="601"/>
      <c r="EBO188" s="601"/>
      <c r="EBP188" s="601"/>
      <c r="EBQ188" s="601"/>
      <c r="EBR188" s="601"/>
      <c r="EBS188" s="601"/>
      <c r="EBT188" s="601"/>
      <c r="EBU188" s="601"/>
      <c r="EBV188" s="601"/>
      <c r="EBW188" s="601"/>
      <c r="EBX188" s="601"/>
      <c r="EBY188" s="600" t="s">
        <v>646</v>
      </c>
      <c r="EBZ188" s="601"/>
      <c r="ECA188" s="601"/>
      <c r="ECB188" s="601"/>
      <c r="ECC188" s="601"/>
      <c r="ECD188" s="601"/>
      <c r="ECE188" s="601"/>
      <c r="ECF188" s="601"/>
      <c r="ECG188" s="601"/>
      <c r="ECH188" s="601"/>
      <c r="ECI188" s="601"/>
      <c r="ECJ188" s="601"/>
      <c r="ECK188" s="601"/>
      <c r="ECL188" s="601"/>
      <c r="ECM188" s="601"/>
      <c r="ECN188" s="601"/>
      <c r="ECO188" s="600" t="s">
        <v>646</v>
      </c>
      <c r="ECP188" s="601"/>
      <c r="ECQ188" s="601"/>
      <c r="ECR188" s="601"/>
      <c r="ECS188" s="601"/>
      <c r="ECT188" s="601"/>
      <c r="ECU188" s="601"/>
      <c r="ECV188" s="601"/>
      <c r="ECW188" s="601"/>
      <c r="ECX188" s="601"/>
      <c r="ECY188" s="601"/>
      <c r="ECZ188" s="601"/>
      <c r="EDA188" s="601"/>
      <c r="EDB188" s="601"/>
      <c r="EDC188" s="601"/>
      <c r="EDD188" s="601"/>
      <c r="EDE188" s="600" t="s">
        <v>646</v>
      </c>
      <c r="EDF188" s="601"/>
      <c r="EDG188" s="601"/>
      <c r="EDH188" s="601"/>
      <c r="EDI188" s="601"/>
      <c r="EDJ188" s="601"/>
      <c r="EDK188" s="601"/>
      <c r="EDL188" s="601"/>
      <c r="EDM188" s="601"/>
      <c r="EDN188" s="601"/>
      <c r="EDO188" s="601"/>
      <c r="EDP188" s="601"/>
      <c r="EDQ188" s="601"/>
      <c r="EDR188" s="601"/>
      <c r="EDS188" s="601"/>
      <c r="EDT188" s="601"/>
      <c r="EDU188" s="600" t="s">
        <v>646</v>
      </c>
      <c r="EDV188" s="601"/>
      <c r="EDW188" s="601"/>
      <c r="EDX188" s="601"/>
      <c r="EDY188" s="601"/>
      <c r="EDZ188" s="601"/>
      <c r="EEA188" s="601"/>
      <c r="EEB188" s="601"/>
      <c r="EEC188" s="601"/>
      <c r="EED188" s="601"/>
      <c r="EEE188" s="601"/>
      <c r="EEF188" s="601"/>
      <c r="EEG188" s="601"/>
      <c r="EEH188" s="601"/>
      <c r="EEI188" s="601"/>
      <c r="EEJ188" s="601"/>
      <c r="EEK188" s="600" t="s">
        <v>646</v>
      </c>
      <c r="EEL188" s="601"/>
      <c r="EEM188" s="601"/>
      <c r="EEN188" s="601"/>
      <c r="EEO188" s="601"/>
      <c r="EEP188" s="601"/>
      <c r="EEQ188" s="601"/>
      <c r="EER188" s="601"/>
      <c r="EES188" s="601"/>
      <c r="EET188" s="601"/>
      <c r="EEU188" s="601"/>
      <c r="EEV188" s="601"/>
      <c r="EEW188" s="601"/>
      <c r="EEX188" s="601"/>
      <c r="EEY188" s="601"/>
      <c r="EEZ188" s="601"/>
      <c r="EFA188" s="600" t="s">
        <v>646</v>
      </c>
      <c r="EFB188" s="601"/>
      <c r="EFC188" s="601"/>
      <c r="EFD188" s="601"/>
      <c r="EFE188" s="601"/>
      <c r="EFF188" s="601"/>
      <c r="EFG188" s="601"/>
      <c r="EFH188" s="601"/>
      <c r="EFI188" s="601"/>
      <c r="EFJ188" s="601"/>
      <c r="EFK188" s="601"/>
      <c r="EFL188" s="601"/>
      <c r="EFM188" s="601"/>
      <c r="EFN188" s="601"/>
      <c r="EFO188" s="601"/>
      <c r="EFP188" s="601"/>
      <c r="EFQ188" s="600" t="s">
        <v>646</v>
      </c>
      <c r="EFR188" s="601"/>
      <c r="EFS188" s="601"/>
      <c r="EFT188" s="601"/>
      <c r="EFU188" s="601"/>
      <c r="EFV188" s="601"/>
      <c r="EFW188" s="601"/>
      <c r="EFX188" s="601"/>
      <c r="EFY188" s="601"/>
      <c r="EFZ188" s="601"/>
      <c r="EGA188" s="601"/>
      <c r="EGB188" s="601"/>
      <c r="EGC188" s="601"/>
      <c r="EGD188" s="601"/>
      <c r="EGE188" s="601"/>
      <c r="EGF188" s="601"/>
      <c r="EGG188" s="600" t="s">
        <v>646</v>
      </c>
      <c r="EGH188" s="601"/>
      <c r="EGI188" s="601"/>
      <c r="EGJ188" s="601"/>
      <c r="EGK188" s="601"/>
      <c r="EGL188" s="601"/>
      <c r="EGM188" s="601"/>
      <c r="EGN188" s="601"/>
      <c r="EGO188" s="601"/>
      <c r="EGP188" s="601"/>
      <c r="EGQ188" s="601"/>
      <c r="EGR188" s="601"/>
      <c r="EGS188" s="601"/>
      <c r="EGT188" s="601"/>
      <c r="EGU188" s="601"/>
      <c r="EGV188" s="601"/>
      <c r="EGW188" s="600" t="s">
        <v>646</v>
      </c>
      <c r="EGX188" s="601"/>
      <c r="EGY188" s="601"/>
      <c r="EGZ188" s="601"/>
      <c r="EHA188" s="601"/>
      <c r="EHB188" s="601"/>
      <c r="EHC188" s="601"/>
      <c r="EHD188" s="601"/>
      <c r="EHE188" s="601"/>
      <c r="EHF188" s="601"/>
      <c r="EHG188" s="601"/>
      <c r="EHH188" s="601"/>
      <c r="EHI188" s="601"/>
      <c r="EHJ188" s="601"/>
      <c r="EHK188" s="601"/>
      <c r="EHL188" s="601"/>
      <c r="EHM188" s="600" t="s">
        <v>646</v>
      </c>
      <c r="EHN188" s="601"/>
      <c r="EHO188" s="601"/>
      <c r="EHP188" s="601"/>
      <c r="EHQ188" s="601"/>
      <c r="EHR188" s="601"/>
      <c r="EHS188" s="601"/>
      <c r="EHT188" s="601"/>
      <c r="EHU188" s="601"/>
      <c r="EHV188" s="601"/>
      <c r="EHW188" s="601"/>
      <c r="EHX188" s="601"/>
      <c r="EHY188" s="601"/>
      <c r="EHZ188" s="601"/>
      <c r="EIA188" s="601"/>
      <c r="EIB188" s="601"/>
      <c r="EIC188" s="600" t="s">
        <v>646</v>
      </c>
      <c r="EID188" s="601"/>
      <c r="EIE188" s="601"/>
      <c r="EIF188" s="601"/>
      <c r="EIG188" s="601"/>
      <c r="EIH188" s="601"/>
      <c r="EII188" s="601"/>
      <c r="EIJ188" s="601"/>
      <c r="EIK188" s="601"/>
      <c r="EIL188" s="601"/>
      <c r="EIM188" s="601"/>
      <c r="EIN188" s="601"/>
      <c r="EIO188" s="601"/>
      <c r="EIP188" s="601"/>
      <c r="EIQ188" s="601"/>
      <c r="EIR188" s="601"/>
      <c r="EIS188" s="600" t="s">
        <v>646</v>
      </c>
      <c r="EIT188" s="601"/>
      <c r="EIU188" s="601"/>
      <c r="EIV188" s="601"/>
      <c r="EIW188" s="601"/>
      <c r="EIX188" s="601"/>
      <c r="EIY188" s="601"/>
      <c r="EIZ188" s="601"/>
      <c r="EJA188" s="601"/>
      <c r="EJB188" s="601"/>
      <c r="EJC188" s="601"/>
      <c r="EJD188" s="601"/>
      <c r="EJE188" s="601"/>
      <c r="EJF188" s="601"/>
      <c r="EJG188" s="601"/>
      <c r="EJH188" s="601"/>
      <c r="EJI188" s="600" t="s">
        <v>646</v>
      </c>
      <c r="EJJ188" s="601"/>
      <c r="EJK188" s="601"/>
      <c r="EJL188" s="601"/>
      <c r="EJM188" s="601"/>
      <c r="EJN188" s="601"/>
      <c r="EJO188" s="601"/>
      <c r="EJP188" s="601"/>
      <c r="EJQ188" s="601"/>
      <c r="EJR188" s="601"/>
      <c r="EJS188" s="601"/>
      <c r="EJT188" s="601"/>
      <c r="EJU188" s="601"/>
      <c r="EJV188" s="601"/>
      <c r="EJW188" s="601"/>
      <c r="EJX188" s="601"/>
      <c r="EJY188" s="600" t="s">
        <v>646</v>
      </c>
      <c r="EJZ188" s="601"/>
      <c r="EKA188" s="601"/>
      <c r="EKB188" s="601"/>
      <c r="EKC188" s="601"/>
      <c r="EKD188" s="601"/>
      <c r="EKE188" s="601"/>
      <c r="EKF188" s="601"/>
      <c r="EKG188" s="601"/>
      <c r="EKH188" s="601"/>
      <c r="EKI188" s="601"/>
      <c r="EKJ188" s="601"/>
      <c r="EKK188" s="601"/>
      <c r="EKL188" s="601"/>
      <c r="EKM188" s="601"/>
      <c r="EKN188" s="601"/>
      <c r="EKO188" s="600" t="s">
        <v>646</v>
      </c>
      <c r="EKP188" s="601"/>
      <c r="EKQ188" s="601"/>
      <c r="EKR188" s="601"/>
      <c r="EKS188" s="601"/>
      <c r="EKT188" s="601"/>
      <c r="EKU188" s="601"/>
      <c r="EKV188" s="601"/>
      <c r="EKW188" s="601"/>
      <c r="EKX188" s="601"/>
      <c r="EKY188" s="601"/>
      <c r="EKZ188" s="601"/>
      <c r="ELA188" s="601"/>
      <c r="ELB188" s="601"/>
      <c r="ELC188" s="601"/>
      <c r="ELD188" s="601"/>
      <c r="ELE188" s="600" t="s">
        <v>646</v>
      </c>
      <c r="ELF188" s="601"/>
      <c r="ELG188" s="601"/>
      <c r="ELH188" s="601"/>
      <c r="ELI188" s="601"/>
      <c r="ELJ188" s="601"/>
      <c r="ELK188" s="601"/>
      <c r="ELL188" s="601"/>
      <c r="ELM188" s="601"/>
      <c r="ELN188" s="601"/>
      <c r="ELO188" s="601"/>
      <c r="ELP188" s="601"/>
      <c r="ELQ188" s="601"/>
      <c r="ELR188" s="601"/>
      <c r="ELS188" s="601"/>
      <c r="ELT188" s="601"/>
      <c r="ELU188" s="600" t="s">
        <v>646</v>
      </c>
      <c r="ELV188" s="601"/>
      <c r="ELW188" s="601"/>
      <c r="ELX188" s="601"/>
      <c r="ELY188" s="601"/>
      <c r="ELZ188" s="601"/>
      <c r="EMA188" s="601"/>
      <c r="EMB188" s="601"/>
      <c r="EMC188" s="601"/>
      <c r="EMD188" s="601"/>
      <c r="EME188" s="601"/>
      <c r="EMF188" s="601"/>
      <c r="EMG188" s="601"/>
      <c r="EMH188" s="601"/>
      <c r="EMI188" s="601"/>
      <c r="EMJ188" s="601"/>
      <c r="EMK188" s="600" t="s">
        <v>646</v>
      </c>
      <c r="EML188" s="601"/>
      <c r="EMM188" s="601"/>
      <c r="EMN188" s="601"/>
      <c r="EMO188" s="601"/>
      <c r="EMP188" s="601"/>
      <c r="EMQ188" s="601"/>
      <c r="EMR188" s="601"/>
      <c r="EMS188" s="601"/>
      <c r="EMT188" s="601"/>
      <c r="EMU188" s="601"/>
      <c r="EMV188" s="601"/>
      <c r="EMW188" s="601"/>
      <c r="EMX188" s="601"/>
      <c r="EMY188" s="601"/>
      <c r="EMZ188" s="601"/>
      <c r="ENA188" s="600" t="s">
        <v>646</v>
      </c>
      <c r="ENB188" s="601"/>
      <c r="ENC188" s="601"/>
      <c r="END188" s="601"/>
      <c r="ENE188" s="601"/>
      <c r="ENF188" s="601"/>
      <c r="ENG188" s="601"/>
      <c r="ENH188" s="601"/>
      <c r="ENI188" s="601"/>
      <c r="ENJ188" s="601"/>
      <c r="ENK188" s="601"/>
      <c r="ENL188" s="601"/>
      <c r="ENM188" s="601"/>
      <c r="ENN188" s="601"/>
      <c r="ENO188" s="601"/>
      <c r="ENP188" s="601"/>
      <c r="ENQ188" s="600" t="s">
        <v>646</v>
      </c>
      <c r="ENR188" s="601"/>
      <c r="ENS188" s="601"/>
      <c r="ENT188" s="601"/>
      <c r="ENU188" s="601"/>
      <c r="ENV188" s="601"/>
      <c r="ENW188" s="601"/>
      <c r="ENX188" s="601"/>
      <c r="ENY188" s="601"/>
      <c r="ENZ188" s="601"/>
      <c r="EOA188" s="601"/>
      <c r="EOB188" s="601"/>
      <c r="EOC188" s="601"/>
      <c r="EOD188" s="601"/>
      <c r="EOE188" s="601"/>
      <c r="EOF188" s="601"/>
      <c r="EOG188" s="600" t="s">
        <v>646</v>
      </c>
      <c r="EOH188" s="601"/>
      <c r="EOI188" s="601"/>
      <c r="EOJ188" s="601"/>
      <c r="EOK188" s="601"/>
      <c r="EOL188" s="601"/>
      <c r="EOM188" s="601"/>
      <c r="EON188" s="601"/>
      <c r="EOO188" s="601"/>
      <c r="EOP188" s="601"/>
      <c r="EOQ188" s="601"/>
      <c r="EOR188" s="601"/>
      <c r="EOS188" s="601"/>
      <c r="EOT188" s="601"/>
      <c r="EOU188" s="601"/>
      <c r="EOV188" s="601"/>
      <c r="EOW188" s="600" t="s">
        <v>646</v>
      </c>
      <c r="EOX188" s="601"/>
      <c r="EOY188" s="601"/>
      <c r="EOZ188" s="601"/>
      <c r="EPA188" s="601"/>
      <c r="EPB188" s="601"/>
      <c r="EPC188" s="601"/>
      <c r="EPD188" s="601"/>
      <c r="EPE188" s="601"/>
      <c r="EPF188" s="601"/>
      <c r="EPG188" s="601"/>
      <c r="EPH188" s="601"/>
      <c r="EPI188" s="601"/>
      <c r="EPJ188" s="601"/>
      <c r="EPK188" s="601"/>
      <c r="EPL188" s="601"/>
      <c r="EPM188" s="600" t="s">
        <v>646</v>
      </c>
      <c r="EPN188" s="601"/>
      <c r="EPO188" s="601"/>
      <c r="EPP188" s="601"/>
      <c r="EPQ188" s="601"/>
      <c r="EPR188" s="601"/>
      <c r="EPS188" s="601"/>
      <c r="EPT188" s="601"/>
      <c r="EPU188" s="601"/>
      <c r="EPV188" s="601"/>
      <c r="EPW188" s="601"/>
      <c r="EPX188" s="601"/>
      <c r="EPY188" s="601"/>
      <c r="EPZ188" s="601"/>
      <c r="EQA188" s="601"/>
      <c r="EQB188" s="601"/>
      <c r="EQC188" s="600" t="s">
        <v>646</v>
      </c>
      <c r="EQD188" s="601"/>
      <c r="EQE188" s="601"/>
      <c r="EQF188" s="601"/>
      <c r="EQG188" s="601"/>
      <c r="EQH188" s="601"/>
      <c r="EQI188" s="601"/>
      <c r="EQJ188" s="601"/>
      <c r="EQK188" s="601"/>
      <c r="EQL188" s="601"/>
      <c r="EQM188" s="601"/>
      <c r="EQN188" s="601"/>
      <c r="EQO188" s="601"/>
      <c r="EQP188" s="601"/>
      <c r="EQQ188" s="601"/>
      <c r="EQR188" s="601"/>
      <c r="EQS188" s="600" t="s">
        <v>646</v>
      </c>
      <c r="EQT188" s="601"/>
      <c r="EQU188" s="601"/>
      <c r="EQV188" s="601"/>
      <c r="EQW188" s="601"/>
      <c r="EQX188" s="601"/>
      <c r="EQY188" s="601"/>
      <c r="EQZ188" s="601"/>
      <c r="ERA188" s="601"/>
      <c r="ERB188" s="601"/>
      <c r="ERC188" s="601"/>
      <c r="ERD188" s="601"/>
      <c r="ERE188" s="601"/>
      <c r="ERF188" s="601"/>
      <c r="ERG188" s="601"/>
      <c r="ERH188" s="601"/>
      <c r="ERI188" s="600" t="s">
        <v>646</v>
      </c>
      <c r="ERJ188" s="601"/>
      <c r="ERK188" s="601"/>
      <c r="ERL188" s="601"/>
      <c r="ERM188" s="601"/>
      <c r="ERN188" s="601"/>
      <c r="ERO188" s="601"/>
      <c r="ERP188" s="601"/>
      <c r="ERQ188" s="601"/>
      <c r="ERR188" s="601"/>
      <c r="ERS188" s="601"/>
      <c r="ERT188" s="601"/>
      <c r="ERU188" s="601"/>
      <c r="ERV188" s="601"/>
      <c r="ERW188" s="601"/>
      <c r="ERX188" s="601"/>
      <c r="ERY188" s="600" t="s">
        <v>646</v>
      </c>
      <c r="ERZ188" s="601"/>
      <c r="ESA188" s="601"/>
      <c r="ESB188" s="601"/>
      <c r="ESC188" s="601"/>
      <c r="ESD188" s="601"/>
      <c r="ESE188" s="601"/>
      <c r="ESF188" s="601"/>
      <c r="ESG188" s="601"/>
      <c r="ESH188" s="601"/>
      <c r="ESI188" s="601"/>
      <c r="ESJ188" s="601"/>
      <c r="ESK188" s="601"/>
      <c r="ESL188" s="601"/>
      <c r="ESM188" s="601"/>
      <c r="ESN188" s="601"/>
      <c r="ESO188" s="600" t="s">
        <v>646</v>
      </c>
      <c r="ESP188" s="601"/>
      <c r="ESQ188" s="601"/>
      <c r="ESR188" s="601"/>
      <c r="ESS188" s="601"/>
      <c r="EST188" s="601"/>
      <c r="ESU188" s="601"/>
      <c r="ESV188" s="601"/>
      <c r="ESW188" s="601"/>
      <c r="ESX188" s="601"/>
      <c r="ESY188" s="601"/>
      <c r="ESZ188" s="601"/>
      <c r="ETA188" s="601"/>
      <c r="ETB188" s="601"/>
      <c r="ETC188" s="601"/>
      <c r="ETD188" s="601"/>
      <c r="ETE188" s="600" t="s">
        <v>646</v>
      </c>
      <c r="ETF188" s="601"/>
      <c r="ETG188" s="601"/>
      <c r="ETH188" s="601"/>
      <c r="ETI188" s="601"/>
      <c r="ETJ188" s="601"/>
      <c r="ETK188" s="601"/>
      <c r="ETL188" s="601"/>
      <c r="ETM188" s="601"/>
      <c r="ETN188" s="601"/>
      <c r="ETO188" s="601"/>
      <c r="ETP188" s="601"/>
      <c r="ETQ188" s="601"/>
      <c r="ETR188" s="601"/>
      <c r="ETS188" s="601"/>
      <c r="ETT188" s="601"/>
      <c r="ETU188" s="600" t="s">
        <v>646</v>
      </c>
      <c r="ETV188" s="601"/>
      <c r="ETW188" s="601"/>
      <c r="ETX188" s="601"/>
      <c r="ETY188" s="601"/>
      <c r="ETZ188" s="601"/>
      <c r="EUA188" s="601"/>
      <c r="EUB188" s="601"/>
      <c r="EUC188" s="601"/>
      <c r="EUD188" s="601"/>
      <c r="EUE188" s="601"/>
      <c r="EUF188" s="601"/>
      <c r="EUG188" s="601"/>
      <c r="EUH188" s="601"/>
      <c r="EUI188" s="601"/>
      <c r="EUJ188" s="601"/>
      <c r="EUK188" s="600" t="s">
        <v>646</v>
      </c>
      <c r="EUL188" s="601"/>
      <c r="EUM188" s="601"/>
      <c r="EUN188" s="601"/>
      <c r="EUO188" s="601"/>
      <c r="EUP188" s="601"/>
      <c r="EUQ188" s="601"/>
      <c r="EUR188" s="601"/>
      <c r="EUS188" s="601"/>
      <c r="EUT188" s="601"/>
      <c r="EUU188" s="601"/>
      <c r="EUV188" s="601"/>
      <c r="EUW188" s="601"/>
      <c r="EUX188" s="601"/>
      <c r="EUY188" s="601"/>
      <c r="EUZ188" s="601"/>
      <c r="EVA188" s="600" t="s">
        <v>646</v>
      </c>
      <c r="EVB188" s="601"/>
      <c r="EVC188" s="601"/>
      <c r="EVD188" s="601"/>
      <c r="EVE188" s="601"/>
      <c r="EVF188" s="601"/>
      <c r="EVG188" s="601"/>
      <c r="EVH188" s="601"/>
      <c r="EVI188" s="601"/>
      <c r="EVJ188" s="601"/>
      <c r="EVK188" s="601"/>
      <c r="EVL188" s="601"/>
      <c r="EVM188" s="601"/>
      <c r="EVN188" s="601"/>
      <c r="EVO188" s="601"/>
      <c r="EVP188" s="601"/>
      <c r="EVQ188" s="600" t="s">
        <v>646</v>
      </c>
      <c r="EVR188" s="601"/>
      <c r="EVS188" s="601"/>
      <c r="EVT188" s="601"/>
      <c r="EVU188" s="601"/>
      <c r="EVV188" s="601"/>
      <c r="EVW188" s="601"/>
      <c r="EVX188" s="601"/>
      <c r="EVY188" s="601"/>
      <c r="EVZ188" s="601"/>
      <c r="EWA188" s="601"/>
      <c r="EWB188" s="601"/>
      <c r="EWC188" s="601"/>
      <c r="EWD188" s="601"/>
      <c r="EWE188" s="601"/>
      <c r="EWF188" s="601"/>
      <c r="EWG188" s="600" t="s">
        <v>646</v>
      </c>
      <c r="EWH188" s="601"/>
      <c r="EWI188" s="601"/>
      <c r="EWJ188" s="601"/>
      <c r="EWK188" s="601"/>
      <c r="EWL188" s="601"/>
      <c r="EWM188" s="601"/>
      <c r="EWN188" s="601"/>
      <c r="EWO188" s="601"/>
      <c r="EWP188" s="601"/>
      <c r="EWQ188" s="601"/>
      <c r="EWR188" s="601"/>
      <c r="EWS188" s="601"/>
      <c r="EWT188" s="601"/>
      <c r="EWU188" s="601"/>
      <c r="EWV188" s="601"/>
      <c r="EWW188" s="600" t="s">
        <v>646</v>
      </c>
      <c r="EWX188" s="601"/>
      <c r="EWY188" s="601"/>
      <c r="EWZ188" s="601"/>
      <c r="EXA188" s="601"/>
      <c r="EXB188" s="601"/>
      <c r="EXC188" s="601"/>
      <c r="EXD188" s="601"/>
      <c r="EXE188" s="601"/>
      <c r="EXF188" s="601"/>
      <c r="EXG188" s="601"/>
      <c r="EXH188" s="601"/>
      <c r="EXI188" s="601"/>
      <c r="EXJ188" s="601"/>
      <c r="EXK188" s="601"/>
      <c r="EXL188" s="601"/>
      <c r="EXM188" s="600" t="s">
        <v>646</v>
      </c>
      <c r="EXN188" s="601"/>
      <c r="EXO188" s="601"/>
      <c r="EXP188" s="601"/>
      <c r="EXQ188" s="601"/>
      <c r="EXR188" s="601"/>
      <c r="EXS188" s="601"/>
      <c r="EXT188" s="601"/>
      <c r="EXU188" s="601"/>
      <c r="EXV188" s="601"/>
      <c r="EXW188" s="601"/>
      <c r="EXX188" s="601"/>
      <c r="EXY188" s="601"/>
      <c r="EXZ188" s="601"/>
      <c r="EYA188" s="601"/>
      <c r="EYB188" s="601"/>
      <c r="EYC188" s="600" t="s">
        <v>646</v>
      </c>
      <c r="EYD188" s="601"/>
      <c r="EYE188" s="601"/>
      <c r="EYF188" s="601"/>
      <c r="EYG188" s="601"/>
      <c r="EYH188" s="601"/>
      <c r="EYI188" s="601"/>
      <c r="EYJ188" s="601"/>
      <c r="EYK188" s="601"/>
      <c r="EYL188" s="601"/>
      <c r="EYM188" s="601"/>
      <c r="EYN188" s="601"/>
      <c r="EYO188" s="601"/>
      <c r="EYP188" s="601"/>
      <c r="EYQ188" s="601"/>
      <c r="EYR188" s="601"/>
      <c r="EYS188" s="600" t="s">
        <v>646</v>
      </c>
      <c r="EYT188" s="601"/>
      <c r="EYU188" s="601"/>
      <c r="EYV188" s="601"/>
      <c r="EYW188" s="601"/>
      <c r="EYX188" s="601"/>
      <c r="EYY188" s="601"/>
      <c r="EYZ188" s="601"/>
      <c r="EZA188" s="601"/>
      <c r="EZB188" s="601"/>
      <c r="EZC188" s="601"/>
      <c r="EZD188" s="601"/>
      <c r="EZE188" s="601"/>
      <c r="EZF188" s="601"/>
      <c r="EZG188" s="601"/>
      <c r="EZH188" s="601"/>
      <c r="EZI188" s="600" t="s">
        <v>646</v>
      </c>
      <c r="EZJ188" s="601"/>
      <c r="EZK188" s="601"/>
      <c r="EZL188" s="601"/>
      <c r="EZM188" s="601"/>
      <c r="EZN188" s="601"/>
      <c r="EZO188" s="601"/>
      <c r="EZP188" s="601"/>
      <c r="EZQ188" s="601"/>
      <c r="EZR188" s="601"/>
      <c r="EZS188" s="601"/>
      <c r="EZT188" s="601"/>
      <c r="EZU188" s="601"/>
      <c r="EZV188" s="601"/>
      <c r="EZW188" s="601"/>
      <c r="EZX188" s="601"/>
      <c r="EZY188" s="600" t="s">
        <v>646</v>
      </c>
      <c r="EZZ188" s="601"/>
      <c r="FAA188" s="601"/>
      <c r="FAB188" s="601"/>
      <c r="FAC188" s="601"/>
      <c r="FAD188" s="601"/>
      <c r="FAE188" s="601"/>
      <c r="FAF188" s="601"/>
      <c r="FAG188" s="601"/>
      <c r="FAH188" s="601"/>
      <c r="FAI188" s="601"/>
      <c r="FAJ188" s="601"/>
      <c r="FAK188" s="601"/>
      <c r="FAL188" s="601"/>
      <c r="FAM188" s="601"/>
      <c r="FAN188" s="601"/>
      <c r="FAO188" s="600" t="s">
        <v>646</v>
      </c>
      <c r="FAP188" s="601"/>
      <c r="FAQ188" s="601"/>
      <c r="FAR188" s="601"/>
      <c r="FAS188" s="601"/>
      <c r="FAT188" s="601"/>
      <c r="FAU188" s="601"/>
      <c r="FAV188" s="601"/>
      <c r="FAW188" s="601"/>
      <c r="FAX188" s="601"/>
      <c r="FAY188" s="601"/>
      <c r="FAZ188" s="601"/>
      <c r="FBA188" s="601"/>
      <c r="FBB188" s="601"/>
      <c r="FBC188" s="601"/>
      <c r="FBD188" s="601"/>
      <c r="FBE188" s="600" t="s">
        <v>646</v>
      </c>
      <c r="FBF188" s="601"/>
      <c r="FBG188" s="601"/>
      <c r="FBH188" s="601"/>
      <c r="FBI188" s="601"/>
      <c r="FBJ188" s="601"/>
      <c r="FBK188" s="601"/>
      <c r="FBL188" s="601"/>
      <c r="FBM188" s="601"/>
      <c r="FBN188" s="601"/>
      <c r="FBO188" s="601"/>
      <c r="FBP188" s="601"/>
      <c r="FBQ188" s="601"/>
      <c r="FBR188" s="601"/>
      <c r="FBS188" s="601"/>
      <c r="FBT188" s="601"/>
      <c r="FBU188" s="600" t="s">
        <v>646</v>
      </c>
      <c r="FBV188" s="601"/>
      <c r="FBW188" s="601"/>
      <c r="FBX188" s="601"/>
      <c r="FBY188" s="601"/>
      <c r="FBZ188" s="601"/>
      <c r="FCA188" s="601"/>
      <c r="FCB188" s="601"/>
      <c r="FCC188" s="601"/>
      <c r="FCD188" s="601"/>
      <c r="FCE188" s="601"/>
      <c r="FCF188" s="601"/>
      <c r="FCG188" s="601"/>
      <c r="FCH188" s="601"/>
      <c r="FCI188" s="601"/>
      <c r="FCJ188" s="601"/>
      <c r="FCK188" s="600" t="s">
        <v>646</v>
      </c>
      <c r="FCL188" s="601"/>
      <c r="FCM188" s="601"/>
      <c r="FCN188" s="601"/>
      <c r="FCO188" s="601"/>
      <c r="FCP188" s="601"/>
      <c r="FCQ188" s="601"/>
      <c r="FCR188" s="601"/>
      <c r="FCS188" s="601"/>
      <c r="FCT188" s="601"/>
      <c r="FCU188" s="601"/>
      <c r="FCV188" s="601"/>
      <c r="FCW188" s="601"/>
      <c r="FCX188" s="601"/>
      <c r="FCY188" s="601"/>
      <c r="FCZ188" s="601"/>
      <c r="FDA188" s="600" t="s">
        <v>646</v>
      </c>
      <c r="FDB188" s="601"/>
      <c r="FDC188" s="601"/>
      <c r="FDD188" s="601"/>
      <c r="FDE188" s="601"/>
      <c r="FDF188" s="601"/>
      <c r="FDG188" s="601"/>
      <c r="FDH188" s="601"/>
      <c r="FDI188" s="601"/>
      <c r="FDJ188" s="601"/>
      <c r="FDK188" s="601"/>
      <c r="FDL188" s="601"/>
      <c r="FDM188" s="601"/>
      <c r="FDN188" s="601"/>
      <c r="FDO188" s="601"/>
      <c r="FDP188" s="601"/>
      <c r="FDQ188" s="600" t="s">
        <v>646</v>
      </c>
      <c r="FDR188" s="601"/>
      <c r="FDS188" s="601"/>
      <c r="FDT188" s="601"/>
      <c r="FDU188" s="601"/>
      <c r="FDV188" s="601"/>
      <c r="FDW188" s="601"/>
      <c r="FDX188" s="601"/>
      <c r="FDY188" s="601"/>
      <c r="FDZ188" s="601"/>
      <c r="FEA188" s="601"/>
      <c r="FEB188" s="601"/>
      <c r="FEC188" s="601"/>
      <c r="FED188" s="601"/>
      <c r="FEE188" s="601"/>
      <c r="FEF188" s="601"/>
      <c r="FEG188" s="600" t="s">
        <v>646</v>
      </c>
      <c r="FEH188" s="601"/>
      <c r="FEI188" s="601"/>
      <c r="FEJ188" s="601"/>
      <c r="FEK188" s="601"/>
      <c r="FEL188" s="601"/>
      <c r="FEM188" s="601"/>
      <c r="FEN188" s="601"/>
      <c r="FEO188" s="601"/>
      <c r="FEP188" s="601"/>
      <c r="FEQ188" s="601"/>
      <c r="FER188" s="601"/>
      <c r="FES188" s="601"/>
      <c r="FET188" s="601"/>
      <c r="FEU188" s="601"/>
      <c r="FEV188" s="601"/>
      <c r="FEW188" s="600" t="s">
        <v>646</v>
      </c>
      <c r="FEX188" s="601"/>
      <c r="FEY188" s="601"/>
      <c r="FEZ188" s="601"/>
      <c r="FFA188" s="601"/>
      <c r="FFB188" s="601"/>
      <c r="FFC188" s="601"/>
      <c r="FFD188" s="601"/>
      <c r="FFE188" s="601"/>
      <c r="FFF188" s="601"/>
      <c r="FFG188" s="601"/>
      <c r="FFH188" s="601"/>
      <c r="FFI188" s="601"/>
      <c r="FFJ188" s="601"/>
      <c r="FFK188" s="601"/>
      <c r="FFL188" s="601"/>
      <c r="FFM188" s="600" t="s">
        <v>646</v>
      </c>
      <c r="FFN188" s="601"/>
      <c r="FFO188" s="601"/>
      <c r="FFP188" s="601"/>
      <c r="FFQ188" s="601"/>
      <c r="FFR188" s="601"/>
      <c r="FFS188" s="601"/>
      <c r="FFT188" s="601"/>
      <c r="FFU188" s="601"/>
      <c r="FFV188" s="601"/>
      <c r="FFW188" s="601"/>
      <c r="FFX188" s="601"/>
      <c r="FFY188" s="601"/>
      <c r="FFZ188" s="601"/>
      <c r="FGA188" s="601"/>
      <c r="FGB188" s="601"/>
      <c r="FGC188" s="600" t="s">
        <v>646</v>
      </c>
      <c r="FGD188" s="601"/>
      <c r="FGE188" s="601"/>
      <c r="FGF188" s="601"/>
      <c r="FGG188" s="601"/>
      <c r="FGH188" s="601"/>
      <c r="FGI188" s="601"/>
      <c r="FGJ188" s="601"/>
      <c r="FGK188" s="601"/>
      <c r="FGL188" s="601"/>
      <c r="FGM188" s="601"/>
      <c r="FGN188" s="601"/>
      <c r="FGO188" s="601"/>
      <c r="FGP188" s="601"/>
      <c r="FGQ188" s="601"/>
      <c r="FGR188" s="601"/>
      <c r="FGS188" s="600" t="s">
        <v>646</v>
      </c>
      <c r="FGT188" s="601"/>
      <c r="FGU188" s="601"/>
      <c r="FGV188" s="601"/>
      <c r="FGW188" s="601"/>
      <c r="FGX188" s="601"/>
      <c r="FGY188" s="601"/>
      <c r="FGZ188" s="601"/>
      <c r="FHA188" s="601"/>
      <c r="FHB188" s="601"/>
      <c r="FHC188" s="601"/>
      <c r="FHD188" s="601"/>
      <c r="FHE188" s="601"/>
      <c r="FHF188" s="601"/>
      <c r="FHG188" s="601"/>
      <c r="FHH188" s="601"/>
      <c r="FHI188" s="600" t="s">
        <v>646</v>
      </c>
      <c r="FHJ188" s="601"/>
      <c r="FHK188" s="601"/>
      <c r="FHL188" s="601"/>
      <c r="FHM188" s="601"/>
      <c r="FHN188" s="601"/>
      <c r="FHO188" s="601"/>
      <c r="FHP188" s="601"/>
      <c r="FHQ188" s="601"/>
      <c r="FHR188" s="601"/>
      <c r="FHS188" s="601"/>
      <c r="FHT188" s="601"/>
      <c r="FHU188" s="601"/>
      <c r="FHV188" s="601"/>
      <c r="FHW188" s="601"/>
      <c r="FHX188" s="601"/>
      <c r="FHY188" s="600" t="s">
        <v>646</v>
      </c>
      <c r="FHZ188" s="601"/>
      <c r="FIA188" s="601"/>
      <c r="FIB188" s="601"/>
      <c r="FIC188" s="601"/>
      <c r="FID188" s="601"/>
      <c r="FIE188" s="601"/>
      <c r="FIF188" s="601"/>
      <c r="FIG188" s="601"/>
      <c r="FIH188" s="601"/>
      <c r="FII188" s="601"/>
      <c r="FIJ188" s="601"/>
      <c r="FIK188" s="601"/>
      <c r="FIL188" s="601"/>
      <c r="FIM188" s="601"/>
      <c r="FIN188" s="601"/>
      <c r="FIO188" s="600" t="s">
        <v>646</v>
      </c>
      <c r="FIP188" s="601"/>
      <c r="FIQ188" s="601"/>
      <c r="FIR188" s="601"/>
      <c r="FIS188" s="601"/>
      <c r="FIT188" s="601"/>
      <c r="FIU188" s="601"/>
      <c r="FIV188" s="601"/>
      <c r="FIW188" s="601"/>
      <c r="FIX188" s="601"/>
      <c r="FIY188" s="601"/>
      <c r="FIZ188" s="601"/>
      <c r="FJA188" s="601"/>
      <c r="FJB188" s="601"/>
      <c r="FJC188" s="601"/>
      <c r="FJD188" s="601"/>
      <c r="FJE188" s="600" t="s">
        <v>646</v>
      </c>
      <c r="FJF188" s="601"/>
      <c r="FJG188" s="601"/>
      <c r="FJH188" s="601"/>
      <c r="FJI188" s="601"/>
      <c r="FJJ188" s="601"/>
      <c r="FJK188" s="601"/>
      <c r="FJL188" s="601"/>
      <c r="FJM188" s="601"/>
      <c r="FJN188" s="601"/>
      <c r="FJO188" s="601"/>
      <c r="FJP188" s="601"/>
      <c r="FJQ188" s="601"/>
      <c r="FJR188" s="601"/>
      <c r="FJS188" s="601"/>
      <c r="FJT188" s="601"/>
      <c r="FJU188" s="600" t="s">
        <v>646</v>
      </c>
      <c r="FJV188" s="601"/>
      <c r="FJW188" s="601"/>
      <c r="FJX188" s="601"/>
      <c r="FJY188" s="601"/>
      <c r="FJZ188" s="601"/>
      <c r="FKA188" s="601"/>
      <c r="FKB188" s="601"/>
      <c r="FKC188" s="601"/>
      <c r="FKD188" s="601"/>
      <c r="FKE188" s="601"/>
      <c r="FKF188" s="601"/>
      <c r="FKG188" s="601"/>
      <c r="FKH188" s="601"/>
      <c r="FKI188" s="601"/>
      <c r="FKJ188" s="601"/>
      <c r="FKK188" s="600" t="s">
        <v>646</v>
      </c>
      <c r="FKL188" s="601"/>
      <c r="FKM188" s="601"/>
      <c r="FKN188" s="601"/>
      <c r="FKO188" s="601"/>
      <c r="FKP188" s="601"/>
      <c r="FKQ188" s="601"/>
      <c r="FKR188" s="601"/>
      <c r="FKS188" s="601"/>
      <c r="FKT188" s="601"/>
      <c r="FKU188" s="601"/>
      <c r="FKV188" s="601"/>
      <c r="FKW188" s="601"/>
      <c r="FKX188" s="601"/>
      <c r="FKY188" s="601"/>
      <c r="FKZ188" s="601"/>
      <c r="FLA188" s="600" t="s">
        <v>646</v>
      </c>
      <c r="FLB188" s="601"/>
      <c r="FLC188" s="601"/>
      <c r="FLD188" s="601"/>
      <c r="FLE188" s="601"/>
      <c r="FLF188" s="601"/>
      <c r="FLG188" s="601"/>
      <c r="FLH188" s="601"/>
      <c r="FLI188" s="601"/>
      <c r="FLJ188" s="601"/>
      <c r="FLK188" s="601"/>
      <c r="FLL188" s="601"/>
      <c r="FLM188" s="601"/>
      <c r="FLN188" s="601"/>
      <c r="FLO188" s="601"/>
      <c r="FLP188" s="601"/>
      <c r="FLQ188" s="600" t="s">
        <v>646</v>
      </c>
      <c r="FLR188" s="601"/>
      <c r="FLS188" s="601"/>
      <c r="FLT188" s="601"/>
      <c r="FLU188" s="601"/>
      <c r="FLV188" s="601"/>
      <c r="FLW188" s="601"/>
      <c r="FLX188" s="601"/>
      <c r="FLY188" s="601"/>
      <c r="FLZ188" s="601"/>
      <c r="FMA188" s="601"/>
      <c r="FMB188" s="601"/>
      <c r="FMC188" s="601"/>
      <c r="FMD188" s="601"/>
      <c r="FME188" s="601"/>
      <c r="FMF188" s="601"/>
      <c r="FMG188" s="600" t="s">
        <v>646</v>
      </c>
      <c r="FMH188" s="601"/>
      <c r="FMI188" s="601"/>
      <c r="FMJ188" s="601"/>
      <c r="FMK188" s="601"/>
      <c r="FML188" s="601"/>
      <c r="FMM188" s="601"/>
      <c r="FMN188" s="601"/>
      <c r="FMO188" s="601"/>
      <c r="FMP188" s="601"/>
      <c r="FMQ188" s="601"/>
      <c r="FMR188" s="601"/>
      <c r="FMS188" s="601"/>
      <c r="FMT188" s="601"/>
      <c r="FMU188" s="601"/>
      <c r="FMV188" s="601"/>
      <c r="FMW188" s="600" t="s">
        <v>646</v>
      </c>
      <c r="FMX188" s="601"/>
      <c r="FMY188" s="601"/>
      <c r="FMZ188" s="601"/>
      <c r="FNA188" s="601"/>
      <c r="FNB188" s="601"/>
      <c r="FNC188" s="601"/>
      <c r="FND188" s="601"/>
      <c r="FNE188" s="601"/>
      <c r="FNF188" s="601"/>
      <c r="FNG188" s="601"/>
      <c r="FNH188" s="601"/>
      <c r="FNI188" s="601"/>
      <c r="FNJ188" s="601"/>
      <c r="FNK188" s="601"/>
      <c r="FNL188" s="601"/>
      <c r="FNM188" s="600" t="s">
        <v>646</v>
      </c>
      <c r="FNN188" s="601"/>
      <c r="FNO188" s="601"/>
      <c r="FNP188" s="601"/>
      <c r="FNQ188" s="601"/>
      <c r="FNR188" s="601"/>
      <c r="FNS188" s="601"/>
      <c r="FNT188" s="601"/>
      <c r="FNU188" s="601"/>
      <c r="FNV188" s="601"/>
      <c r="FNW188" s="601"/>
      <c r="FNX188" s="601"/>
      <c r="FNY188" s="601"/>
      <c r="FNZ188" s="601"/>
      <c r="FOA188" s="601"/>
      <c r="FOB188" s="601"/>
      <c r="FOC188" s="600" t="s">
        <v>646</v>
      </c>
      <c r="FOD188" s="601"/>
      <c r="FOE188" s="601"/>
      <c r="FOF188" s="601"/>
      <c r="FOG188" s="601"/>
      <c r="FOH188" s="601"/>
      <c r="FOI188" s="601"/>
      <c r="FOJ188" s="601"/>
      <c r="FOK188" s="601"/>
      <c r="FOL188" s="601"/>
      <c r="FOM188" s="601"/>
      <c r="FON188" s="601"/>
      <c r="FOO188" s="601"/>
      <c r="FOP188" s="601"/>
      <c r="FOQ188" s="601"/>
      <c r="FOR188" s="601"/>
      <c r="FOS188" s="600" t="s">
        <v>646</v>
      </c>
      <c r="FOT188" s="601"/>
      <c r="FOU188" s="601"/>
      <c r="FOV188" s="601"/>
      <c r="FOW188" s="601"/>
      <c r="FOX188" s="601"/>
      <c r="FOY188" s="601"/>
      <c r="FOZ188" s="601"/>
      <c r="FPA188" s="601"/>
      <c r="FPB188" s="601"/>
      <c r="FPC188" s="601"/>
      <c r="FPD188" s="601"/>
      <c r="FPE188" s="601"/>
      <c r="FPF188" s="601"/>
      <c r="FPG188" s="601"/>
      <c r="FPH188" s="601"/>
      <c r="FPI188" s="600" t="s">
        <v>646</v>
      </c>
      <c r="FPJ188" s="601"/>
      <c r="FPK188" s="601"/>
      <c r="FPL188" s="601"/>
      <c r="FPM188" s="601"/>
      <c r="FPN188" s="601"/>
      <c r="FPO188" s="601"/>
      <c r="FPP188" s="601"/>
      <c r="FPQ188" s="601"/>
      <c r="FPR188" s="601"/>
      <c r="FPS188" s="601"/>
      <c r="FPT188" s="601"/>
      <c r="FPU188" s="601"/>
      <c r="FPV188" s="601"/>
      <c r="FPW188" s="601"/>
      <c r="FPX188" s="601"/>
      <c r="FPY188" s="600" t="s">
        <v>646</v>
      </c>
      <c r="FPZ188" s="601"/>
      <c r="FQA188" s="601"/>
      <c r="FQB188" s="601"/>
      <c r="FQC188" s="601"/>
      <c r="FQD188" s="601"/>
      <c r="FQE188" s="601"/>
      <c r="FQF188" s="601"/>
      <c r="FQG188" s="601"/>
      <c r="FQH188" s="601"/>
      <c r="FQI188" s="601"/>
      <c r="FQJ188" s="601"/>
      <c r="FQK188" s="601"/>
      <c r="FQL188" s="601"/>
      <c r="FQM188" s="601"/>
      <c r="FQN188" s="601"/>
      <c r="FQO188" s="600" t="s">
        <v>646</v>
      </c>
      <c r="FQP188" s="601"/>
      <c r="FQQ188" s="601"/>
      <c r="FQR188" s="601"/>
      <c r="FQS188" s="601"/>
      <c r="FQT188" s="601"/>
      <c r="FQU188" s="601"/>
      <c r="FQV188" s="601"/>
      <c r="FQW188" s="601"/>
      <c r="FQX188" s="601"/>
      <c r="FQY188" s="601"/>
      <c r="FQZ188" s="601"/>
      <c r="FRA188" s="601"/>
      <c r="FRB188" s="601"/>
      <c r="FRC188" s="601"/>
      <c r="FRD188" s="601"/>
      <c r="FRE188" s="600" t="s">
        <v>646</v>
      </c>
      <c r="FRF188" s="601"/>
      <c r="FRG188" s="601"/>
      <c r="FRH188" s="601"/>
      <c r="FRI188" s="601"/>
      <c r="FRJ188" s="601"/>
      <c r="FRK188" s="601"/>
      <c r="FRL188" s="601"/>
      <c r="FRM188" s="601"/>
      <c r="FRN188" s="601"/>
      <c r="FRO188" s="601"/>
      <c r="FRP188" s="601"/>
      <c r="FRQ188" s="601"/>
      <c r="FRR188" s="601"/>
      <c r="FRS188" s="601"/>
      <c r="FRT188" s="601"/>
      <c r="FRU188" s="600" t="s">
        <v>646</v>
      </c>
      <c r="FRV188" s="601"/>
      <c r="FRW188" s="601"/>
      <c r="FRX188" s="601"/>
      <c r="FRY188" s="601"/>
      <c r="FRZ188" s="601"/>
      <c r="FSA188" s="601"/>
      <c r="FSB188" s="601"/>
      <c r="FSC188" s="601"/>
      <c r="FSD188" s="601"/>
      <c r="FSE188" s="601"/>
      <c r="FSF188" s="601"/>
      <c r="FSG188" s="601"/>
      <c r="FSH188" s="601"/>
      <c r="FSI188" s="601"/>
      <c r="FSJ188" s="601"/>
      <c r="FSK188" s="600" t="s">
        <v>646</v>
      </c>
      <c r="FSL188" s="601"/>
      <c r="FSM188" s="601"/>
      <c r="FSN188" s="601"/>
      <c r="FSO188" s="601"/>
      <c r="FSP188" s="601"/>
      <c r="FSQ188" s="601"/>
      <c r="FSR188" s="601"/>
      <c r="FSS188" s="601"/>
      <c r="FST188" s="601"/>
      <c r="FSU188" s="601"/>
      <c r="FSV188" s="601"/>
      <c r="FSW188" s="601"/>
      <c r="FSX188" s="601"/>
      <c r="FSY188" s="601"/>
      <c r="FSZ188" s="601"/>
      <c r="FTA188" s="600" t="s">
        <v>646</v>
      </c>
      <c r="FTB188" s="601"/>
      <c r="FTC188" s="601"/>
      <c r="FTD188" s="601"/>
      <c r="FTE188" s="601"/>
      <c r="FTF188" s="601"/>
      <c r="FTG188" s="601"/>
      <c r="FTH188" s="601"/>
      <c r="FTI188" s="601"/>
      <c r="FTJ188" s="601"/>
      <c r="FTK188" s="601"/>
      <c r="FTL188" s="601"/>
      <c r="FTM188" s="601"/>
      <c r="FTN188" s="601"/>
      <c r="FTO188" s="601"/>
      <c r="FTP188" s="601"/>
      <c r="FTQ188" s="600" t="s">
        <v>646</v>
      </c>
      <c r="FTR188" s="601"/>
      <c r="FTS188" s="601"/>
      <c r="FTT188" s="601"/>
      <c r="FTU188" s="601"/>
      <c r="FTV188" s="601"/>
      <c r="FTW188" s="601"/>
      <c r="FTX188" s="601"/>
      <c r="FTY188" s="601"/>
      <c r="FTZ188" s="601"/>
      <c r="FUA188" s="601"/>
      <c r="FUB188" s="601"/>
      <c r="FUC188" s="601"/>
      <c r="FUD188" s="601"/>
      <c r="FUE188" s="601"/>
      <c r="FUF188" s="601"/>
      <c r="FUG188" s="600" t="s">
        <v>646</v>
      </c>
      <c r="FUH188" s="601"/>
      <c r="FUI188" s="601"/>
      <c r="FUJ188" s="601"/>
      <c r="FUK188" s="601"/>
      <c r="FUL188" s="601"/>
      <c r="FUM188" s="601"/>
      <c r="FUN188" s="601"/>
      <c r="FUO188" s="601"/>
      <c r="FUP188" s="601"/>
      <c r="FUQ188" s="601"/>
      <c r="FUR188" s="601"/>
      <c r="FUS188" s="601"/>
      <c r="FUT188" s="601"/>
      <c r="FUU188" s="601"/>
      <c r="FUV188" s="601"/>
      <c r="FUW188" s="600" t="s">
        <v>646</v>
      </c>
      <c r="FUX188" s="601"/>
      <c r="FUY188" s="601"/>
      <c r="FUZ188" s="601"/>
      <c r="FVA188" s="601"/>
      <c r="FVB188" s="601"/>
      <c r="FVC188" s="601"/>
      <c r="FVD188" s="601"/>
      <c r="FVE188" s="601"/>
      <c r="FVF188" s="601"/>
      <c r="FVG188" s="601"/>
      <c r="FVH188" s="601"/>
      <c r="FVI188" s="601"/>
      <c r="FVJ188" s="601"/>
      <c r="FVK188" s="601"/>
      <c r="FVL188" s="601"/>
      <c r="FVM188" s="600" t="s">
        <v>646</v>
      </c>
      <c r="FVN188" s="601"/>
      <c r="FVO188" s="601"/>
      <c r="FVP188" s="601"/>
      <c r="FVQ188" s="601"/>
      <c r="FVR188" s="601"/>
      <c r="FVS188" s="601"/>
      <c r="FVT188" s="601"/>
      <c r="FVU188" s="601"/>
      <c r="FVV188" s="601"/>
      <c r="FVW188" s="601"/>
      <c r="FVX188" s="601"/>
      <c r="FVY188" s="601"/>
      <c r="FVZ188" s="601"/>
      <c r="FWA188" s="601"/>
      <c r="FWB188" s="601"/>
      <c r="FWC188" s="600" t="s">
        <v>646</v>
      </c>
      <c r="FWD188" s="601"/>
      <c r="FWE188" s="601"/>
      <c r="FWF188" s="601"/>
      <c r="FWG188" s="601"/>
      <c r="FWH188" s="601"/>
      <c r="FWI188" s="601"/>
      <c r="FWJ188" s="601"/>
      <c r="FWK188" s="601"/>
      <c r="FWL188" s="601"/>
      <c r="FWM188" s="601"/>
      <c r="FWN188" s="601"/>
      <c r="FWO188" s="601"/>
      <c r="FWP188" s="601"/>
      <c r="FWQ188" s="601"/>
      <c r="FWR188" s="601"/>
      <c r="FWS188" s="600" t="s">
        <v>646</v>
      </c>
      <c r="FWT188" s="601"/>
      <c r="FWU188" s="601"/>
      <c r="FWV188" s="601"/>
      <c r="FWW188" s="601"/>
      <c r="FWX188" s="601"/>
      <c r="FWY188" s="601"/>
      <c r="FWZ188" s="601"/>
      <c r="FXA188" s="601"/>
      <c r="FXB188" s="601"/>
      <c r="FXC188" s="601"/>
      <c r="FXD188" s="601"/>
      <c r="FXE188" s="601"/>
      <c r="FXF188" s="601"/>
      <c r="FXG188" s="601"/>
      <c r="FXH188" s="601"/>
      <c r="FXI188" s="600" t="s">
        <v>646</v>
      </c>
      <c r="FXJ188" s="601"/>
      <c r="FXK188" s="601"/>
      <c r="FXL188" s="601"/>
      <c r="FXM188" s="601"/>
      <c r="FXN188" s="601"/>
      <c r="FXO188" s="601"/>
      <c r="FXP188" s="601"/>
      <c r="FXQ188" s="601"/>
      <c r="FXR188" s="601"/>
      <c r="FXS188" s="601"/>
      <c r="FXT188" s="601"/>
      <c r="FXU188" s="601"/>
      <c r="FXV188" s="601"/>
      <c r="FXW188" s="601"/>
      <c r="FXX188" s="601"/>
      <c r="FXY188" s="600" t="s">
        <v>646</v>
      </c>
      <c r="FXZ188" s="601"/>
      <c r="FYA188" s="601"/>
      <c r="FYB188" s="601"/>
      <c r="FYC188" s="601"/>
      <c r="FYD188" s="601"/>
      <c r="FYE188" s="601"/>
      <c r="FYF188" s="601"/>
      <c r="FYG188" s="601"/>
      <c r="FYH188" s="601"/>
      <c r="FYI188" s="601"/>
      <c r="FYJ188" s="601"/>
      <c r="FYK188" s="601"/>
      <c r="FYL188" s="601"/>
      <c r="FYM188" s="601"/>
      <c r="FYN188" s="601"/>
      <c r="FYO188" s="600" t="s">
        <v>646</v>
      </c>
      <c r="FYP188" s="601"/>
      <c r="FYQ188" s="601"/>
      <c r="FYR188" s="601"/>
      <c r="FYS188" s="601"/>
      <c r="FYT188" s="601"/>
      <c r="FYU188" s="601"/>
      <c r="FYV188" s="601"/>
      <c r="FYW188" s="601"/>
      <c r="FYX188" s="601"/>
      <c r="FYY188" s="601"/>
      <c r="FYZ188" s="601"/>
      <c r="FZA188" s="601"/>
      <c r="FZB188" s="601"/>
      <c r="FZC188" s="601"/>
      <c r="FZD188" s="601"/>
      <c r="FZE188" s="600" t="s">
        <v>646</v>
      </c>
      <c r="FZF188" s="601"/>
      <c r="FZG188" s="601"/>
      <c r="FZH188" s="601"/>
      <c r="FZI188" s="601"/>
      <c r="FZJ188" s="601"/>
      <c r="FZK188" s="601"/>
      <c r="FZL188" s="601"/>
      <c r="FZM188" s="601"/>
      <c r="FZN188" s="601"/>
      <c r="FZO188" s="601"/>
      <c r="FZP188" s="601"/>
      <c r="FZQ188" s="601"/>
      <c r="FZR188" s="601"/>
      <c r="FZS188" s="601"/>
      <c r="FZT188" s="601"/>
      <c r="FZU188" s="600" t="s">
        <v>646</v>
      </c>
      <c r="FZV188" s="601"/>
      <c r="FZW188" s="601"/>
      <c r="FZX188" s="601"/>
      <c r="FZY188" s="601"/>
      <c r="FZZ188" s="601"/>
      <c r="GAA188" s="601"/>
      <c r="GAB188" s="601"/>
      <c r="GAC188" s="601"/>
      <c r="GAD188" s="601"/>
      <c r="GAE188" s="601"/>
      <c r="GAF188" s="601"/>
      <c r="GAG188" s="601"/>
      <c r="GAH188" s="601"/>
      <c r="GAI188" s="601"/>
      <c r="GAJ188" s="601"/>
      <c r="GAK188" s="600" t="s">
        <v>646</v>
      </c>
      <c r="GAL188" s="601"/>
      <c r="GAM188" s="601"/>
      <c r="GAN188" s="601"/>
      <c r="GAO188" s="601"/>
      <c r="GAP188" s="601"/>
      <c r="GAQ188" s="601"/>
      <c r="GAR188" s="601"/>
      <c r="GAS188" s="601"/>
      <c r="GAT188" s="601"/>
      <c r="GAU188" s="601"/>
      <c r="GAV188" s="601"/>
      <c r="GAW188" s="601"/>
      <c r="GAX188" s="601"/>
      <c r="GAY188" s="601"/>
      <c r="GAZ188" s="601"/>
      <c r="GBA188" s="600" t="s">
        <v>646</v>
      </c>
      <c r="GBB188" s="601"/>
      <c r="GBC188" s="601"/>
      <c r="GBD188" s="601"/>
      <c r="GBE188" s="601"/>
      <c r="GBF188" s="601"/>
      <c r="GBG188" s="601"/>
      <c r="GBH188" s="601"/>
      <c r="GBI188" s="601"/>
      <c r="GBJ188" s="601"/>
      <c r="GBK188" s="601"/>
      <c r="GBL188" s="601"/>
      <c r="GBM188" s="601"/>
      <c r="GBN188" s="601"/>
      <c r="GBO188" s="601"/>
      <c r="GBP188" s="601"/>
      <c r="GBQ188" s="600" t="s">
        <v>646</v>
      </c>
      <c r="GBR188" s="601"/>
      <c r="GBS188" s="601"/>
      <c r="GBT188" s="601"/>
      <c r="GBU188" s="601"/>
      <c r="GBV188" s="601"/>
      <c r="GBW188" s="601"/>
      <c r="GBX188" s="601"/>
      <c r="GBY188" s="601"/>
      <c r="GBZ188" s="601"/>
      <c r="GCA188" s="601"/>
      <c r="GCB188" s="601"/>
      <c r="GCC188" s="601"/>
      <c r="GCD188" s="601"/>
      <c r="GCE188" s="601"/>
      <c r="GCF188" s="601"/>
      <c r="GCG188" s="600" t="s">
        <v>646</v>
      </c>
      <c r="GCH188" s="601"/>
      <c r="GCI188" s="601"/>
      <c r="GCJ188" s="601"/>
      <c r="GCK188" s="601"/>
      <c r="GCL188" s="601"/>
      <c r="GCM188" s="601"/>
      <c r="GCN188" s="601"/>
      <c r="GCO188" s="601"/>
      <c r="GCP188" s="601"/>
      <c r="GCQ188" s="601"/>
      <c r="GCR188" s="601"/>
      <c r="GCS188" s="601"/>
      <c r="GCT188" s="601"/>
      <c r="GCU188" s="601"/>
      <c r="GCV188" s="601"/>
      <c r="GCW188" s="600" t="s">
        <v>646</v>
      </c>
      <c r="GCX188" s="601"/>
      <c r="GCY188" s="601"/>
      <c r="GCZ188" s="601"/>
      <c r="GDA188" s="601"/>
      <c r="GDB188" s="601"/>
      <c r="GDC188" s="601"/>
      <c r="GDD188" s="601"/>
      <c r="GDE188" s="601"/>
      <c r="GDF188" s="601"/>
      <c r="GDG188" s="601"/>
      <c r="GDH188" s="601"/>
      <c r="GDI188" s="601"/>
      <c r="GDJ188" s="601"/>
      <c r="GDK188" s="601"/>
      <c r="GDL188" s="601"/>
      <c r="GDM188" s="600" t="s">
        <v>646</v>
      </c>
      <c r="GDN188" s="601"/>
      <c r="GDO188" s="601"/>
      <c r="GDP188" s="601"/>
      <c r="GDQ188" s="601"/>
      <c r="GDR188" s="601"/>
      <c r="GDS188" s="601"/>
      <c r="GDT188" s="601"/>
      <c r="GDU188" s="601"/>
      <c r="GDV188" s="601"/>
      <c r="GDW188" s="601"/>
      <c r="GDX188" s="601"/>
      <c r="GDY188" s="601"/>
      <c r="GDZ188" s="601"/>
      <c r="GEA188" s="601"/>
      <c r="GEB188" s="601"/>
      <c r="GEC188" s="600" t="s">
        <v>646</v>
      </c>
      <c r="GED188" s="601"/>
      <c r="GEE188" s="601"/>
      <c r="GEF188" s="601"/>
      <c r="GEG188" s="601"/>
      <c r="GEH188" s="601"/>
      <c r="GEI188" s="601"/>
      <c r="GEJ188" s="601"/>
      <c r="GEK188" s="601"/>
      <c r="GEL188" s="601"/>
      <c r="GEM188" s="601"/>
      <c r="GEN188" s="601"/>
      <c r="GEO188" s="601"/>
      <c r="GEP188" s="601"/>
      <c r="GEQ188" s="601"/>
      <c r="GER188" s="601"/>
      <c r="GES188" s="600" t="s">
        <v>646</v>
      </c>
      <c r="GET188" s="601"/>
      <c r="GEU188" s="601"/>
      <c r="GEV188" s="601"/>
      <c r="GEW188" s="601"/>
      <c r="GEX188" s="601"/>
      <c r="GEY188" s="601"/>
      <c r="GEZ188" s="601"/>
      <c r="GFA188" s="601"/>
      <c r="GFB188" s="601"/>
      <c r="GFC188" s="601"/>
      <c r="GFD188" s="601"/>
      <c r="GFE188" s="601"/>
      <c r="GFF188" s="601"/>
      <c r="GFG188" s="601"/>
      <c r="GFH188" s="601"/>
      <c r="GFI188" s="600" t="s">
        <v>646</v>
      </c>
      <c r="GFJ188" s="601"/>
      <c r="GFK188" s="601"/>
      <c r="GFL188" s="601"/>
      <c r="GFM188" s="601"/>
      <c r="GFN188" s="601"/>
      <c r="GFO188" s="601"/>
      <c r="GFP188" s="601"/>
      <c r="GFQ188" s="601"/>
      <c r="GFR188" s="601"/>
      <c r="GFS188" s="601"/>
      <c r="GFT188" s="601"/>
      <c r="GFU188" s="601"/>
      <c r="GFV188" s="601"/>
      <c r="GFW188" s="601"/>
      <c r="GFX188" s="601"/>
      <c r="GFY188" s="600" t="s">
        <v>646</v>
      </c>
      <c r="GFZ188" s="601"/>
      <c r="GGA188" s="601"/>
      <c r="GGB188" s="601"/>
      <c r="GGC188" s="601"/>
      <c r="GGD188" s="601"/>
      <c r="GGE188" s="601"/>
      <c r="GGF188" s="601"/>
      <c r="GGG188" s="601"/>
      <c r="GGH188" s="601"/>
      <c r="GGI188" s="601"/>
      <c r="GGJ188" s="601"/>
      <c r="GGK188" s="601"/>
      <c r="GGL188" s="601"/>
      <c r="GGM188" s="601"/>
      <c r="GGN188" s="601"/>
      <c r="GGO188" s="600" t="s">
        <v>646</v>
      </c>
      <c r="GGP188" s="601"/>
      <c r="GGQ188" s="601"/>
      <c r="GGR188" s="601"/>
      <c r="GGS188" s="601"/>
      <c r="GGT188" s="601"/>
      <c r="GGU188" s="601"/>
      <c r="GGV188" s="601"/>
      <c r="GGW188" s="601"/>
      <c r="GGX188" s="601"/>
      <c r="GGY188" s="601"/>
      <c r="GGZ188" s="601"/>
      <c r="GHA188" s="601"/>
      <c r="GHB188" s="601"/>
      <c r="GHC188" s="601"/>
      <c r="GHD188" s="601"/>
      <c r="GHE188" s="600" t="s">
        <v>646</v>
      </c>
      <c r="GHF188" s="601"/>
      <c r="GHG188" s="601"/>
      <c r="GHH188" s="601"/>
      <c r="GHI188" s="601"/>
      <c r="GHJ188" s="601"/>
      <c r="GHK188" s="601"/>
      <c r="GHL188" s="601"/>
      <c r="GHM188" s="601"/>
      <c r="GHN188" s="601"/>
      <c r="GHO188" s="601"/>
      <c r="GHP188" s="601"/>
      <c r="GHQ188" s="601"/>
      <c r="GHR188" s="601"/>
      <c r="GHS188" s="601"/>
      <c r="GHT188" s="601"/>
      <c r="GHU188" s="600" t="s">
        <v>646</v>
      </c>
      <c r="GHV188" s="601"/>
      <c r="GHW188" s="601"/>
      <c r="GHX188" s="601"/>
      <c r="GHY188" s="601"/>
      <c r="GHZ188" s="601"/>
      <c r="GIA188" s="601"/>
      <c r="GIB188" s="601"/>
      <c r="GIC188" s="601"/>
      <c r="GID188" s="601"/>
      <c r="GIE188" s="601"/>
      <c r="GIF188" s="601"/>
      <c r="GIG188" s="601"/>
      <c r="GIH188" s="601"/>
      <c r="GII188" s="601"/>
      <c r="GIJ188" s="601"/>
      <c r="GIK188" s="600" t="s">
        <v>646</v>
      </c>
      <c r="GIL188" s="601"/>
      <c r="GIM188" s="601"/>
      <c r="GIN188" s="601"/>
      <c r="GIO188" s="601"/>
      <c r="GIP188" s="601"/>
      <c r="GIQ188" s="601"/>
      <c r="GIR188" s="601"/>
      <c r="GIS188" s="601"/>
      <c r="GIT188" s="601"/>
      <c r="GIU188" s="601"/>
      <c r="GIV188" s="601"/>
      <c r="GIW188" s="601"/>
      <c r="GIX188" s="601"/>
      <c r="GIY188" s="601"/>
      <c r="GIZ188" s="601"/>
      <c r="GJA188" s="600" t="s">
        <v>646</v>
      </c>
      <c r="GJB188" s="601"/>
      <c r="GJC188" s="601"/>
      <c r="GJD188" s="601"/>
      <c r="GJE188" s="601"/>
      <c r="GJF188" s="601"/>
      <c r="GJG188" s="601"/>
      <c r="GJH188" s="601"/>
      <c r="GJI188" s="601"/>
      <c r="GJJ188" s="601"/>
      <c r="GJK188" s="601"/>
      <c r="GJL188" s="601"/>
      <c r="GJM188" s="601"/>
      <c r="GJN188" s="601"/>
      <c r="GJO188" s="601"/>
      <c r="GJP188" s="601"/>
      <c r="GJQ188" s="600" t="s">
        <v>646</v>
      </c>
      <c r="GJR188" s="601"/>
      <c r="GJS188" s="601"/>
      <c r="GJT188" s="601"/>
      <c r="GJU188" s="601"/>
      <c r="GJV188" s="601"/>
      <c r="GJW188" s="601"/>
      <c r="GJX188" s="601"/>
      <c r="GJY188" s="601"/>
      <c r="GJZ188" s="601"/>
      <c r="GKA188" s="601"/>
      <c r="GKB188" s="601"/>
      <c r="GKC188" s="601"/>
      <c r="GKD188" s="601"/>
      <c r="GKE188" s="601"/>
      <c r="GKF188" s="601"/>
      <c r="GKG188" s="600" t="s">
        <v>646</v>
      </c>
      <c r="GKH188" s="601"/>
      <c r="GKI188" s="601"/>
      <c r="GKJ188" s="601"/>
      <c r="GKK188" s="601"/>
      <c r="GKL188" s="601"/>
      <c r="GKM188" s="601"/>
      <c r="GKN188" s="601"/>
      <c r="GKO188" s="601"/>
      <c r="GKP188" s="601"/>
      <c r="GKQ188" s="601"/>
      <c r="GKR188" s="601"/>
      <c r="GKS188" s="601"/>
      <c r="GKT188" s="601"/>
      <c r="GKU188" s="601"/>
      <c r="GKV188" s="601"/>
      <c r="GKW188" s="600" t="s">
        <v>646</v>
      </c>
      <c r="GKX188" s="601"/>
      <c r="GKY188" s="601"/>
      <c r="GKZ188" s="601"/>
      <c r="GLA188" s="601"/>
      <c r="GLB188" s="601"/>
      <c r="GLC188" s="601"/>
      <c r="GLD188" s="601"/>
      <c r="GLE188" s="601"/>
      <c r="GLF188" s="601"/>
      <c r="GLG188" s="601"/>
      <c r="GLH188" s="601"/>
      <c r="GLI188" s="601"/>
      <c r="GLJ188" s="601"/>
      <c r="GLK188" s="601"/>
      <c r="GLL188" s="601"/>
      <c r="GLM188" s="600" t="s">
        <v>646</v>
      </c>
      <c r="GLN188" s="601"/>
      <c r="GLO188" s="601"/>
      <c r="GLP188" s="601"/>
      <c r="GLQ188" s="601"/>
      <c r="GLR188" s="601"/>
      <c r="GLS188" s="601"/>
      <c r="GLT188" s="601"/>
      <c r="GLU188" s="601"/>
      <c r="GLV188" s="601"/>
      <c r="GLW188" s="601"/>
      <c r="GLX188" s="601"/>
      <c r="GLY188" s="601"/>
      <c r="GLZ188" s="601"/>
      <c r="GMA188" s="601"/>
      <c r="GMB188" s="601"/>
      <c r="GMC188" s="600" t="s">
        <v>646</v>
      </c>
      <c r="GMD188" s="601"/>
      <c r="GME188" s="601"/>
      <c r="GMF188" s="601"/>
      <c r="GMG188" s="601"/>
      <c r="GMH188" s="601"/>
      <c r="GMI188" s="601"/>
      <c r="GMJ188" s="601"/>
      <c r="GMK188" s="601"/>
      <c r="GML188" s="601"/>
      <c r="GMM188" s="601"/>
      <c r="GMN188" s="601"/>
      <c r="GMO188" s="601"/>
      <c r="GMP188" s="601"/>
      <c r="GMQ188" s="601"/>
      <c r="GMR188" s="601"/>
      <c r="GMS188" s="600" t="s">
        <v>646</v>
      </c>
      <c r="GMT188" s="601"/>
      <c r="GMU188" s="601"/>
      <c r="GMV188" s="601"/>
      <c r="GMW188" s="601"/>
      <c r="GMX188" s="601"/>
      <c r="GMY188" s="601"/>
      <c r="GMZ188" s="601"/>
      <c r="GNA188" s="601"/>
      <c r="GNB188" s="601"/>
      <c r="GNC188" s="601"/>
      <c r="GND188" s="601"/>
      <c r="GNE188" s="601"/>
      <c r="GNF188" s="601"/>
      <c r="GNG188" s="601"/>
      <c r="GNH188" s="601"/>
      <c r="GNI188" s="600" t="s">
        <v>646</v>
      </c>
      <c r="GNJ188" s="601"/>
      <c r="GNK188" s="601"/>
      <c r="GNL188" s="601"/>
      <c r="GNM188" s="601"/>
      <c r="GNN188" s="601"/>
      <c r="GNO188" s="601"/>
      <c r="GNP188" s="601"/>
      <c r="GNQ188" s="601"/>
      <c r="GNR188" s="601"/>
      <c r="GNS188" s="601"/>
      <c r="GNT188" s="601"/>
      <c r="GNU188" s="601"/>
      <c r="GNV188" s="601"/>
      <c r="GNW188" s="601"/>
      <c r="GNX188" s="601"/>
      <c r="GNY188" s="600" t="s">
        <v>646</v>
      </c>
      <c r="GNZ188" s="601"/>
      <c r="GOA188" s="601"/>
      <c r="GOB188" s="601"/>
      <c r="GOC188" s="601"/>
      <c r="GOD188" s="601"/>
      <c r="GOE188" s="601"/>
      <c r="GOF188" s="601"/>
      <c r="GOG188" s="601"/>
      <c r="GOH188" s="601"/>
      <c r="GOI188" s="601"/>
      <c r="GOJ188" s="601"/>
      <c r="GOK188" s="601"/>
      <c r="GOL188" s="601"/>
      <c r="GOM188" s="601"/>
      <c r="GON188" s="601"/>
      <c r="GOO188" s="600" t="s">
        <v>646</v>
      </c>
      <c r="GOP188" s="601"/>
      <c r="GOQ188" s="601"/>
      <c r="GOR188" s="601"/>
      <c r="GOS188" s="601"/>
      <c r="GOT188" s="601"/>
      <c r="GOU188" s="601"/>
      <c r="GOV188" s="601"/>
      <c r="GOW188" s="601"/>
      <c r="GOX188" s="601"/>
      <c r="GOY188" s="601"/>
      <c r="GOZ188" s="601"/>
      <c r="GPA188" s="601"/>
      <c r="GPB188" s="601"/>
      <c r="GPC188" s="601"/>
      <c r="GPD188" s="601"/>
      <c r="GPE188" s="600" t="s">
        <v>646</v>
      </c>
      <c r="GPF188" s="601"/>
      <c r="GPG188" s="601"/>
      <c r="GPH188" s="601"/>
      <c r="GPI188" s="601"/>
      <c r="GPJ188" s="601"/>
      <c r="GPK188" s="601"/>
      <c r="GPL188" s="601"/>
      <c r="GPM188" s="601"/>
      <c r="GPN188" s="601"/>
      <c r="GPO188" s="601"/>
      <c r="GPP188" s="601"/>
      <c r="GPQ188" s="601"/>
      <c r="GPR188" s="601"/>
      <c r="GPS188" s="601"/>
      <c r="GPT188" s="601"/>
      <c r="GPU188" s="600" t="s">
        <v>646</v>
      </c>
      <c r="GPV188" s="601"/>
      <c r="GPW188" s="601"/>
      <c r="GPX188" s="601"/>
      <c r="GPY188" s="601"/>
      <c r="GPZ188" s="601"/>
      <c r="GQA188" s="601"/>
      <c r="GQB188" s="601"/>
      <c r="GQC188" s="601"/>
      <c r="GQD188" s="601"/>
      <c r="GQE188" s="601"/>
      <c r="GQF188" s="601"/>
      <c r="GQG188" s="601"/>
      <c r="GQH188" s="601"/>
      <c r="GQI188" s="601"/>
      <c r="GQJ188" s="601"/>
      <c r="GQK188" s="600" t="s">
        <v>646</v>
      </c>
      <c r="GQL188" s="601"/>
      <c r="GQM188" s="601"/>
      <c r="GQN188" s="601"/>
      <c r="GQO188" s="601"/>
      <c r="GQP188" s="601"/>
      <c r="GQQ188" s="601"/>
      <c r="GQR188" s="601"/>
      <c r="GQS188" s="601"/>
      <c r="GQT188" s="601"/>
      <c r="GQU188" s="601"/>
      <c r="GQV188" s="601"/>
      <c r="GQW188" s="601"/>
      <c r="GQX188" s="601"/>
      <c r="GQY188" s="601"/>
      <c r="GQZ188" s="601"/>
      <c r="GRA188" s="600" t="s">
        <v>646</v>
      </c>
      <c r="GRB188" s="601"/>
      <c r="GRC188" s="601"/>
      <c r="GRD188" s="601"/>
      <c r="GRE188" s="601"/>
      <c r="GRF188" s="601"/>
      <c r="GRG188" s="601"/>
      <c r="GRH188" s="601"/>
      <c r="GRI188" s="601"/>
      <c r="GRJ188" s="601"/>
      <c r="GRK188" s="601"/>
      <c r="GRL188" s="601"/>
      <c r="GRM188" s="601"/>
      <c r="GRN188" s="601"/>
      <c r="GRO188" s="601"/>
      <c r="GRP188" s="601"/>
      <c r="GRQ188" s="600" t="s">
        <v>646</v>
      </c>
      <c r="GRR188" s="601"/>
      <c r="GRS188" s="601"/>
      <c r="GRT188" s="601"/>
      <c r="GRU188" s="601"/>
      <c r="GRV188" s="601"/>
      <c r="GRW188" s="601"/>
      <c r="GRX188" s="601"/>
      <c r="GRY188" s="601"/>
      <c r="GRZ188" s="601"/>
      <c r="GSA188" s="601"/>
      <c r="GSB188" s="601"/>
      <c r="GSC188" s="601"/>
      <c r="GSD188" s="601"/>
      <c r="GSE188" s="601"/>
      <c r="GSF188" s="601"/>
      <c r="GSG188" s="600" t="s">
        <v>646</v>
      </c>
      <c r="GSH188" s="601"/>
      <c r="GSI188" s="601"/>
      <c r="GSJ188" s="601"/>
      <c r="GSK188" s="601"/>
      <c r="GSL188" s="601"/>
      <c r="GSM188" s="601"/>
      <c r="GSN188" s="601"/>
      <c r="GSO188" s="601"/>
      <c r="GSP188" s="601"/>
      <c r="GSQ188" s="601"/>
      <c r="GSR188" s="601"/>
      <c r="GSS188" s="601"/>
      <c r="GST188" s="601"/>
      <c r="GSU188" s="601"/>
      <c r="GSV188" s="601"/>
      <c r="GSW188" s="600" t="s">
        <v>646</v>
      </c>
      <c r="GSX188" s="601"/>
      <c r="GSY188" s="601"/>
      <c r="GSZ188" s="601"/>
      <c r="GTA188" s="601"/>
      <c r="GTB188" s="601"/>
      <c r="GTC188" s="601"/>
      <c r="GTD188" s="601"/>
      <c r="GTE188" s="601"/>
      <c r="GTF188" s="601"/>
      <c r="GTG188" s="601"/>
      <c r="GTH188" s="601"/>
      <c r="GTI188" s="601"/>
      <c r="GTJ188" s="601"/>
      <c r="GTK188" s="601"/>
      <c r="GTL188" s="601"/>
      <c r="GTM188" s="600" t="s">
        <v>646</v>
      </c>
      <c r="GTN188" s="601"/>
      <c r="GTO188" s="601"/>
      <c r="GTP188" s="601"/>
      <c r="GTQ188" s="601"/>
      <c r="GTR188" s="601"/>
      <c r="GTS188" s="601"/>
      <c r="GTT188" s="601"/>
      <c r="GTU188" s="601"/>
      <c r="GTV188" s="601"/>
      <c r="GTW188" s="601"/>
      <c r="GTX188" s="601"/>
      <c r="GTY188" s="601"/>
      <c r="GTZ188" s="601"/>
      <c r="GUA188" s="601"/>
      <c r="GUB188" s="601"/>
      <c r="GUC188" s="600" t="s">
        <v>646</v>
      </c>
      <c r="GUD188" s="601"/>
      <c r="GUE188" s="601"/>
      <c r="GUF188" s="601"/>
      <c r="GUG188" s="601"/>
      <c r="GUH188" s="601"/>
      <c r="GUI188" s="601"/>
      <c r="GUJ188" s="601"/>
      <c r="GUK188" s="601"/>
      <c r="GUL188" s="601"/>
      <c r="GUM188" s="601"/>
      <c r="GUN188" s="601"/>
      <c r="GUO188" s="601"/>
      <c r="GUP188" s="601"/>
      <c r="GUQ188" s="601"/>
      <c r="GUR188" s="601"/>
      <c r="GUS188" s="600" t="s">
        <v>646</v>
      </c>
      <c r="GUT188" s="601"/>
      <c r="GUU188" s="601"/>
      <c r="GUV188" s="601"/>
      <c r="GUW188" s="601"/>
      <c r="GUX188" s="601"/>
      <c r="GUY188" s="601"/>
      <c r="GUZ188" s="601"/>
      <c r="GVA188" s="601"/>
      <c r="GVB188" s="601"/>
      <c r="GVC188" s="601"/>
      <c r="GVD188" s="601"/>
      <c r="GVE188" s="601"/>
      <c r="GVF188" s="601"/>
      <c r="GVG188" s="601"/>
      <c r="GVH188" s="601"/>
      <c r="GVI188" s="600" t="s">
        <v>646</v>
      </c>
      <c r="GVJ188" s="601"/>
      <c r="GVK188" s="601"/>
      <c r="GVL188" s="601"/>
      <c r="GVM188" s="601"/>
      <c r="GVN188" s="601"/>
      <c r="GVO188" s="601"/>
      <c r="GVP188" s="601"/>
      <c r="GVQ188" s="601"/>
      <c r="GVR188" s="601"/>
      <c r="GVS188" s="601"/>
      <c r="GVT188" s="601"/>
      <c r="GVU188" s="601"/>
      <c r="GVV188" s="601"/>
      <c r="GVW188" s="601"/>
      <c r="GVX188" s="601"/>
      <c r="GVY188" s="600" t="s">
        <v>646</v>
      </c>
      <c r="GVZ188" s="601"/>
      <c r="GWA188" s="601"/>
      <c r="GWB188" s="601"/>
      <c r="GWC188" s="601"/>
      <c r="GWD188" s="601"/>
      <c r="GWE188" s="601"/>
      <c r="GWF188" s="601"/>
      <c r="GWG188" s="601"/>
      <c r="GWH188" s="601"/>
      <c r="GWI188" s="601"/>
      <c r="GWJ188" s="601"/>
      <c r="GWK188" s="601"/>
      <c r="GWL188" s="601"/>
      <c r="GWM188" s="601"/>
      <c r="GWN188" s="601"/>
      <c r="GWO188" s="600" t="s">
        <v>646</v>
      </c>
      <c r="GWP188" s="601"/>
      <c r="GWQ188" s="601"/>
      <c r="GWR188" s="601"/>
      <c r="GWS188" s="601"/>
      <c r="GWT188" s="601"/>
      <c r="GWU188" s="601"/>
      <c r="GWV188" s="601"/>
      <c r="GWW188" s="601"/>
      <c r="GWX188" s="601"/>
      <c r="GWY188" s="601"/>
      <c r="GWZ188" s="601"/>
      <c r="GXA188" s="601"/>
      <c r="GXB188" s="601"/>
      <c r="GXC188" s="601"/>
      <c r="GXD188" s="601"/>
      <c r="GXE188" s="600" t="s">
        <v>646</v>
      </c>
      <c r="GXF188" s="601"/>
      <c r="GXG188" s="601"/>
      <c r="GXH188" s="601"/>
      <c r="GXI188" s="601"/>
      <c r="GXJ188" s="601"/>
      <c r="GXK188" s="601"/>
      <c r="GXL188" s="601"/>
      <c r="GXM188" s="601"/>
      <c r="GXN188" s="601"/>
      <c r="GXO188" s="601"/>
      <c r="GXP188" s="601"/>
      <c r="GXQ188" s="601"/>
      <c r="GXR188" s="601"/>
      <c r="GXS188" s="601"/>
      <c r="GXT188" s="601"/>
      <c r="GXU188" s="600" t="s">
        <v>646</v>
      </c>
      <c r="GXV188" s="601"/>
      <c r="GXW188" s="601"/>
      <c r="GXX188" s="601"/>
      <c r="GXY188" s="601"/>
      <c r="GXZ188" s="601"/>
      <c r="GYA188" s="601"/>
      <c r="GYB188" s="601"/>
      <c r="GYC188" s="601"/>
      <c r="GYD188" s="601"/>
      <c r="GYE188" s="601"/>
      <c r="GYF188" s="601"/>
      <c r="GYG188" s="601"/>
      <c r="GYH188" s="601"/>
      <c r="GYI188" s="601"/>
      <c r="GYJ188" s="601"/>
      <c r="GYK188" s="600" t="s">
        <v>646</v>
      </c>
      <c r="GYL188" s="601"/>
      <c r="GYM188" s="601"/>
      <c r="GYN188" s="601"/>
      <c r="GYO188" s="601"/>
      <c r="GYP188" s="601"/>
      <c r="GYQ188" s="601"/>
      <c r="GYR188" s="601"/>
      <c r="GYS188" s="601"/>
      <c r="GYT188" s="601"/>
      <c r="GYU188" s="601"/>
      <c r="GYV188" s="601"/>
      <c r="GYW188" s="601"/>
      <c r="GYX188" s="601"/>
      <c r="GYY188" s="601"/>
      <c r="GYZ188" s="601"/>
      <c r="GZA188" s="600" t="s">
        <v>646</v>
      </c>
      <c r="GZB188" s="601"/>
      <c r="GZC188" s="601"/>
      <c r="GZD188" s="601"/>
      <c r="GZE188" s="601"/>
      <c r="GZF188" s="601"/>
      <c r="GZG188" s="601"/>
      <c r="GZH188" s="601"/>
      <c r="GZI188" s="601"/>
      <c r="GZJ188" s="601"/>
      <c r="GZK188" s="601"/>
      <c r="GZL188" s="601"/>
      <c r="GZM188" s="601"/>
      <c r="GZN188" s="601"/>
      <c r="GZO188" s="601"/>
      <c r="GZP188" s="601"/>
      <c r="GZQ188" s="600" t="s">
        <v>646</v>
      </c>
      <c r="GZR188" s="601"/>
      <c r="GZS188" s="601"/>
      <c r="GZT188" s="601"/>
      <c r="GZU188" s="601"/>
      <c r="GZV188" s="601"/>
      <c r="GZW188" s="601"/>
      <c r="GZX188" s="601"/>
      <c r="GZY188" s="601"/>
      <c r="GZZ188" s="601"/>
      <c r="HAA188" s="601"/>
      <c r="HAB188" s="601"/>
      <c r="HAC188" s="601"/>
      <c r="HAD188" s="601"/>
      <c r="HAE188" s="601"/>
      <c r="HAF188" s="601"/>
      <c r="HAG188" s="600" t="s">
        <v>646</v>
      </c>
      <c r="HAH188" s="601"/>
      <c r="HAI188" s="601"/>
      <c r="HAJ188" s="601"/>
      <c r="HAK188" s="601"/>
      <c r="HAL188" s="601"/>
      <c r="HAM188" s="601"/>
      <c r="HAN188" s="601"/>
      <c r="HAO188" s="601"/>
      <c r="HAP188" s="601"/>
      <c r="HAQ188" s="601"/>
      <c r="HAR188" s="601"/>
      <c r="HAS188" s="601"/>
      <c r="HAT188" s="601"/>
      <c r="HAU188" s="601"/>
      <c r="HAV188" s="601"/>
      <c r="HAW188" s="600" t="s">
        <v>646</v>
      </c>
      <c r="HAX188" s="601"/>
      <c r="HAY188" s="601"/>
      <c r="HAZ188" s="601"/>
      <c r="HBA188" s="601"/>
      <c r="HBB188" s="601"/>
      <c r="HBC188" s="601"/>
      <c r="HBD188" s="601"/>
      <c r="HBE188" s="601"/>
      <c r="HBF188" s="601"/>
      <c r="HBG188" s="601"/>
      <c r="HBH188" s="601"/>
      <c r="HBI188" s="601"/>
      <c r="HBJ188" s="601"/>
      <c r="HBK188" s="601"/>
      <c r="HBL188" s="601"/>
      <c r="HBM188" s="600" t="s">
        <v>646</v>
      </c>
      <c r="HBN188" s="601"/>
      <c r="HBO188" s="601"/>
      <c r="HBP188" s="601"/>
      <c r="HBQ188" s="601"/>
      <c r="HBR188" s="601"/>
      <c r="HBS188" s="601"/>
      <c r="HBT188" s="601"/>
      <c r="HBU188" s="601"/>
      <c r="HBV188" s="601"/>
      <c r="HBW188" s="601"/>
      <c r="HBX188" s="601"/>
      <c r="HBY188" s="601"/>
      <c r="HBZ188" s="601"/>
      <c r="HCA188" s="601"/>
      <c r="HCB188" s="601"/>
      <c r="HCC188" s="600" t="s">
        <v>646</v>
      </c>
      <c r="HCD188" s="601"/>
      <c r="HCE188" s="601"/>
      <c r="HCF188" s="601"/>
      <c r="HCG188" s="601"/>
      <c r="HCH188" s="601"/>
      <c r="HCI188" s="601"/>
      <c r="HCJ188" s="601"/>
      <c r="HCK188" s="601"/>
      <c r="HCL188" s="601"/>
      <c r="HCM188" s="601"/>
      <c r="HCN188" s="601"/>
      <c r="HCO188" s="601"/>
      <c r="HCP188" s="601"/>
      <c r="HCQ188" s="601"/>
      <c r="HCR188" s="601"/>
      <c r="HCS188" s="600" t="s">
        <v>646</v>
      </c>
      <c r="HCT188" s="601"/>
      <c r="HCU188" s="601"/>
      <c r="HCV188" s="601"/>
      <c r="HCW188" s="601"/>
      <c r="HCX188" s="601"/>
      <c r="HCY188" s="601"/>
      <c r="HCZ188" s="601"/>
      <c r="HDA188" s="601"/>
      <c r="HDB188" s="601"/>
      <c r="HDC188" s="601"/>
      <c r="HDD188" s="601"/>
      <c r="HDE188" s="601"/>
      <c r="HDF188" s="601"/>
      <c r="HDG188" s="601"/>
      <c r="HDH188" s="601"/>
      <c r="HDI188" s="600" t="s">
        <v>646</v>
      </c>
      <c r="HDJ188" s="601"/>
      <c r="HDK188" s="601"/>
      <c r="HDL188" s="601"/>
      <c r="HDM188" s="601"/>
      <c r="HDN188" s="601"/>
      <c r="HDO188" s="601"/>
      <c r="HDP188" s="601"/>
      <c r="HDQ188" s="601"/>
      <c r="HDR188" s="601"/>
      <c r="HDS188" s="601"/>
      <c r="HDT188" s="601"/>
      <c r="HDU188" s="601"/>
      <c r="HDV188" s="601"/>
      <c r="HDW188" s="601"/>
      <c r="HDX188" s="601"/>
      <c r="HDY188" s="600" t="s">
        <v>646</v>
      </c>
      <c r="HDZ188" s="601"/>
      <c r="HEA188" s="601"/>
      <c r="HEB188" s="601"/>
      <c r="HEC188" s="601"/>
      <c r="HED188" s="601"/>
      <c r="HEE188" s="601"/>
      <c r="HEF188" s="601"/>
      <c r="HEG188" s="601"/>
      <c r="HEH188" s="601"/>
      <c r="HEI188" s="601"/>
      <c r="HEJ188" s="601"/>
      <c r="HEK188" s="601"/>
      <c r="HEL188" s="601"/>
      <c r="HEM188" s="601"/>
      <c r="HEN188" s="601"/>
      <c r="HEO188" s="600" t="s">
        <v>646</v>
      </c>
      <c r="HEP188" s="601"/>
      <c r="HEQ188" s="601"/>
      <c r="HER188" s="601"/>
      <c r="HES188" s="601"/>
      <c r="HET188" s="601"/>
      <c r="HEU188" s="601"/>
      <c r="HEV188" s="601"/>
      <c r="HEW188" s="601"/>
      <c r="HEX188" s="601"/>
      <c r="HEY188" s="601"/>
      <c r="HEZ188" s="601"/>
      <c r="HFA188" s="601"/>
      <c r="HFB188" s="601"/>
      <c r="HFC188" s="601"/>
      <c r="HFD188" s="601"/>
      <c r="HFE188" s="600" t="s">
        <v>646</v>
      </c>
      <c r="HFF188" s="601"/>
      <c r="HFG188" s="601"/>
      <c r="HFH188" s="601"/>
      <c r="HFI188" s="601"/>
      <c r="HFJ188" s="601"/>
      <c r="HFK188" s="601"/>
      <c r="HFL188" s="601"/>
      <c r="HFM188" s="601"/>
      <c r="HFN188" s="601"/>
      <c r="HFO188" s="601"/>
      <c r="HFP188" s="601"/>
      <c r="HFQ188" s="601"/>
      <c r="HFR188" s="601"/>
      <c r="HFS188" s="601"/>
      <c r="HFT188" s="601"/>
      <c r="HFU188" s="600" t="s">
        <v>646</v>
      </c>
      <c r="HFV188" s="601"/>
      <c r="HFW188" s="601"/>
      <c r="HFX188" s="601"/>
      <c r="HFY188" s="601"/>
      <c r="HFZ188" s="601"/>
      <c r="HGA188" s="601"/>
      <c r="HGB188" s="601"/>
      <c r="HGC188" s="601"/>
      <c r="HGD188" s="601"/>
      <c r="HGE188" s="601"/>
      <c r="HGF188" s="601"/>
      <c r="HGG188" s="601"/>
      <c r="HGH188" s="601"/>
      <c r="HGI188" s="601"/>
      <c r="HGJ188" s="601"/>
      <c r="HGK188" s="600" t="s">
        <v>646</v>
      </c>
      <c r="HGL188" s="601"/>
      <c r="HGM188" s="601"/>
      <c r="HGN188" s="601"/>
      <c r="HGO188" s="601"/>
      <c r="HGP188" s="601"/>
      <c r="HGQ188" s="601"/>
      <c r="HGR188" s="601"/>
      <c r="HGS188" s="601"/>
      <c r="HGT188" s="601"/>
      <c r="HGU188" s="601"/>
      <c r="HGV188" s="601"/>
      <c r="HGW188" s="601"/>
      <c r="HGX188" s="601"/>
      <c r="HGY188" s="601"/>
      <c r="HGZ188" s="601"/>
      <c r="HHA188" s="600" t="s">
        <v>646</v>
      </c>
      <c r="HHB188" s="601"/>
      <c r="HHC188" s="601"/>
      <c r="HHD188" s="601"/>
      <c r="HHE188" s="601"/>
      <c r="HHF188" s="601"/>
      <c r="HHG188" s="601"/>
      <c r="HHH188" s="601"/>
      <c r="HHI188" s="601"/>
      <c r="HHJ188" s="601"/>
      <c r="HHK188" s="601"/>
      <c r="HHL188" s="601"/>
      <c r="HHM188" s="601"/>
      <c r="HHN188" s="601"/>
      <c r="HHO188" s="601"/>
      <c r="HHP188" s="601"/>
      <c r="HHQ188" s="600" t="s">
        <v>646</v>
      </c>
      <c r="HHR188" s="601"/>
      <c r="HHS188" s="601"/>
      <c r="HHT188" s="601"/>
      <c r="HHU188" s="601"/>
      <c r="HHV188" s="601"/>
      <c r="HHW188" s="601"/>
      <c r="HHX188" s="601"/>
      <c r="HHY188" s="601"/>
      <c r="HHZ188" s="601"/>
      <c r="HIA188" s="601"/>
      <c r="HIB188" s="601"/>
      <c r="HIC188" s="601"/>
      <c r="HID188" s="601"/>
      <c r="HIE188" s="601"/>
      <c r="HIF188" s="601"/>
      <c r="HIG188" s="600" t="s">
        <v>646</v>
      </c>
      <c r="HIH188" s="601"/>
      <c r="HII188" s="601"/>
      <c r="HIJ188" s="601"/>
      <c r="HIK188" s="601"/>
      <c r="HIL188" s="601"/>
      <c r="HIM188" s="601"/>
      <c r="HIN188" s="601"/>
      <c r="HIO188" s="601"/>
      <c r="HIP188" s="601"/>
      <c r="HIQ188" s="601"/>
      <c r="HIR188" s="601"/>
      <c r="HIS188" s="601"/>
      <c r="HIT188" s="601"/>
      <c r="HIU188" s="601"/>
      <c r="HIV188" s="601"/>
      <c r="HIW188" s="600" t="s">
        <v>646</v>
      </c>
      <c r="HIX188" s="601"/>
      <c r="HIY188" s="601"/>
      <c r="HIZ188" s="601"/>
      <c r="HJA188" s="601"/>
      <c r="HJB188" s="601"/>
      <c r="HJC188" s="601"/>
      <c r="HJD188" s="601"/>
      <c r="HJE188" s="601"/>
      <c r="HJF188" s="601"/>
      <c r="HJG188" s="601"/>
      <c r="HJH188" s="601"/>
      <c r="HJI188" s="601"/>
      <c r="HJJ188" s="601"/>
      <c r="HJK188" s="601"/>
      <c r="HJL188" s="601"/>
      <c r="HJM188" s="600" t="s">
        <v>646</v>
      </c>
      <c r="HJN188" s="601"/>
      <c r="HJO188" s="601"/>
      <c r="HJP188" s="601"/>
      <c r="HJQ188" s="601"/>
      <c r="HJR188" s="601"/>
      <c r="HJS188" s="601"/>
      <c r="HJT188" s="601"/>
      <c r="HJU188" s="601"/>
      <c r="HJV188" s="601"/>
      <c r="HJW188" s="601"/>
      <c r="HJX188" s="601"/>
      <c r="HJY188" s="601"/>
      <c r="HJZ188" s="601"/>
      <c r="HKA188" s="601"/>
      <c r="HKB188" s="601"/>
      <c r="HKC188" s="600" t="s">
        <v>646</v>
      </c>
      <c r="HKD188" s="601"/>
      <c r="HKE188" s="601"/>
      <c r="HKF188" s="601"/>
      <c r="HKG188" s="601"/>
      <c r="HKH188" s="601"/>
      <c r="HKI188" s="601"/>
      <c r="HKJ188" s="601"/>
      <c r="HKK188" s="601"/>
      <c r="HKL188" s="601"/>
      <c r="HKM188" s="601"/>
      <c r="HKN188" s="601"/>
      <c r="HKO188" s="601"/>
      <c r="HKP188" s="601"/>
      <c r="HKQ188" s="601"/>
      <c r="HKR188" s="601"/>
      <c r="HKS188" s="600" t="s">
        <v>646</v>
      </c>
      <c r="HKT188" s="601"/>
      <c r="HKU188" s="601"/>
      <c r="HKV188" s="601"/>
      <c r="HKW188" s="601"/>
      <c r="HKX188" s="601"/>
      <c r="HKY188" s="601"/>
      <c r="HKZ188" s="601"/>
      <c r="HLA188" s="601"/>
      <c r="HLB188" s="601"/>
      <c r="HLC188" s="601"/>
      <c r="HLD188" s="601"/>
      <c r="HLE188" s="601"/>
      <c r="HLF188" s="601"/>
      <c r="HLG188" s="601"/>
      <c r="HLH188" s="601"/>
      <c r="HLI188" s="600" t="s">
        <v>646</v>
      </c>
      <c r="HLJ188" s="601"/>
      <c r="HLK188" s="601"/>
      <c r="HLL188" s="601"/>
      <c r="HLM188" s="601"/>
      <c r="HLN188" s="601"/>
      <c r="HLO188" s="601"/>
      <c r="HLP188" s="601"/>
      <c r="HLQ188" s="601"/>
      <c r="HLR188" s="601"/>
      <c r="HLS188" s="601"/>
      <c r="HLT188" s="601"/>
      <c r="HLU188" s="601"/>
      <c r="HLV188" s="601"/>
      <c r="HLW188" s="601"/>
      <c r="HLX188" s="601"/>
      <c r="HLY188" s="600" t="s">
        <v>646</v>
      </c>
      <c r="HLZ188" s="601"/>
      <c r="HMA188" s="601"/>
      <c r="HMB188" s="601"/>
      <c r="HMC188" s="601"/>
      <c r="HMD188" s="601"/>
      <c r="HME188" s="601"/>
      <c r="HMF188" s="601"/>
      <c r="HMG188" s="601"/>
      <c r="HMH188" s="601"/>
      <c r="HMI188" s="601"/>
      <c r="HMJ188" s="601"/>
      <c r="HMK188" s="601"/>
      <c r="HML188" s="601"/>
      <c r="HMM188" s="601"/>
      <c r="HMN188" s="601"/>
      <c r="HMO188" s="600" t="s">
        <v>646</v>
      </c>
      <c r="HMP188" s="601"/>
      <c r="HMQ188" s="601"/>
      <c r="HMR188" s="601"/>
      <c r="HMS188" s="601"/>
      <c r="HMT188" s="601"/>
      <c r="HMU188" s="601"/>
      <c r="HMV188" s="601"/>
      <c r="HMW188" s="601"/>
      <c r="HMX188" s="601"/>
      <c r="HMY188" s="601"/>
      <c r="HMZ188" s="601"/>
      <c r="HNA188" s="601"/>
      <c r="HNB188" s="601"/>
      <c r="HNC188" s="601"/>
      <c r="HND188" s="601"/>
      <c r="HNE188" s="600" t="s">
        <v>646</v>
      </c>
      <c r="HNF188" s="601"/>
      <c r="HNG188" s="601"/>
      <c r="HNH188" s="601"/>
      <c r="HNI188" s="601"/>
      <c r="HNJ188" s="601"/>
      <c r="HNK188" s="601"/>
      <c r="HNL188" s="601"/>
      <c r="HNM188" s="601"/>
      <c r="HNN188" s="601"/>
      <c r="HNO188" s="601"/>
      <c r="HNP188" s="601"/>
      <c r="HNQ188" s="601"/>
      <c r="HNR188" s="601"/>
      <c r="HNS188" s="601"/>
      <c r="HNT188" s="601"/>
      <c r="HNU188" s="600" t="s">
        <v>646</v>
      </c>
      <c r="HNV188" s="601"/>
      <c r="HNW188" s="601"/>
      <c r="HNX188" s="601"/>
      <c r="HNY188" s="601"/>
      <c r="HNZ188" s="601"/>
      <c r="HOA188" s="601"/>
      <c r="HOB188" s="601"/>
      <c r="HOC188" s="601"/>
      <c r="HOD188" s="601"/>
      <c r="HOE188" s="601"/>
      <c r="HOF188" s="601"/>
      <c r="HOG188" s="601"/>
      <c r="HOH188" s="601"/>
      <c r="HOI188" s="601"/>
      <c r="HOJ188" s="601"/>
      <c r="HOK188" s="600" t="s">
        <v>646</v>
      </c>
      <c r="HOL188" s="601"/>
      <c r="HOM188" s="601"/>
      <c r="HON188" s="601"/>
      <c r="HOO188" s="601"/>
      <c r="HOP188" s="601"/>
      <c r="HOQ188" s="601"/>
      <c r="HOR188" s="601"/>
      <c r="HOS188" s="601"/>
      <c r="HOT188" s="601"/>
      <c r="HOU188" s="601"/>
      <c r="HOV188" s="601"/>
      <c r="HOW188" s="601"/>
      <c r="HOX188" s="601"/>
      <c r="HOY188" s="601"/>
      <c r="HOZ188" s="601"/>
      <c r="HPA188" s="600" t="s">
        <v>646</v>
      </c>
      <c r="HPB188" s="601"/>
      <c r="HPC188" s="601"/>
      <c r="HPD188" s="601"/>
      <c r="HPE188" s="601"/>
      <c r="HPF188" s="601"/>
      <c r="HPG188" s="601"/>
      <c r="HPH188" s="601"/>
      <c r="HPI188" s="601"/>
      <c r="HPJ188" s="601"/>
      <c r="HPK188" s="601"/>
      <c r="HPL188" s="601"/>
      <c r="HPM188" s="601"/>
      <c r="HPN188" s="601"/>
      <c r="HPO188" s="601"/>
      <c r="HPP188" s="601"/>
      <c r="HPQ188" s="600" t="s">
        <v>646</v>
      </c>
      <c r="HPR188" s="601"/>
      <c r="HPS188" s="601"/>
      <c r="HPT188" s="601"/>
      <c r="HPU188" s="601"/>
      <c r="HPV188" s="601"/>
      <c r="HPW188" s="601"/>
      <c r="HPX188" s="601"/>
      <c r="HPY188" s="601"/>
      <c r="HPZ188" s="601"/>
      <c r="HQA188" s="601"/>
      <c r="HQB188" s="601"/>
      <c r="HQC188" s="601"/>
      <c r="HQD188" s="601"/>
      <c r="HQE188" s="601"/>
      <c r="HQF188" s="601"/>
      <c r="HQG188" s="600" t="s">
        <v>646</v>
      </c>
      <c r="HQH188" s="601"/>
      <c r="HQI188" s="601"/>
      <c r="HQJ188" s="601"/>
      <c r="HQK188" s="601"/>
      <c r="HQL188" s="601"/>
      <c r="HQM188" s="601"/>
      <c r="HQN188" s="601"/>
      <c r="HQO188" s="601"/>
      <c r="HQP188" s="601"/>
      <c r="HQQ188" s="601"/>
      <c r="HQR188" s="601"/>
      <c r="HQS188" s="601"/>
      <c r="HQT188" s="601"/>
      <c r="HQU188" s="601"/>
      <c r="HQV188" s="601"/>
      <c r="HQW188" s="600" t="s">
        <v>646</v>
      </c>
      <c r="HQX188" s="601"/>
      <c r="HQY188" s="601"/>
      <c r="HQZ188" s="601"/>
      <c r="HRA188" s="601"/>
      <c r="HRB188" s="601"/>
      <c r="HRC188" s="601"/>
      <c r="HRD188" s="601"/>
      <c r="HRE188" s="601"/>
      <c r="HRF188" s="601"/>
      <c r="HRG188" s="601"/>
      <c r="HRH188" s="601"/>
      <c r="HRI188" s="601"/>
      <c r="HRJ188" s="601"/>
      <c r="HRK188" s="601"/>
      <c r="HRL188" s="601"/>
      <c r="HRM188" s="600" t="s">
        <v>646</v>
      </c>
      <c r="HRN188" s="601"/>
      <c r="HRO188" s="601"/>
      <c r="HRP188" s="601"/>
      <c r="HRQ188" s="601"/>
      <c r="HRR188" s="601"/>
      <c r="HRS188" s="601"/>
      <c r="HRT188" s="601"/>
      <c r="HRU188" s="601"/>
      <c r="HRV188" s="601"/>
      <c r="HRW188" s="601"/>
      <c r="HRX188" s="601"/>
      <c r="HRY188" s="601"/>
      <c r="HRZ188" s="601"/>
      <c r="HSA188" s="601"/>
      <c r="HSB188" s="601"/>
      <c r="HSC188" s="600" t="s">
        <v>646</v>
      </c>
      <c r="HSD188" s="601"/>
      <c r="HSE188" s="601"/>
      <c r="HSF188" s="601"/>
      <c r="HSG188" s="601"/>
      <c r="HSH188" s="601"/>
      <c r="HSI188" s="601"/>
      <c r="HSJ188" s="601"/>
      <c r="HSK188" s="601"/>
      <c r="HSL188" s="601"/>
      <c r="HSM188" s="601"/>
      <c r="HSN188" s="601"/>
      <c r="HSO188" s="601"/>
      <c r="HSP188" s="601"/>
      <c r="HSQ188" s="601"/>
      <c r="HSR188" s="601"/>
      <c r="HSS188" s="600" t="s">
        <v>646</v>
      </c>
      <c r="HST188" s="601"/>
      <c r="HSU188" s="601"/>
      <c r="HSV188" s="601"/>
      <c r="HSW188" s="601"/>
      <c r="HSX188" s="601"/>
      <c r="HSY188" s="601"/>
      <c r="HSZ188" s="601"/>
      <c r="HTA188" s="601"/>
      <c r="HTB188" s="601"/>
      <c r="HTC188" s="601"/>
      <c r="HTD188" s="601"/>
      <c r="HTE188" s="601"/>
      <c r="HTF188" s="601"/>
      <c r="HTG188" s="601"/>
      <c r="HTH188" s="601"/>
      <c r="HTI188" s="600" t="s">
        <v>646</v>
      </c>
      <c r="HTJ188" s="601"/>
      <c r="HTK188" s="601"/>
      <c r="HTL188" s="601"/>
      <c r="HTM188" s="601"/>
      <c r="HTN188" s="601"/>
      <c r="HTO188" s="601"/>
      <c r="HTP188" s="601"/>
      <c r="HTQ188" s="601"/>
      <c r="HTR188" s="601"/>
      <c r="HTS188" s="601"/>
      <c r="HTT188" s="601"/>
      <c r="HTU188" s="601"/>
      <c r="HTV188" s="601"/>
      <c r="HTW188" s="601"/>
      <c r="HTX188" s="601"/>
      <c r="HTY188" s="600" t="s">
        <v>646</v>
      </c>
      <c r="HTZ188" s="601"/>
      <c r="HUA188" s="601"/>
      <c r="HUB188" s="601"/>
      <c r="HUC188" s="601"/>
      <c r="HUD188" s="601"/>
      <c r="HUE188" s="601"/>
      <c r="HUF188" s="601"/>
      <c r="HUG188" s="601"/>
      <c r="HUH188" s="601"/>
      <c r="HUI188" s="601"/>
      <c r="HUJ188" s="601"/>
      <c r="HUK188" s="601"/>
      <c r="HUL188" s="601"/>
      <c r="HUM188" s="601"/>
      <c r="HUN188" s="601"/>
      <c r="HUO188" s="600" t="s">
        <v>646</v>
      </c>
      <c r="HUP188" s="601"/>
      <c r="HUQ188" s="601"/>
      <c r="HUR188" s="601"/>
      <c r="HUS188" s="601"/>
      <c r="HUT188" s="601"/>
      <c r="HUU188" s="601"/>
      <c r="HUV188" s="601"/>
      <c r="HUW188" s="601"/>
      <c r="HUX188" s="601"/>
      <c r="HUY188" s="601"/>
      <c r="HUZ188" s="601"/>
      <c r="HVA188" s="601"/>
      <c r="HVB188" s="601"/>
      <c r="HVC188" s="601"/>
      <c r="HVD188" s="601"/>
      <c r="HVE188" s="600" t="s">
        <v>646</v>
      </c>
      <c r="HVF188" s="601"/>
      <c r="HVG188" s="601"/>
      <c r="HVH188" s="601"/>
      <c r="HVI188" s="601"/>
      <c r="HVJ188" s="601"/>
      <c r="HVK188" s="601"/>
      <c r="HVL188" s="601"/>
      <c r="HVM188" s="601"/>
      <c r="HVN188" s="601"/>
      <c r="HVO188" s="601"/>
      <c r="HVP188" s="601"/>
      <c r="HVQ188" s="601"/>
      <c r="HVR188" s="601"/>
      <c r="HVS188" s="601"/>
      <c r="HVT188" s="601"/>
      <c r="HVU188" s="600" t="s">
        <v>646</v>
      </c>
      <c r="HVV188" s="601"/>
      <c r="HVW188" s="601"/>
      <c r="HVX188" s="601"/>
      <c r="HVY188" s="601"/>
      <c r="HVZ188" s="601"/>
      <c r="HWA188" s="601"/>
      <c r="HWB188" s="601"/>
      <c r="HWC188" s="601"/>
      <c r="HWD188" s="601"/>
      <c r="HWE188" s="601"/>
      <c r="HWF188" s="601"/>
      <c r="HWG188" s="601"/>
      <c r="HWH188" s="601"/>
      <c r="HWI188" s="601"/>
      <c r="HWJ188" s="601"/>
      <c r="HWK188" s="600" t="s">
        <v>646</v>
      </c>
      <c r="HWL188" s="601"/>
      <c r="HWM188" s="601"/>
      <c r="HWN188" s="601"/>
      <c r="HWO188" s="601"/>
      <c r="HWP188" s="601"/>
      <c r="HWQ188" s="601"/>
      <c r="HWR188" s="601"/>
      <c r="HWS188" s="601"/>
      <c r="HWT188" s="601"/>
      <c r="HWU188" s="601"/>
      <c r="HWV188" s="601"/>
      <c r="HWW188" s="601"/>
      <c r="HWX188" s="601"/>
      <c r="HWY188" s="601"/>
      <c r="HWZ188" s="601"/>
      <c r="HXA188" s="600" t="s">
        <v>646</v>
      </c>
      <c r="HXB188" s="601"/>
      <c r="HXC188" s="601"/>
      <c r="HXD188" s="601"/>
      <c r="HXE188" s="601"/>
      <c r="HXF188" s="601"/>
      <c r="HXG188" s="601"/>
      <c r="HXH188" s="601"/>
      <c r="HXI188" s="601"/>
      <c r="HXJ188" s="601"/>
      <c r="HXK188" s="601"/>
      <c r="HXL188" s="601"/>
      <c r="HXM188" s="601"/>
      <c r="HXN188" s="601"/>
      <c r="HXO188" s="601"/>
      <c r="HXP188" s="601"/>
      <c r="HXQ188" s="600" t="s">
        <v>646</v>
      </c>
      <c r="HXR188" s="601"/>
      <c r="HXS188" s="601"/>
      <c r="HXT188" s="601"/>
      <c r="HXU188" s="601"/>
      <c r="HXV188" s="601"/>
      <c r="HXW188" s="601"/>
      <c r="HXX188" s="601"/>
      <c r="HXY188" s="601"/>
      <c r="HXZ188" s="601"/>
      <c r="HYA188" s="601"/>
      <c r="HYB188" s="601"/>
      <c r="HYC188" s="601"/>
      <c r="HYD188" s="601"/>
      <c r="HYE188" s="601"/>
      <c r="HYF188" s="601"/>
      <c r="HYG188" s="600" t="s">
        <v>646</v>
      </c>
      <c r="HYH188" s="601"/>
      <c r="HYI188" s="601"/>
      <c r="HYJ188" s="601"/>
      <c r="HYK188" s="601"/>
      <c r="HYL188" s="601"/>
      <c r="HYM188" s="601"/>
      <c r="HYN188" s="601"/>
      <c r="HYO188" s="601"/>
      <c r="HYP188" s="601"/>
      <c r="HYQ188" s="601"/>
      <c r="HYR188" s="601"/>
      <c r="HYS188" s="601"/>
      <c r="HYT188" s="601"/>
      <c r="HYU188" s="601"/>
      <c r="HYV188" s="601"/>
      <c r="HYW188" s="600" t="s">
        <v>646</v>
      </c>
      <c r="HYX188" s="601"/>
      <c r="HYY188" s="601"/>
      <c r="HYZ188" s="601"/>
      <c r="HZA188" s="601"/>
      <c r="HZB188" s="601"/>
      <c r="HZC188" s="601"/>
      <c r="HZD188" s="601"/>
      <c r="HZE188" s="601"/>
      <c r="HZF188" s="601"/>
      <c r="HZG188" s="601"/>
      <c r="HZH188" s="601"/>
      <c r="HZI188" s="601"/>
      <c r="HZJ188" s="601"/>
      <c r="HZK188" s="601"/>
      <c r="HZL188" s="601"/>
      <c r="HZM188" s="600" t="s">
        <v>646</v>
      </c>
      <c r="HZN188" s="601"/>
      <c r="HZO188" s="601"/>
      <c r="HZP188" s="601"/>
      <c r="HZQ188" s="601"/>
      <c r="HZR188" s="601"/>
      <c r="HZS188" s="601"/>
      <c r="HZT188" s="601"/>
      <c r="HZU188" s="601"/>
      <c r="HZV188" s="601"/>
      <c r="HZW188" s="601"/>
      <c r="HZX188" s="601"/>
      <c r="HZY188" s="601"/>
      <c r="HZZ188" s="601"/>
      <c r="IAA188" s="601"/>
      <c r="IAB188" s="601"/>
      <c r="IAC188" s="600" t="s">
        <v>646</v>
      </c>
      <c r="IAD188" s="601"/>
      <c r="IAE188" s="601"/>
      <c r="IAF188" s="601"/>
      <c r="IAG188" s="601"/>
      <c r="IAH188" s="601"/>
      <c r="IAI188" s="601"/>
      <c r="IAJ188" s="601"/>
      <c r="IAK188" s="601"/>
      <c r="IAL188" s="601"/>
      <c r="IAM188" s="601"/>
      <c r="IAN188" s="601"/>
      <c r="IAO188" s="601"/>
      <c r="IAP188" s="601"/>
      <c r="IAQ188" s="601"/>
      <c r="IAR188" s="601"/>
      <c r="IAS188" s="600" t="s">
        <v>646</v>
      </c>
      <c r="IAT188" s="601"/>
      <c r="IAU188" s="601"/>
      <c r="IAV188" s="601"/>
      <c r="IAW188" s="601"/>
      <c r="IAX188" s="601"/>
      <c r="IAY188" s="601"/>
      <c r="IAZ188" s="601"/>
      <c r="IBA188" s="601"/>
      <c r="IBB188" s="601"/>
      <c r="IBC188" s="601"/>
      <c r="IBD188" s="601"/>
      <c r="IBE188" s="601"/>
      <c r="IBF188" s="601"/>
      <c r="IBG188" s="601"/>
      <c r="IBH188" s="601"/>
      <c r="IBI188" s="600" t="s">
        <v>646</v>
      </c>
      <c r="IBJ188" s="601"/>
      <c r="IBK188" s="601"/>
      <c r="IBL188" s="601"/>
      <c r="IBM188" s="601"/>
      <c r="IBN188" s="601"/>
      <c r="IBO188" s="601"/>
      <c r="IBP188" s="601"/>
      <c r="IBQ188" s="601"/>
      <c r="IBR188" s="601"/>
      <c r="IBS188" s="601"/>
      <c r="IBT188" s="601"/>
      <c r="IBU188" s="601"/>
      <c r="IBV188" s="601"/>
      <c r="IBW188" s="601"/>
      <c r="IBX188" s="601"/>
      <c r="IBY188" s="600" t="s">
        <v>646</v>
      </c>
      <c r="IBZ188" s="601"/>
      <c r="ICA188" s="601"/>
      <c r="ICB188" s="601"/>
      <c r="ICC188" s="601"/>
      <c r="ICD188" s="601"/>
      <c r="ICE188" s="601"/>
      <c r="ICF188" s="601"/>
      <c r="ICG188" s="601"/>
      <c r="ICH188" s="601"/>
      <c r="ICI188" s="601"/>
      <c r="ICJ188" s="601"/>
      <c r="ICK188" s="601"/>
      <c r="ICL188" s="601"/>
      <c r="ICM188" s="601"/>
      <c r="ICN188" s="601"/>
      <c r="ICO188" s="600" t="s">
        <v>646</v>
      </c>
      <c r="ICP188" s="601"/>
      <c r="ICQ188" s="601"/>
      <c r="ICR188" s="601"/>
      <c r="ICS188" s="601"/>
      <c r="ICT188" s="601"/>
      <c r="ICU188" s="601"/>
      <c r="ICV188" s="601"/>
      <c r="ICW188" s="601"/>
      <c r="ICX188" s="601"/>
      <c r="ICY188" s="601"/>
      <c r="ICZ188" s="601"/>
      <c r="IDA188" s="601"/>
      <c r="IDB188" s="601"/>
      <c r="IDC188" s="601"/>
      <c r="IDD188" s="601"/>
      <c r="IDE188" s="600" t="s">
        <v>646</v>
      </c>
      <c r="IDF188" s="601"/>
      <c r="IDG188" s="601"/>
      <c r="IDH188" s="601"/>
      <c r="IDI188" s="601"/>
      <c r="IDJ188" s="601"/>
      <c r="IDK188" s="601"/>
      <c r="IDL188" s="601"/>
      <c r="IDM188" s="601"/>
      <c r="IDN188" s="601"/>
      <c r="IDO188" s="601"/>
      <c r="IDP188" s="601"/>
      <c r="IDQ188" s="601"/>
      <c r="IDR188" s="601"/>
      <c r="IDS188" s="601"/>
      <c r="IDT188" s="601"/>
      <c r="IDU188" s="600" t="s">
        <v>646</v>
      </c>
      <c r="IDV188" s="601"/>
      <c r="IDW188" s="601"/>
      <c r="IDX188" s="601"/>
      <c r="IDY188" s="601"/>
      <c r="IDZ188" s="601"/>
      <c r="IEA188" s="601"/>
      <c r="IEB188" s="601"/>
      <c r="IEC188" s="601"/>
      <c r="IED188" s="601"/>
      <c r="IEE188" s="601"/>
      <c r="IEF188" s="601"/>
      <c r="IEG188" s="601"/>
      <c r="IEH188" s="601"/>
      <c r="IEI188" s="601"/>
      <c r="IEJ188" s="601"/>
      <c r="IEK188" s="600" t="s">
        <v>646</v>
      </c>
      <c r="IEL188" s="601"/>
      <c r="IEM188" s="601"/>
      <c r="IEN188" s="601"/>
      <c r="IEO188" s="601"/>
      <c r="IEP188" s="601"/>
      <c r="IEQ188" s="601"/>
      <c r="IER188" s="601"/>
      <c r="IES188" s="601"/>
      <c r="IET188" s="601"/>
      <c r="IEU188" s="601"/>
      <c r="IEV188" s="601"/>
      <c r="IEW188" s="601"/>
      <c r="IEX188" s="601"/>
      <c r="IEY188" s="601"/>
      <c r="IEZ188" s="601"/>
      <c r="IFA188" s="600" t="s">
        <v>646</v>
      </c>
      <c r="IFB188" s="601"/>
      <c r="IFC188" s="601"/>
      <c r="IFD188" s="601"/>
      <c r="IFE188" s="601"/>
      <c r="IFF188" s="601"/>
      <c r="IFG188" s="601"/>
      <c r="IFH188" s="601"/>
      <c r="IFI188" s="601"/>
      <c r="IFJ188" s="601"/>
      <c r="IFK188" s="601"/>
      <c r="IFL188" s="601"/>
      <c r="IFM188" s="601"/>
      <c r="IFN188" s="601"/>
      <c r="IFO188" s="601"/>
      <c r="IFP188" s="601"/>
      <c r="IFQ188" s="600" t="s">
        <v>646</v>
      </c>
      <c r="IFR188" s="601"/>
      <c r="IFS188" s="601"/>
      <c r="IFT188" s="601"/>
      <c r="IFU188" s="601"/>
      <c r="IFV188" s="601"/>
      <c r="IFW188" s="601"/>
      <c r="IFX188" s="601"/>
      <c r="IFY188" s="601"/>
      <c r="IFZ188" s="601"/>
      <c r="IGA188" s="601"/>
      <c r="IGB188" s="601"/>
      <c r="IGC188" s="601"/>
      <c r="IGD188" s="601"/>
      <c r="IGE188" s="601"/>
      <c r="IGF188" s="601"/>
      <c r="IGG188" s="600" t="s">
        <v>646</v>
      </c>
      <c r="IGH188" s="601"/>
      <c r="IGI188" s="601"/>
      <c r="IGJ188" s="601"/>
      <c r="IGK188" s="601"/>
      <c r="IGL188" s="601"/>
      <c r="IGM188" s="601"/>
      <c r="IGN188" s="601"/>
      <c r="IGO188" s="601"/>
      <c r="IGP188" s="601"/>
      <c r="IGQ188" s="601"/>
      <c r="IGR188" s="601"/>
      <c r="IGS188" s="601"/>
      <c r="IGT188" s="601"/>
      <c r="IGU188" s="601"/>
      <c r="IGV188" s="601"/>
      <c r="IGW188" s="600" t="s">
        <v>646</v>
      </c>
      <c r="IGX188" s="601"/>
      <c r="IGY188" s="601"/>
      <c r="IGZ188" s="601"/>
      <c r="IHA188" s="601"/>
      <c r="IHB188" s="601"/>
      <c r="IHC188" s="601"/>
      <c r="IHD188" s="601"/>
      <c r="IHE188" s="601"/>
      <c r="IHF188" s="601"/>
      <c r="IHG188" s="601"/>
      <c r="IHH188" s="601"/>
      <c r="IHI188" s="601"/>
      <c r="IHJ188" s="601"/>
      <c r="IHK188" s="601"/>
      <c r="IHL188" s="601"/>
      <c r="IHM188" s="600" t="s">
        <v>646</v>
      </c>
      <c r="IHN188" s="601"/>
      <c r="IHO188" s="601"/>
      <c r="IHP188" s="601"/>
      <c r="IHQ188" s="601"/>
      <c r="IHR188" s="601"/>
      <c r="IHS188" s="601"/>
      <c r="IHT188" s="601"/>
      <c r="IHU188" s="601"/>
      <c r="IHV188" s="601"/>
      <c r="IHW188" s="601"/>
      <c r="IHX188" s="601"/>
      <c r="IHY188" s="601"/>
      <c r="IHZ188" s="601"/>
      <c r="IIA188" s="601"/>
      <c r="IIB188" s="601"/>
      <c r="IIC188" s="600" t="s">
        <v>646</v>
      </c>
      <c r="IID188" s="601"/>
      <c r="IIE188" s="601"/>
      <c r="IIF188" s="601"/>
      <c r="IIG188" s="601"/>
      <c r="IIH188" s="601"/>
      <c r="III188" s="601"/>
      <c r="IIJ188" s="601"/>
      <c r="IIK188" s="601"/>
      <c r="IIL188" s="601"/>
      <c r="IIM188" s="601"/>
      <c r="IIN188" s="601"/>
      <c r="IIO188" s="601"/>
      <c r="IIP188" s="601"/>
      <c r="IIQ188" s="601"/>
      <c r="IIR188" s="601"/>
      <c r="IIS188" s="600" t="s">
        <v>646</v>
      </c>
      <c r="IIT188" s="601"/>
      <c r="IIU188" s="601"/>
      <c r="IIV188" s="601"/>
      <c r="IIW188" s="601"/>
      <c r="IIX188" s="601"/>
      <c r="IIY188" s="601"/>
      <c r="IIZ188" s="601"/>
      <c r="IJA188" s="601"/>
      <c r="IJB188" s="601"/>
      <c r="IJC188" s="601"/>
      <c r="IJD188" s="601"/>
      <c r="IJE188" s="601"/>
      <c r="IJF188" s="601"/>
      <c r="IJG188" s="601"/>
      <c r="IJH188" s="601"/>
      <c r="IJI188" s="600" t="s">
        <v>646</v>
      </c>
      <c r="IJJ188" s="601"/>
      <c r="IJK188" s="601"/>
      <c r="IJL188" s="601"/>
      <c r="IJM188" s="601"/>
      <c r="IJN188" s="601"/>
      <c r="IJO188" s="601"/>
      <c r="IJP188" s="601"/>
      <c r="IJQ188" s="601"/>
      <c r="IJR188" s="601"/>
      <c r="IJS188" s="601"/>
      <c r="IJT188" s="601"/>
      <c r="IJU188" s="601"/>
      <c r="IJV188" s="601"/>
      <c r="IJW188" s="601"/>
      <c r="IJX188" s="601"/>
      <c r="IJY188" s="600" t="s">
        <v>646</v>
      </c>
      <c r="IJZ188" s="601"/>
      <c r="IKA188" s="601"/>
      <c r="IKB188" s="601"/>
      <c r="IKC188" s="601"/>
      <c r="IKD188" s="601"/>
      <c r="IKE188" s="601"/>
      <c r="IKF188" s="601"/>
      <c r="IKG188" s="601"/>
      <c r="IKH188" s="601"/>
      <c r="IKI188" s="601"/>
      <c r="IKJ188" s="601"/>
      <c r="IKK188" s="601"/>
      <c r="IKL188" s="601"/>
      <c r="IKM188" s="601"/>
      <c r="IKN188" s="601"/>
      <c r="IKO188" s="600" t="s">
        <v>646</v>
      </c>
      <c r="IKP188" s="601"/>
      <c r="IKQ188" s="601"/>
      <c r="IKR188" s="601"/>
      <c r="IKS188" s="601"/>
      <c r="IKT188" s="601"/>
      <c r="IKU188" s="601"/>
      <c r="IKV188" s="601"/>
      <c r="IKW188" s="601"/>
      <c r="IKX188" s="601"/>
      <c r="IKY188" s="601"/>
      <c r="IKZ188" s="601"/>
      <c r="ILA188" s="601"/>
      <c r="ILB188" s="601"/>
      <c r="ILC188" s="601"/>
      <c r="ILD188" s="601"/>
      <c r="ILE188" s="600" t="s">
        <v>646</v>
      </c>
      <c r="ILF188" s="601"/>
      <c r="ILG188" s="601"/>
      <c r="ILH188" s="601"/>
      <c r="ILI188" s="601"/>
      <c r="ILJ188" s="601"/>
      <c r="ILK188" s="601"/>
      <c r="ILL188" s="601"/>
      <c r="ILM188" s="601"/>
      <c r="ILN188" s="601"/>
      <c r="ILO188" s="601"/>
      <c r="ILP188" s="601"/>
      <c r="ILQ188" s="601"/>
      <c r="ILR188" s="601"/>
      <c r="ILS188" s="601"/>
      <c r="ILT188" s="601"/>
      <c r="ILU188" s="600" t="s">
        <v>646</v>
      </c>
      <c r="ILV188" s="601"/>
      <c r="ILW188" s="601"/>
      <c r="ILX188" s="601"/>
      <c r="ILY188" s="601"/>
      <c r="ILZ188" s="601"/>
      <c r="IMA188" s="601"/>
      <c r="IMB188" s="601"/>
      <c r="IMC188" s="601"/>
      <c r="IMD188" s="601"/>
      <c r="IME188" s="601"/>
      <c r="IMF188" s="601"/>
      <c r="IMG188" s="601"/>
      <c r="IMH188" s="601"/>
      <c r="IMI188" s="601"/>
      <c r="IMJ188" s="601"/>
      <c r="IMK188" s="600" t="s">
        <v>646</v>
      </c>
      <c r="IML188" s="601"/>
      <c r="IMM188" s="601"/>
      <c r="IMN188" s="601"/>
      <c r="IMO188" s="601"/>
      <c r="IMP188" s="601"/>
      <c r="IMQ188" s="601"/>
      <c r="IMR188" s="601"/>
      <c r="IMS188" s="601"/>
      <c r="IMT188" s="601"/>
      <c r="IMU188" s="601"/>
      <c r="IMV188" s="601"/>
      <c r="IMW188" s="601"/>
      <c r="IMX188" s="601"/>
      <c r="IMY188" s="601"/>
      <c r="IMZ188" s="601"/>
      <c r="INA188" s="600" t="s">
        <v>646</v>
      </c>
      <c r="INB188" s="601"/>
      <c r="INC188" s="601"/>
      <c r="IND188" s="601"/>
      <c r="INE188" s="601"/>
      <c r="INF188" s="601"/>
      <c r="ING188" s="601"/>
      <c r="INH188" s="601"/>
      <c r="INI188" s="601"/>
      <c r="INJ188" s="601"/>
      <c r="INK188" s="601"/>
      <c r="INL188" s="601"/>
      <c r="INM188" s="601"/>
      <c r="INN188" s="601"/>
      <c r="INO188" s="601"/>
      <c r="INP188" s="601"/>
      <c r="INQ188" s="600" t="s">
        <v>646</v>
      </c>
      <c r="INR188" s="601"/>
      <c r="INS188" s="601"/>
      <c r="INT188" s="601"/>
      <c r="INU188" s="601"/>
      <c r="INV188" s="601"/>
      <c r="INW188" s="601"/>
      <c r="INX188" s="601"/>
      <c r="INY188" s="601"/>
      <c r="INZ188" s="601"/>
      <c r="IOA188" s="601"/>
      <c r="IOB188" s="601"/>
      <c r="IOC188" s="601"/>
      <c r="IOD188" s="601"/>
      <c r="IOE188" s="601"/>
      <c r="IOF188" s="601"/>
      <c r="IOG188" s="600" t="s">
        <v>646</v>
      </c>
      <c r="IOH188" s="601"/>
      <c r="IOI188" s="601"/>
      <c r="IOJ188" s="601"/>
      <c r="IOK188" s="601"/>
      <c r="IOL188" s="601"/>
      <c r="IOM188" s="601"/>
      <c r="ION188" s="601"/>
      <c r="IOO188" s="601"/>
      <c r="IOP188" s="601"/>
      <c r="IOQ188" s="601"/>
      <c r="IOR188" s="601"/>
      <c r="IOS188" s="601"/>
      <c r="IOT188" s="601"/>
      <c r="IOU188" s="601"/>
      <c r="IOV188" s="601"/>
      <c r="IOW188" s="600" t="s">
        <v>646</v>
      </c>
      <c r="IOX188" s="601"/>
      <c r="IOY188" s="601"/>
      <c r="IOZ188" s="601"/>
      <c r="IPA188" s="601"/>
      <c r="IPB188" s="601"/>
      <c r="IPC188" s="601"/>
      <c r="IPD188" s="601"/>
      <c r="IPE188" s="601"/>
      <c r="IPF188" s="601"/>
      <c r="IPG188" s="601"/>
      <c r="IPH188" s="601"/>
      <c r="IPI188" s="601"/>
      <c r="IPJ188" s="601"/>
      <c r="IPK188" s="601"/>
      <c r="IPL188" s="601"/>
      <c r="IPM188" s="600" t="s">
        <v>646</v>
      </c>
      <c r="IPN188" s="601"/>
      <c r="IPO188" s="601"/>
      <c r="IPP188" s="601"/>
      <c r="IPQ188" s="601"/>
      <c r="IPR188" s="601"/>
      <c r="IPS188" s="601"/>
      <c r="IPT188" s="601"/>
      <c r="IPU188" s="601"/>
      <c r="IPV188" s="601"/>
      <c r="IPW188" s="601"/>
      <c r="IPX188" s="601"/>
      <c r="IPY188" s="601"/>
      <c r="IPZ188" s="601"/>
      <c r="IQA188" s="601"/>
      <c r="IQB188" s="601"/>
      <c r="IQC188" s="600" t="s">
        <v>646</v>
      </c>
      <c r="IQD188" s="601"/>
      <c r="IQE188" s="601"/>
      <c r="IQF188" s="601"/>
      <c r="IQG188" s="601"/>
      <c r="IQH188" s="601"/>
      <c r="IQI188" s="601"/>
      <c r="IQJ188" s="601"/>
      <c r="IQK188" s="601"/>
      <c r="IQL188" s="601"/>
      <c r="IQM188" s="601"/>
      <c r="IQN188" s="601"/>
      <c r="IQO188" s="601"/>
      <c r="IQP188" s="601"/>
      <c r="IQQ188" s="601"/>
      <c r="IQR188" s="601"/>
      <c r="IQS188" s="600" t="s">
        <v>646</v>
      </c>
      <c r="IQT188" s="601"/>
      <c r="IQU188" s="601"/>
      <c r="IQV188" s="601"/>
      <c r="IQW188" s="601"/>
      <c r="IQX188" s="601"/>
      <c r="IQY188" s="601"/>
      <c r="IQZ188" s="601"/>
      <c r="IRA188" s="601"/>
      <c r="IRB188" s="601"/>
      <c r="IRC188" s="601"/>
      <c r="IRD188" s="601"/>
      <c r="IRE188" s="601"/>
      <c r="IRF188" s="601"/>
      <c r="IRG188" s="601"/>
      <c r="IRH188" s="601"/>
      <c r="IRI188" s="600" t="s">
        <v>646</v>
      </c>
      <c r="IRJ188" s="601"/>
      <c r="IRK188" s="601"/>
      <c r="IRL188" s="601"/>
      <c r="IRM188" s="601"/>
      <c r="IRN188" s="601"/>
      <c r="IRO188" s="601"/>
      <c r="IRP188" s="601"/>
      <c r="IRQ188" s="601"/>
      <c r="IRR188" s="601"/>
      <c r="IRS188" s="601"/>
      <c r="IRT188" s="601"/>
      <c r="IRU188" s="601"/>
      <c r="IRV188" s="601"/>
      <c r="IRW188" s="601"/>
      <c r="IRX188" s="601"/>
      <c r="IRY188" s="600" t="s">
        <v>646</v>
      </c>
      <c r="IRZ188" s="601"/>
      <c r="ISA188" s="601"/>
      <c r="ISB188" s="601"/>
      <c r="ISC188" s="601"/>
      <c r="ISD188" s="601"/>
      <c r="ISE188" s="601"/>
      <c r="ISF188" s="601"/>
      <c r="ISG188" s="601"/>
      <c r="ISH188" s="601"/>
      <c r="ISI188" s="601"/>
      <c r="ISJ188" s="601"/>
      <c r="ISK188" s="601"/>
      <c r="ISL188" s="601"/>
      <c r="ISM188" s="601"/>
      <c r="ISN188" s="601"/>
      <c r="ISO188" s="600" t="s">
        <v>646</v>
      </c>
      <c r="ISP188" s="601"/>
      <c r="ISQ188" s="601"/>
      <c r="ISR188" s="601"/>
      <c r="ISS188" s="601"/>
      <c r="IST188" s="601"/>
      <c r="ISU188" s="601"/>
      <c r="ISV188" s="601"/>
      <c r="ISW188" s="601"/>
      <c r="ISX188" s="601"/>
      <c r="ISY188" s="601"/>
      <c r="ISZ188" s="601"/>
      <c r="ITA188" s="601"/>
      <c r="ITB188" s="601"/>
      <c r="ITC188" s="601"/>
      <c r="ITD188" s="601"/>
      <c r="ITE188" s="600" t="s">
        <v>646</v>
      </c>
      <c r="ITF188" s="601"/>
      <c r="ITG188" s="601"/>
      <c r="ITH188" s="601"/>
      <c r="ITI188" s="601"/>
      <c r="ITJ188" s="601"/>
      <c r="ITK188" s="601"/>
      <c r="ITL188" s="601"/>
      <c r="ITM188" s="601"/>
      <c r="ITN188" s="601"/>
      <c r="ITO188" s="601"/>
      <c r="ITP188" s="601"/>
      <c r="ITQ188" s="601"/>
      <c r="ITR188" s="601"/>
      <c r="ITS188" s="601"/>
      <c r="ITT188" s="601"/>
      <c r="ITU188" s="600" t="s">
        <v>646</v>
      </c>
      <c r="ITV188" s="601"/>
      <c r="ITW188" s="601"/>
      <c r="ITX188" s="601"/>
      <c r="ITY188" s="601"/>
      <c r="ITZ188" s="601"/>
      <c r="IUA188" s="601"/>
      <c r="IUB188" s="601"/>
      <c r="IUC188" s="601"/>
      <c r="IUD188" s="601"/>
      <c r="IUE188" s="601"/>
      <c r="IUF188" s="601"/>
      <c r="IUG188" s="601"/>
      <c r="IUH188" s="601"/>
      <c r="IUI188" s="601"/>
      <c r="IUJ188" s="601"/>
      <c r="IUK188" s="600" t="s">
        <v>646</v>
      </c>
      <c r="IUL188" s="601"/>
      <c r="IUM188" s="601"/>
      <c r="IUN188" s="601"/>
      <c r="IUO188" s="601"/>
      <c r="IUP188" s="601"/>
      <c r="IUQ188" s="601"/>
      <c r="IUR188" s="601"/>
      <c r="IUS188" s="601"/>
      <c r="IUT188" s="601"/>
      <c r="IUU188" s="601"/>
      <c r="IUV188" s="601"/>
      <c r="IUW188" s="601"/>
      <c r="IUX188" s="601"/>
      <c r="IUY188" s="601"/>
      <c r="IUZ188" s="601"/>
      <c r="IVA188" s="600" t="s">
        <v>646</v>
      </c>
      <c r="IVB188" s="601"/>
      <c r="IVC188" s="601"/>
      <c r="IVD188" s="601"/>
      <c r="IVE188" s="601"/>
      <c r="IVF188" s="601"/>
      <c r="IVG188" s="601"/>
      <c r="IVH188" s="601"/>
      <c r="IVI188" s="601"/>
      <c r="IVJ188" s="601"/>
      <c r="IVK188" s="601"/>
      <c r="IVL188" s="601"/>
      <c r="IVM188" s="601"/>
      <c r="IVN188" s="601"/>
      <c r="IVO188" s="601"/>
      <c r="IVP188" s="601"/>
      <c r="IVQ188" s="600" t="s">
        <v>646</v>
      </c>
      <c r="IVR188" s="601"/>
      <c r="IVS188" s="601"/>
      <c r="IVT188" s="601"/>
      <c r="IVU188" s="601"/>
      <c r="IVV188" s="601"/>
      <c r="IVW188" s="601"/>
      <c r="IVX188" s="601"/>
      <c r="IVY188" s="601"/>
      <c r="IVZ188" s="601"/>
      <c r="IWA188" s="601"/>
      <c r="IWB188" s="601"/>
      <c r="IWC188" s="601"/>
      <c r="IWD188" s="601"/>
      <c r="IWE188" s="601"/>
      <c r="IWF188" s="601"/>
      <c r="IWG188" s="600" t="s">
        <v>646</v>
      </c>
      <c r="IWH188" s="601"/>
      <c r="IWI188" s="601"/>
      <c r="IWJ188" s="601"/>
      <c r="IWK188" s="601"/>
      <c r="IWL188" s="601"/>
      <c r="IWM188" s="601"/>
      <c r="IWN188" s="601"/>
      <c r="IWO188" s="601"/>
      <c r="IWP188" s="601"/>
      <c r="IWQ188" s="601"/>
      <c r="IWR188" s="601"/>
      <c r="IWS188" s="601"/>
      <c r="IWT188" s="601"/>
      <c r="IWU188" s="601"/>
      <c r="IWV188" s="601"/>
      <c r="IWW188" s="600" t="s">
        <v>646</v>
      </c>
      <c r="IWX188" s="601"/>
      <c r="IWY188" s="601"/>
      <c r="IWZ188" s="601"/>
      <c r="IXA188" s="601"/>
      <c r="IXB188" s="601"/>
      <c r="IXC188" s="601"/>
      <c r="IXD188" s="601"/>
      <c r="IXE188" s="601"/>
      <c r="IXF188" s="601"/>
      <c r="IXG188" s="601"/>
      <c r="IXH188" s="601"/>
      <c r="IXI188" s="601"/>
      <c r="IXJ188" s="601"/>
      <c r="IXK188" s="601"/>
      <c r="IXL188" s="601"/>
      <c r="IXM188" s="600" t="s">
        <v>646</v>
      </c>
      <c r="IXN188" s="601"/>
      <c r="IXO188" s="601"/>
      <c r="IXP188" s="601"/>
      <c r="IXQ188" s="601"/>
      <c r="IXR188" s="601"/>
      <c r="IXS188" s="601"/>
      <c r="IXT188" s="601"/>
      <c r="IXU188" s="601"/>
      <c r="IXV188" s="601"/>
      <c r="IXW188" s="601"/>
      <c r="IXX188" s="601"/>
      <c r="IXY188" s="601"/>
      <c r="IXZ188" s="601"/>
      <c r="IYA188" s="601"/>
      <c r="IYB188" s="601"/>
      <c r="IYC188" s="600" t="s">
        <v>646</v>
      </c>
      <c r="IYD188" s="601"/>
      <c r="IYE188" s="601"/>
      <c r="IYF188" s="601"/>
      <c r="IYG188" s="601"/>
      <c r="IYH188" s="601"/>
      <c r="IYI188" s="601"/>
      <c r="IYJ188" s="601"/>
      <c r="IYK188" s="601"/>
      <c r="IYL188" s="601"/>
      <c r="IYM188" s="601"/>
      <c r="IYN188" s="601"/>
      <c r="IYO188" s="601"/>
      <c r="IYP188" s="601"/>
      <c r="IYQ188" s="601"/>
      <c r="IYR188" s="601"/>
      <c r="IYS188" s="600" t="s">
        <v>646</v>
      </c>
      <c r="IYT188" s="601"/>
      <c r="IYU188" s="601"/>
      <c r="IYV188" s="601"/>
      <c r="IYW188" s="601"/>
      <c r="IYX188" s="601"/>
      <c r="IYY188" s="601"/>
      <c r="IYZ188" s="601"/>
      <c r="IZA188" s="601"/>
      <c r="IZB188" s="601"/>
      <c r="IZC188" s="601"/>
      <c r="IZD188" s="601"/>
      <c r="IZE188" s="601"/>
      <c r="IZF188" s="601"/>
      <c r="IZG188" s="601"/>
      <c r="IZH188" s="601"/>
      <c r="IZI188" s="600" t="s">
        <v>646</v>
      </c>
      <c r="IZJ188" s="601"/>
      <c r="IZK188" s="601"/>
      <c r="IZL188" s="601"/>
      <c r="IZM188" s="601"/>
      <c r="IZN188" s="601"/>
      <c r="IZO188" s="601"/>
      <c r="IZP188" s="601"/>
      <c r="IZQ188" s="601"/>
      <c r="IZR188" s="601"/>
      <c r="IZS188" s="601"/>
      <c r="IZT188" s="601"/>
      <c r="IZU188" s="601"/>
      <c r="IZV188" s="601"/>
      <c r="IZW188" s="601"/>
      <c r="IZX188" s="601"/>
      <c r="IZY188" s="600" t="s">
        <v>646</v>
      </c>
      <c r="IZZ188" s="601"/>
      <c r="JAA188" s="601"/>
      <c r="JAB188" s="601"/>
      <c r="JAC188" s="601"/>
      <c r="JAD188" s="601"/>
      <c r="JAE188" s="601"/>
      <c r="JAF188" s="601"/>
      <c r="JAG188" s="601"/>
      <c r="JAH188" s="601"/>
      <c r="JAI188" s="601"/>
      <c r="JAJ188" s="601"/>
      <c r="JAK188" s="601"/>
      <c r="JAL188" s="601"/>
      <c r="JAM188" s="601"/>
      <c r="JAN188" s="601"/>
      <c r="JAO188" s="600" t="s">
        <v>646</v>
      </c>
      <c r="JAP188" s="601"/>
      <c r="JAQ188" s="601"/>
      <c r="JAR188" s="601"/>
      <c r="JAS188" s="601"/>
      <c r="JAT188" s="601"/>
      <c r="JAU188" s="601"/>
      <c r="JAV188" s="601"/>
      <c r="JAW188" s="601"/>
      <c r="JAX188" s="601"/>
      <c r="JAY188" s="601"/>
      <c r="JAZ188" s="601"/>
      <c r="JBA188" s="601"/>
      <c r="JBB188" s="601"/>
      <c r="JBC188" s="601"/>
      <c r="JBD188" s="601"/>
      <c r="JBE188" s="600" t="s">
        <v>646</v>
      </c>
      <c r="JBF188" s="601"/>
      <c r="JBG188" s="601"/>
      <c r="JBH188" s="601"/>
      <c r="JBI188" s="601"/>
      <c r="JBJ188" s="601"/>
      <c r="JBK188" s="601"/>
      <c r="JBL188" s="601"/>
      <c r="JBM188" s="601"/>
      <c r="JBN188" s="601"/>
      <c r="JBO188" s="601"/>
      <c r="JBP188" s="601"/>
      <c r="JBQ188" s="601"/>
      <c r="JBR188" s="601"/>
      <c r="JBS188" s="601"/>
      <c r="JBT188" s="601"/>
      <c r="JBU188" s="600" t="s">
        <v>646</v>
      </c>
      <c r="JBV188" s="601"/>
      <c r="JBW188" s="601"/>
      <c r="JBX188" s="601"/>
      <c r="JBY188" s="601"/>
      <c r="JBZ188" s="601"/>
      <c r="JCA188" s="601"/>
      <c r="JCB188" s="601"/>
      <c r="JCC188" s="601"/>
      <c r="JCD188" s="601"/>
      <c r="JCE188" s="601"/>
      <c r="JCF188" s="601"/>
      <c r="JCG188" s="601"/>
      <c r="JCH188" s="601"/>
      <c r="JCI188" s="601"/>
      <c r="JCJ188" s="601"/>
      <c r="JCK188" s="600" t="s">
        <v>646</v>
      </c>
      <c r="JCL188" s="601"/>
      <c r="JCM188" s="601"/>
      <c r="JCN188" s="601"/>
      <c r="JCO188" s="601"/>
      <c r="JCP188" s="601"/>
      <c r="JCQ188" s="601"/>
      <c r="JCR188" s="601"/>
      <c r="JCS188" s="601"/>
      <c r="JCT188" s="601"/>
      <c r="JCU188" s="601"/>
      <c r="JCV188" s="601"/>
      <c r="JCW188" s="601"/>
      <c r="JCX188" s="601"/>
      <c r="JCY188" s="601"/>
      <c r="JCZ188" s="601"/>
      <c r="JDA188" s="600" t="s">
        <v>646</v>
      </c>
      <c r="JDB188" s="601"/>
      <c r="JDC188" s="601"/>
      <c r="JDD188" s="601"/>
      <c r="JDE188" s="601"/>
      <c r="JDF188" s="601"/>
      <c r="JDG188" s="601"/>
      <c r="JDH188" s="601"/>
      <c r="JDI188" s="601"/>
      <c r="JDJ188" s="601"/>
      <c r="JDK188" s="601"/>
      <c r="JDL188" s="601"/>
      <c r="JDM188" s="601"/>
      <c r="JDN188" s="601"/>
      <c r="JDO188" s="601"/>
      <c r="JDP188" s="601"/>
      <c r="JDQ188" s="600" t="s">
        <v>646</v>
      </c>
      <c r="JDR188" s="601"/>
      <c r="JDS188" s="601"/>
      <c r="JDT188" s="601"/>
      <c r="JDU188" s="601"/>
      <c r="JDV188" s="601"/>
      <c r="JDW188" s="601"/>
      <c r="JDX188" s="601"/>
      <c r="JDY188" s="601"/>
      <c r="JDZ188" s="601"/>
      <c r="JEA188" s="601"/>
      <c r="JEB188" s="601"/>
      <c r="JEC188" s="601"/>
      <c r="JED188" s="601"/>
      <c r="JEE188" s="601"/>
      <c r="JEF188" s="601"/>
      <c r="JEG188" s="600" t="s">
        <v>646</v>
      </c>
      <c r="JEH188" s="601"/>
      <c r="JEI188" s="601"/>
      <c r="JEJ188" s="601"/>
      <c r="JEK188" s="601"/>
      <c r="JEL188" s="601"/>
      <c r="JEM188" s="601"/>
      <c r="JEN188" s="601"/>
      <c r="JEO188" s="601"/>
      <c r="JEP188" s="601"/>
      <c r="JEQ188" s="601"/>
      <c r="JER188" s="601"/>
      <c r="JES188" s="601"/>
      <c r="JET188" s="601"/>
      <c r="JEU188" s="601"/>
      <c r="JEV188" s="601"/>
      <c r="JEW188" s="600" t="s">
        <v>646</v>
      </c>
      <c r="JEX188" s="601"/>
      <c r="JEY188" s="601"/>
      <c r="JEZ188" s="601"/>
      <c r="JFA188" s="601"/>
      <c r="JFB188" s="601"/>
      <c r="JFC188" s="601"/>
      <c r="JFD188" s="601"/>
      <c r="JFE188" s="601"/>
      <c r="JFF188" s="601"/>
      <c r="JFG188" s="601"/>
      <c r="JFH188" s="601"/>
      <c r="JFI188" s="601"/>
      <c r="JFJ188" s="601"/>
      <c r="JFK188" s="601"/>
      <c r="JFL188" s="601"/>
      <c r="JFM188" s="600" t="s">
        <v>646</v>
      </c>
      <c r="JFN188" s="601"/>
      <c r="JFO188" s="601"/>
      <c r="JFP188" s="601"/>
      <c r="JFQ188" s="601"/>
      <c r="JFR188" s="601"/>
      <c r="JFS188" s="601"/>
      <c r="JFT188" s="601"/>
      <c r="JFU188" s="601"/>
      <c r="JFV188" s="601"/>
      <c r="JFW188" s="601"/>
      <c r="JFX188" s="601"/>
      <c r="JFY188" s="601"/>
      <c r="JFZ188" s="601"/>
      <c r="JGA188" s="601"/>
      <c r="JGB188" s="601"/>
      <c r="JGC188" s="600" t="s">
        <v>646</v>
      </c>
      <c r="JGD188" s="601"/>
      <c r="JGE188" s="601"/>
      <c r="JGF188" s="601"/>
      <c r="JGG188" s="601"/>
      <c r="JGH188" s="601"/>
      <c r="JGI188" s="601"/>
      <c r="JGJ188" s="601"/>
      <c r="JGK188" s="601"/>
      <c r="JGL188" s="601"/>
      <c r="JGM188" s="601"/>
      <c r="JGN188" s="601"/>
      <c r="JGO188" s="601"/>
      <c r="JGP188" s="601"/>
      <c r="JGQ188" s="601"/>
      <c r="JGR188" s="601"/>
      <c r="JGS188" s="600" t="s">
        <v>646</v>
      </c>
      <c r="JGT188" s="601"/>
      <c r="JGU188" s="601"/>
      <c r="JGV188" s="601"/>
      <c r="JGW188" s="601"/>
      <c r="JGX188" s="601"/>
      <c r="JGY188" s="601"/>
      <c r="JGZ188" s="601"/>
      <c r="JHA188" s="601"/>
      <c r="JHB188" s="601"/>
      <c r="JHC188" s="601"/>
      <c r="JHD188" s="601"/>
      <c r="JHE188" s="601"/>
      <c r="JHF188" s="601"/>
      <c r="JHG188" s="601"/>
      <c r="JHH188" s="601"/>
      <c r="JHI188" s="600" t="s">
        <v>646</v>
      </c>
      <c r="JHJ188" s="601"/>
      <c r="JHK188" s="601"/>
      <c r="JHL188" s="601"/>
      <c r="JHM188" s="601"/>
      <c r="JHN188" s="601"/>
      <c r="JHO188" s="601"/>
      <c r="JHP188" s="601"/>
      <c r="JHQ188" s="601"/>
      <c r="JHR188" s="601"/>
      <c r="JHS188" s="601"/>
      <c r="JHT188" s="601"/>
      <c r="JHU188" s="601"/>
      <c r="JHV188" s="601"/>
      <c r="JHW188" s="601"/>
      <c r="JHX188" s="601"/>
      <c r="JHY188" s="600" t="s">
        <v>646</v>
      </c>
      <c r="JHZ188" s="601"/>
      <c r="JIA188" s="601"/>
      <c r="JIB188" s="601"/>
      <c r="JIC188" s="601"/>
      <c r="JID188" s="601"/>
      <c r="JIE188" s="601"/>
      <c r="JIF188" s="601"/>
      <c r="JIG188" s="601"/>
      <c r="JIH188" s="601"/>
      <c r="JII188" s="601"/>
      <c r="JIJ188" s="601"/>
      <c r="JIK188" s="601"/>
      <c r="JIL188" s="601"/>
      <c r="JIM188" s="601"/>
      <c r="JIN188" s="601"/>
      <c r="JIO188" s="600" t="s">
        <v>646</v>
      </c>
      <c r="JIP188" s="601"/>
      <c r="JIQ188" s="601"/>
      <c r="JIR188" s="601"/>
      <c r="JIS188" s="601"/>
      <c r="JIT188" s="601"/>
      <c r="JIU188" s="601"/>
      <c r="JIV188" s="601"/>
      <c r="JIW188" s="601"/>
      <c r="JIX188" s="601"/>
      <c r="JIY188" s="601"/>
      <c r="JIZ188" s="601"/>
      <c r="JJA188" s="601"/>
      <c r="JJB188" s="601"/>
      <c r="JJC188" s="601"/>
      <c r="JJD188" s="601"/>
      <c r="JJE188" s="600" t="s">
        <v>646</v>
      </c>
      <c r="JJF188" s="601"/>
      <c r="JJG188" s="601"/>
      <c r="JJH188" s="601"/>
      <c r="JJI188" s="601"/>
      <c r="JJJ188" s="601"/>
      <c r="JJK188" s="601"/>
      <c r="JJL188" s="601"/>
      <c r="JJM188" s="601"/>
      <c r="JJN188" s="601"/>
      <c r="JJO188" s="601"/>
      <c r="JJP188" s="601"/>
      <c r="JJQ188" s="601"/>
      <c r="JJR188" s="601"/>
      <c r="JJS188" s="601"/>
      <c r="JJT188" s="601"/>
      <c r="JJU188" s="600" t="s">
        <v>646</v>
      </c>
      <c r="JJV188" s="601"/>
      <c r="JJW188" s="601"/>
      <c r="JJX188" s="601"/>
      <c r="JJY188" s="601"/>
      <c r="JJZ188" s="601"/>
      <c r="JKA188" s="601"/>
      <c r="JKB188" s="601"/>
      <c r="JKC188" s="601"/>
      <c r="JKD188" s="601"/>
      <c r="JKE188" s="601"/>
      <c r="JKF188" s="601"/>
      <c r="JKG188" s="601"/>
      <c r="JKH188" s="601"/>
      <c r="JKI188" s="601"/>
      <c r="JKJ188" s="601"/>
      <c r="JKK188" s="600" t="s">
        <v>646</v>
      </c>
      <c r="JKL188" s="601"/>
      <c r="JKM188" s="601"/>
      <c r="JKN188" s="601"/>
      <c r="JKO188" s="601"/>
      <c r="JKP188" s="601"/>
      <c r="JKQ188" s="601"/>
      <c r="JKR188" s="601"/>
      <c r="JKS188" s="601"/>
      <c r="JKT188" s="601"/>
      <c r="JKU188" s="601"/>
      <c r="JKV188" s="601"/>
      <c r="JKW188" s="601"/>
      <c r="JKX188" s="601"/>
      <c r="JKY188" s="601"/>
      <c r="JKZ188" s="601"/>
      <c r="JLA188" s="600" t="s">
        <v>646</v>
      </c>
      <c r="JLB188" s="601"/>
      <c r="JLC188" s="601"/>
      <c r="JLD188" s="601"/>
      <c r="JLE188" s="601"/>
      <c r="JLF188" s="601"/>
      <c r="JLG188" s="601"/>
      <c r="JLH188" s="601"/>
      <c r="JLI188" s="601"/>
      <c r="JLJ188" s="601"/>
      <c r="JLK188" s="601"/>
      <c r="JLL188" s="601"/>
      <c r="JLM188" s="601"/>
      <c r="JLN188" s="601"/>
      <c r="JLO188" s="601"/>
      <c r="JLP188" s="601"/>
      <c r="JLQ188" s="600" t="s">
        <v>646</v>
      </c>
      <c r="JLR188" s="601"/>
      <c r="JLS188" s="601"/>
      <c r="JLT188" s="601"/>
      <c r="JLU188" s="601"/>
      <c r="JLV188" s="601"/>
      <c r="JLW188" s="601"/>
      <c r="JLX188" s="601"/>
      <c r="JLY188" s="601"/>
      <c r="JLZ188" s="601"/>
      <c r="JMA188" s="601"/>
      <c r="JMB188" s="601"/>
      <c r="JMC188" s="601"/>
      <c r="JMD188" s="601"/>
      <c r="JME188" s="601"/>
      <c r="JMF188" s="601"/>
      <c r="JMG188" s="600" t="s">
        <v>646</v>
      </c>
      <c r="JMH188" s="601"/>
      <c r="JMI188" s="601"/>
      <c r="JMJ188" s="601"/>
      <c r="JMK188" s="601"/>
      <c r="JML188" s="601"/>
      <c r="JMM188" s="601"/>
      <c r="JMN188" s="601"/>
      <c r="JMO188" s="601"/>
      <c r="JMP188" s="601"/>
      <c r="JMQ188" s="601"/>
      <c r="JMR188" s="601"/>
      <c r="JMS188" s="601"/>
      <c r="JMT188" s="601"/>
      <c r="JMU188" s="601"/>
      <c r="JMV188" s="601"/>
      <c r="JMW188" s="600" t="s">
        <v>646</v>
      </c>
      <c r="JMX188" s="601"/>
      <c r="JMY188" s="601"/>
      <c r="JMZ188" s="601"/>
      <c r="JNA188" s="601"/>
      <c r="JNB188" s="601"/>
      <c r="JNC188" s="601"/>
      <c r="JND188" s="601"/>
      <c r="JNE188" s="601"/>
      <c r="JNF188" s="601"/>
      <c r="JNG188" s="601"/>
      <c r="JNH188" s="601"/>
      <c r="JNI188" s="601"/>
      <c r="JNJ188" s="601"/>
      <c r="JNK188" s="601"/>
      <c r="JNL188" s="601"/>
      <c r="JNM188" s="600" t="s">
        <v>646</v>
      </c>
      <c r="JNN188" s="601"/>
      <c r="JNO188" s="601"/>
      <c r="JNP188" s="601"/>
      <c r="JNQ188" s="601"/>
      <c r="JNR188" s="601"/>
      <c r="JNS188" s="601"/>
      <c r="JNT188" s="601"/>
      <c r="JNU188" s="601"/>
      <c r="JNV188" s="601"/>
      <c r="JNW188" s="601"/>
      <c r="JNX188" s="601"/>
      <c r="JNY188" s="601"/>
      <c r="JNZ188" s="601"/>
      <c r="JOA188" s="601"/>
      <c r="JOB188" s="601"/>
      <c r="JOC188" s="600" t="s">
        <v>646</v>
      </c>
      <c r="JOD188" s="601"/>
      <c r="JOE188" s="601"/>
      <c r="JOF188" s="601"/>
      <c r="JOG188" s="601"/>
      <c r="JOH188" s="601"/>
      <c r="JOI188" s="601"/>
      <c r="JOJ188" s="601"/>
      <c r="JOK188" s="601"/>
      <c r="JOL188" s="601"/>
      <c r="JOM188" s="601"/>
      <c r="JON188" s="601"/>
      <c r="JOO188" s="601"/>
      <c r="JOP188" s="601"/>
      <c r="JOQ188" s="601"/>
      <c r="JOR188" s="601"/>
      <c r="JOS188" s="600" t="s">
        <v>646</v>
      </c>
      <c r="JOT188" s="601"/>
      <c r="JOU188" s="601"/>
      <c r="JOV188" s="601"/>
      <c r="JOW188" s="601"/>
      <c r="JOX188" s="601"/>
      <c r="JOY188" s="601"/>
      <c r="JOZ188" s="601"/>
      <c r="JPA188" s="601"/>
      <c r="JPB188" s="601"/>
      <c r="JPC188" s="601"/>
      <c r="JPD188" s="601"/>
      <c r="JPE188" s="601"/>
      <c r="JPF188" s="601"/>
      <c r="JPG188" s="601"/>
      <c r="JPH188" s="601"/>
      <c r="JPI188" s="600" t="s">
        <v>646</v>
      </c>
      <c r="JPJ188" s="601"/>
      <c r="JPK188" s="601"/>
      <c r="JPL188" s="601"/>
      <c r="JPM188" s="601"/>
      <c r="JPN188" s="601"/>
      <c r="JPO188" s="601"/>
      <c r="JPP188" s="601"/>
      <c r="JPQ188" s="601"/>
      <c r="JPR188" s="601"/>
      <c r="JPS188" s="601"/>
      <c r="JPT188" s="601"/>
      <c r="JPU188" s="601"/>
      <c r="JPV188" s="601"/>
      <c r="JPW188" s="601"/>
      <c r="JPX188" s="601"/>
      <c r="JPY188" s="600" t="s">
        <v>646</v>
      </c>
      <c r="JPZ188" s="601"/>
      <c r="JQA188" s="601"/>
      <c r="JQB188" s="601"/>
      <c r="JQC188" s="601"/>
      <c r="JQD188" s="601"/>
      <c r="JQE188" s="601"/>
      <c r="JQF188" s="601"/>
      <c r="JQG188" s="601"/>
      <c r="JQH188" s="601"/>
      <c r="JQI188" s="601"/>
      <c r="JQJ188" s="601"/>
      <c r="JQK188" s="601"/>
      <c r="JQL188" s="601"/>
      <c r="JQM188" s="601"/>
      <c r="JQN188" s="601"/>
      <c r="JQO188" s="600" t="s">
        <v>646</v>
      </c>
      <c r="JQP188" s="601"/>
      <c r="JQQ188" s="601"/>
      <c r="JQR188" s="601"/>
      <c r="JQS188" s="601"/>
      <c r="JQT188" s="601"/>
      <c r="JQU188" s="601"/>
      <c r="JQV188" s="601"/>
      <c r="JQW188" s="601"/>
      <c r="JQX188" s="601"/>
      <c r="JQY188" s="601"/>
      <c r="JQZ188" s="601"/>
      <c r="JRA188" s="601"/>
      <c r="JRB188" s="601"/>
      <c r="JRC188" s="601"/>
      <c r="JRD188" s="601"/>
      <c r="JRE188" s="600" t="s">
        <v>646</v>
      </c>
      <c r="JRF188" s="601"/>
      <c r="JRG188" s="601"/>
      <c r="JRH188" s="601"/>
      <c r="JRI188" s="601"/>
      <c r="JRJ188" s="601"/>
      <c r="JRK188" s="601"/>
      <c r="JRL188" s="601"/>
      <c r="JRM188" s="601"/>
      <c r="JRN188" s="601"/>
      <c r="JRO188" s="601"/>
      <c r="JRP188" s="601"/>
      <c r="JRQ188" s="601"/>
      <c r="JRR188" s="601"/>
      <c r="JRS188" s="601"/>
      <c r="JRT188" s="601"/>
      <c r="JRU188" s="600" t="s">
        <v>646</v>
      </c>
      <c r="JRV188" s="601"/>
      <c r="JRW188" s="601"/>
      <c r="JRX188" s="601"/>
      <c r="JRY188" s="601"/>
      <c r="JRZ188" s="601"/>
      <c r="JSA188" s="601"/>
      <c r="JSB188" s="601"/>
      <c r="JSC188" s="601"/>
      <c r="JSD188" s="601"/>
      <c r="JSE188" s="601"/>
      <c r="JSF188" s="601"/>
      <c r="JSG188" s="601"/>
      <c r="JSH188" s="601"/>
      <c r="JSI188" s="601"/>
      <c r="JSJ188" s="601"/>
      <c r="JSK188" s="600" t="s">
        <v>646</v>
      </c>
      <c r="JSL188" s="601"/>
      <c r="JSM188" s="601"/>
      <c r="JSN188" s="601"/>
      <c r="JSO188" s="601"/>
      <c r="JSP188" s="601"/>
      <c r="JSQ188" s="601"/>
      <c r="JSR188" s="601"/>
      <c r="JSS188" s="601"/>
      <c r="JST188" s="601"/>
      <c r="JSU188" s="601"/>
      <c r="JSV188" s="601"/>
      <c r="JSW188" s="601"/>
      <c r="JSX188" s="601"/>
      <c r="JSY188" s="601"/>
      <c r="JSZ188" s="601"/>
      <c r="JTA188" s="600" t="s">
        <v>646</v>
      </c>
      <c r="JTB188" s="601"/>
      <c r="JTC188" s="601"/>
      <c r="JTD188" s="601"/>
      <c r="JTE188" s="601"/>
      <c r="JTF188" s="601"/>
      <c r="JTG188" s="601"/>
      <c r="JTH188" s="601"/>
      <c r="JTI188" s="601"/>
      <c r="JTJ188" s="601"/>
      <c r="JTK188" s="601"/>
      <c r="JTL188" s="601"/>
      <c r="JTM188" s="601"/>
      <c r="JTN188" s="601"/>
      <c r="JTO188" s="601"/>
      <c r="JTP188" s="601"/>
      <c r="JTQ188" s="600" t="s">
        <v>646</v>
      </c>
      <c r="JTR188" s="601"/>
      <c r="JTS188" s="601"/>
      <c r="JTT188" s="601"/>
      <c r="JTU188" s="601"/>
      <c r="JTV188" s="601"/>
      <c r="JTW188" s="601"/>
      <c r="JTX188" s="601"/>
      <c r="JTY188" s="601"/>
      <c r="JTZ188" s="601"/>
      <c r="JUA188" s="601"/>
      <c r="JUB188" s="601"/>
      <c r="JUC188" s="601"/>
      <c r="JUD188" s="601"/>
      <c r="JUE188" s="601"/>
      <c r="JUF188" s="601"/>
      <c r="JUG188" s="600" t="s">
        <v>646</v>
      </c>
      <c r="JUH188" s="601"/>
      <c r="JUI188" s="601"/>
      <c r="JUJ188" s="601"/>
      <c r="JUK188" s="601"/>
      <c r="JUL188" s="601"/>
      <c r="JUM188" s="601"/>
      <c r="JUN188" s="601"/>
      <c r="JUO188" s="601"/>
      <c r="JUP188" s="601"/>
      <c r="JUQ188" s="601"/>
      <c r="JUR188" s="601"/>
      <c r="JUS188" s="601"/>
      <c r="JUT188" s="601"/>
      <c r="JUU188" s="601"/>
      <c r="JUV188" s="601"/>
      <c r="JUW188" s="600" t="s">
        <v>646</v>
      </c>
      <c r="JUX188" s="601"/>
      <c r="JUY188" s="601"/>
      <c r="JUZ188" s="601"/>
      <c r="JVA188" s="601"/>
      <c r="JVB188" s="601"/>
      <c r="JVC188" s="601"/>
      <c r="JVD188" s="601"/>
      <c r="JVE188" s="601"/>
      <c r="JVF188" s="601"/>
      <c r="JVG188" s="601"/>
      <c r="JVH188" s="601"/>
      <c r="JVI188" s="601"/>
      <c r="JVJ188" s="601"/>
      <c r="JVK188" s="601"/>
      <c r="JVL188" s="601"/>
      <c r="JVM188" s="600" t="s">
        <v>646</v>
      </c>
      <c r="JVN188" s="601"/>
      <c r="JVO188" s="601"/>
      <c r="JVP188" s="601"/>
      <c r="JVQ188" s="601"/>
      <c r="JVR188" s="601"/>
      <c r="JVS188" s="601"/>
      <c r="JVT188" s="601"/>
      <c r="JVU188" s="601"/>
      <c r="JVV188" s="601"/>
      <c r="JVW188" s="601"/>
      <c r="JVX188" s="601"/>
      <c r="JVY188" s="601"/>
      <c r="JVZ188" s="601"/>
      <c r="JWA188" s="601"/>
      <c r="JWB188" s="601"/>
      <c r="JWC188" s="600" t="s">
        <v>646</v>
      </c>
      <c r="JWD188" s="601"/>
      <c r="JWE188" s="601"/>
      <c r="JWF188" s="601"/>
      <c r="JWG188" s="601"/>
      <c r="JWH188" s="601"/>
      <c r="JWI188" s="601"/>
      <c r="JWJ188" s="601"/>
      <c r="JWK188" s="601"/>
      <c r="JWL188" s="601"/>
      <c r="JWM188" s="601"/>
      <c r="JWN188" s="601"/>
      <c r="JWO188" s="601"/>
      <c r="JWP188" s="601"/>
      <c r="JWQ188" s="601"/>
      <c r="JWR188" s="601"/>
      <c r="JWS188" s="600" t="s">
        <v>646</v>
      </c>
      <c r="JWT188" s="601"/>
      <c r="JWU188" s="601"/>
      <c r="JWV188" s="601"/>
      <c r="JWW188" s="601"/>
      <c r="JWX188" s="601"/>
      <c r="JWY188" s="601"/>
      <c r="JWZ188" s="601"/>
      <c r="JXA188" s="601"/>
      <c r="JXB188" s="601"/>
      <c r="JXC188" s="601"/>
      <c r="JXD188" s="601"/>
      <c r="JXE188" s="601"/>
      <c r="JXF188" s="601"/>
      <c r="JXG188" s="601"/>
      <c r="JXH188" s="601"/>
      <c r="JXI188" s="600" t="s">
        <v>646</v>
      </c>
      <c r="JXJ188" s="601"/>
      <c r="JXK188" s="601"/>
      <c r="JXL188" s="601"/>
      <c r="JXM188" s="601"/>
      <c r="JXN188" s="601"/>
      <c r="JXO188" s="601"/>
      <c r="JXP188" s="601"/>
      <c r="JXQ188" s="601"/>
      <c r="JXR188" s="601"/>
      <c r="JXS188" s="601"/>
      <c r="JXT188" s="601"/>
      <c r="JXU188" s="601"/>
      <c r="JXV188" s="601"/>
      <c r="JXW188" s="601"/>
      <c r="JXX188" s="601"/>
      <c r="JXY188" s="600" t="s">
        <v>646</v>
      </c>
      <c r="JXZ188" s="601"/>
      <c r="JYA188" s="601"/>
      <c r="JYB188" s="601"/>
      <c r="JYC188" s="601"/>
      <c r="JYD188" s="601"/>
      <c r="JYE188" s="601"/>
      <c r="JYF188" s="601"/>
      <c r="JYG188" s="601"/>
      <c r="JYH188" s="601"/>
      <c r="JYI188" s="601"/>
      <c r="JYJ188" s="601"/>
      <c r="JYK188" s="601"/>
      <c r="JYL188" s="601"/>
      <c r="JYM188" s="601"/>
      <c r="JYN188" s="601"/>
      <c r="JYO188" s="600" t="s">
        <v>646</v>
      </c>
      <c r="JYP188" s="601"/>
      <c r="JYQ188" s="601"/>
      <c r="JYR188" s="601"/>
      <c r="JYS188" s="601"/>
      <c r="JYT188" s="601"/>
      <c r="JYU188" s="601"/>
      <c r="JYV188" s="601"/>
      <c r="JYW188" s="601"/>
      <c r="JYX188" s="601"/>
      <c r="JYY188" s="601"/>
      <c r="JYZ188" s="601"/>
      <c r="JZA188" s="601"/>
      <c r="JZB188" s="601"/>
      <c r="JZC188" s="601"/>
      <c r="JZD188" s="601"/>
      <c r="JZE188" s="600" t="s">
        <v>646</v>
      </c>
      <c r="JZF188" s="601"/>
      <c r="JZG188" s="601"/>
      <c r="JZH188" s="601"/>
      <c r="JZI188" s="601"/>
      <c r="JZJ188" s="601"/>
      <c r="JZK188" s="601"/>
      <c r="JZL188" s="601"/>
      <c r="JZM188" s="601"/>
      <c r="JZN188" s="601"/>
      <c r="JZO188" s="601"/>
      <c r="JZP188" s="601"/>
      <c r="JZQ188" s="601"/>
      <c r="JZR188" s="601"/>
      <c r="JZS188" s="601"/>
      <c r="JZT188" s="601"/>
      <c r="JZU188" s="600" t="s">
        <v>646</v>
      </c>
      <c r="JZV188" s="601"/>
      <c r="JZW188" s="601"/>
      <c r="JZX188" s="601"/>
      <c r="JZY188" s="601"/>
      <c r="JZZ188" s="601"/>
      <c r="KAA188" s="601"/>
      <c r="KAB188" s="601"/>
      <c r="KAC188" s="601"/>
      <c r="KAD188" s="601"/>
      <c r="KAE188" s="601"/>
      <c r="KAF188" s="601"/>
      <c r="KAG188" s="601"/>
      <c r="KAH188" s="601"/>
      <c r="KAI188" s="601"/>
      <c r="KAJ188" s="601"/>
      <c r="KAK188" s="600" t="s">
        <v>646</v>
      </c>
      <c r="KAL188" s="601"/>
      <c r="KAM188" s="601"/>
      <c r="KAN188" s="601"/>
      <c r="KAO188" s="601"/>
      <c r="KAP188" s="601"/>
      <c r="KAQ188" s="601"/>
      <c r="KAR188" s="601"/>
      <c r="KAS188" s="601"/>
      <c r="KAT188" s="601"/>
      <c r="KAU188" s="601"/>
      <c r="KAV188" s="601"/>
      <c r="KAW188" s="601"/>
      <c r="KAX188" s="601"/>
      <c r="KAY188" s="601"/>
      <c r="KAZ188" s="601"/>
      <c r="KBA188" s="600" t="s">
        <v>646</v>
      </c>
      <c r="KBB188" s="601"/>
      <c r="KBC188" s="601"/>
      <c r="KBD188" s="601"/>
      <c r="KBE188" s="601"/>
      <c r="KBF188" s="601"/>
      <c r="KBG188" s="601"/>
      <c r="KBH188" s="601"/>
      <c r="KBI188" s="601"/>
      <c r="KBJ188" s="601"/>
      <c r="KBK188" s="601"/>
      <c r="KBL188" s="601"/>
      <c r="KBM188" s="601"/>
      <c r="KBN188" s="601"/>
      <c r="KBO188" s="601"/>
      <c r="KBP188" s="601"/>
      <c r="KBQ188" s="600" t="s">
        <v>646</v>
      </c>
      <c r="KBR188" s="601"/>
      <c r="KBS188" s="601"/>
      <c r="KBT188" s="601"/>
      <c r="KBU188" s="601"/>
      <c r="KBV188" s="601"/>
      <c r="KBW188" s="601"/>
      <c r="KBX188" s="601"/>
      <c r="KBY188" s="601"/>
      <c r="KBZ188" s="601"/>
      <c r="KCA188" s="601"/>
      <c r="KCB188" s="601"/>
      <c r="KCC188" s="601"/>
      <c r="KCD188" s="601"/>
      <c r="KCE188" s="601"/>
      <c r="KCF188" s="601"/>
      <c r="KCG188" s="600" t="s">
        <v>646</v>
      </c>
      <c r="KCH188" s="601"/>
      <c r="KCI188" s="601"/>
      <c r="KCJ188" s="601"/>
      <c r="KCK188" s="601"/>
      <c r="KCL188" s="601"/>
      <c r="KCM188" s="601"/>
      <c r="KCN188" s="601"/>
      <c r="KCO188" s="601"/>
      <c r="KCP188" s="601"/>
      <c r="KCQ188" s="601"/>
      <c r="KCR188" s="601"/>
      <c r="KCS188" s="601"/>
      <c r="KCT188" s="601"/>
      <c r="KCU188" s="601"/>
      <c r="KCV188" s="601"/>
      <c r="KCW188" s="600" t="s">
        <v>646</v>
      </c>
      <c r="KCX188" s="601"/>
      <c r="KCY188" s="601"/>
      <c r="KCZ188" s="601"/>
      <c r="KDA188" s="601"/>
      <c r="KDB188" s="601"/>
      <c r="KDC188" s="601"/>
      <c r="KDD188" s="601"/>
      <c r="KDE188" s="601"/>
      <c r="KDF188" s="601"/>
      <c r="KDG188" s="601"/>
      <c r="KDH188" s="601"/>
      <c r="KDI188" s="601"/>
      <c r="KDJ188" s="601"/>
      <c r="KDK188" s="601"/>
      <c r="KDL188" s="601"/>
      <c r="KDM188" s="600" t="s">
        <v>646</v>
      </c>
      <c r="KDN188" s="601"/>
      <c r="KDO188" s="601"/>
      <c r="KDP188" s="601"/>
      <c r="KDQ188" s="601"/>
      <c r="KDR188" s="601"/>
      <c r="KDS188" s="601"/>
      <c r="KDT188" s="601"/>
      <c r="KDU188" s="601"/>
      <c r="KDV188" s="601"/>
      <c r="KDW188" s="601"/>
      <c r="KDX188" s="601"/>
      <c r="KDY188" s="601"/>
      <c r="KDZ188" s="601"/>
      <c r="KEA188" s="601"/>
      <c r="KEB188" s="601"/>
      <c r="KEC188" s="600" t="s">
        <v>646</v>
      </c>
      <c r="KED188" s="601"/>
      <c r="KEE188" s="601"/>
      <c r="KEF188" s="601"/>
      <c r="KEG188" s="601"/>
      <c r="KEH188" s="601"/>
      <c r="KEI188" s="601"/>
      <c r="KEJ188" s="601"/>
      <c r="KEK188" s="601"/>
      <c r="KEL188" s="601"/>
      <c r="KEM188" s="601"/>
      <c r="KEN188" s="601"/>
      <c r="KEO188" s="601"/>
      <c r="KEP188" s="601"/>
      <c r="KEQ188" s="601"/>
      <c r="KER188" s="601"/>
      <c r="KES188" s="600" t="s">
        <v>646</v>
      </c>
      <c r="KET188" s="601"/>
      <c r="KEU188" s="601"/>
      <c r="KEV188" s="601"/>
      <c r="KEW188" s="601"/>
      <c r="KEX188" s="601"/>
      <c r="KEY188" s="601"/>
      <c r="KEZ188" s="601"/>
      <c r="KFA188" s="601"/>
      <c r="KFB188" s="601"/>
      <c r="KFC188" s="601"/>
      <c r="KFD188" s="601"/>
      <c r="KFE188" s="601"/>
      <c r="KFF188" s="601"/>
      <c r="KFG188" s="601"/>
      <c r="KFH188" s="601"/>
      <c r="KFI188" s="600" t="s">
        <v>646</v>
      </c>
      <c r="KFJ188" s="601"/>
      <c r="KFK188" s="601"/>
      <c r="KFL188" s="601"/>
      <c r="KFM188" s="601"/>
      <c r="KFN188" s="601"/>
      <c r="KFO188" s="601"/>
      <c r="KFP188" s="601"/>
      <c r="KFQ188" s="601"/>
      <c r="KFR188" s="601"/>
      <c r="KFS188" s="601"/>
      <c r="KFT188" s="601"/>
      <c r="KFU188" s="601"/>
      <c r="KFV188" s="601"/>
      <c r="KFW188" s="601"/>
      <c r="KFX188" s="601"/>
      <c r="KFY188" s="600" t="s">
        <v>646</v>
      </c>
      <c r="KFZ188" s="601"/>
      <c r="KGA188" s="601"/>
      <c r="KGB188" s="601"/>
      <c r="KGC188" s="601"/>
      <c r="KGD188" s="601"/>
      <c r="KGE188" s="601"/>
      <c r="KGF188" s="601"/>
      <c r="KGG188" s="601"/>
      <c r="KGH188" s="601"/>
      <c r="KGI188" s="601"/>
      <c r="KGJ188" s="601"/>
      <c r="KGK188" s="601"/>
      <c r="KGL188" s="601"/>
      <c r="KGM188" s="601"/>
      <c r="KGN188" s="601"/>
      <c r="KGO188" s="600" t="s">
        <v>646</v>
      </c>
      <c r="KGP188" s="601"/>
      <c r="KGQ188" s="601"/>
      <c r="KGR188" s="601"/>
      <c r="KGS188" s="601"/>
      <c r="KGT188" s="601"/>
      <c r="KGU188" s="601"/>
      <c r="KGV188" s="601"/>
      <c r="KGW188" s="601"/>
      <c r="KGX188" s="601"/>
      <c r="KGY188" s="601"/>
      <c r="KGZ188" s="601"/>
      <c r="KHA188" s="601"/>
      <c r="KHB188" s="601"/>
      <c r="KHC188" s="601"/>
      <c r="KHD188" s="601"/>
      <c r="KHE188" s="600" t="s">
        <v>646</v>
      </c>
      <c r="KHF188" s="601"/>
      <c r="KHG188" s="601"/>
      <c r="KHH188" s="601"/>
      <c r="KHI188" s="601"/>
      <c r="KHJ188" s="601"/>
      <c r="KHK188" s="601"/>
      <c r="KHL188" s="601"/>
      <c r="KHM188" s="601"/>
      <c r="KHN188" s="601"/>
      <c r="KHO188" s="601"/>
      <c r="KHP188" s="601"/>
      <c r="KHQ188" s="601"/>
      <c r="KHR188" s="601"/>
      <c r="KHS188" s="601"/>
      <c r="KHT188" s="601"/>
      <c r="KHU188" s="600" t="s">
        <v>646</v>
      </c>
      <c r="KHV188" s="601"/>
      <c r="KHW188" s="601"/>
      <c r="KHX188" s="601"/>
      <c r="KHY188" s="601"/>
      <c r="KHZ188" s="601"/>
      <c r="KIA188" s="601"/>
      <c r="KIB188" s="601"/>
      <c r="KIC188" s="601"/>
      <c r="KID188" s="601"/>
      <c r="KIE188" s="601"/>
      <c r="KIF188" s="601"/>
      <c r="KIG188" s="601"/>
      <c r="KIH188" s="601"/>
      <c r="KII188" s="601"/>
      <c r="KIJ188" s="601"/>
      <c r="KIK188" s="600" t="s">
        <v>646</v>
      </c>
      <c r="KIL188" s="601"/>
      <c r="KIM188" s="601"/>
      <c r="KIN188" s="601"/>
      <c r="KIO188" s="601"/>
      <c r="KIP188" s="601"/>
      <c r="KIQ188" s="601"/>
      <c r="KIR188" s="601"/>
      <c r="KIS188" s="601"/>
      <c r="KIT188" s="601"/>
      <c r="KIU188" s="601"/>
      <c r="KIV188" s="601"/>
      <c r="KIW188" s="601"/>
      <c r="KIX188" s="601"/>
      <c r="KIY188" s="601"/>
      <c r="KIZ188" s="601"/>
      <c r="KJA188" s="600" t="s">
        <v>646</v>
      </c>
      <c r="KJB188" s="601"/>
      <c r="KJC188" s="601"/>
      <c r="KJD188" s="601"/>
      <c r="KJE188" s="601"/>
      <c r="KJF188" s="601"/>
      <c r="KJG188" s="601"/>
      <c r="KJH188" s="601"/>
      <c r="KJI188" s="601"/>
      <c r="KJJ188" s="601"/>
      <c r="KJK188" s="601"/>
      <c r="KJL188" s="601"/>
      <c r="KJM188" s="601"/>
      <c r="KJN188" s="601"/>
      <c r="KJO188" s="601"/>
      <c r="KJP188" s="601"/>
      <c r="KJQ188" s="600" t="s">
        <v>646</v>
      </c>
      <c r="KJR188" s="601"/>
      <c r="KJS188" s="601"/>
      <c r="KJT188" s="601"/>
      <c r="KJU188" s="601"/>
      <c r="KJV188" s="601"/>
      <c r="KJW188" s="601"/>
      <c r="KJX188" s="601"/>
      <c r="KJY188" s="601"/>
      <c r="KJZ188" s="601"/>
      <c r="KKA188" s="601"/>
      <c r="KKB188" s="601"/>
      <c r="KKC188" s="601"/>
      <c r="KKD188" s="601"/>
      <c r="KKE188" s="601"/>
      <c r="KKF188" s="601"/>
      <c r="KKG188" s="600" t="s">
        <v>646</v>
      </c>
      <c r="KKH188" s="601"/>
      <c r="KKI188" s="601"/>
      <c r="KKJ188" s="601"/>
      <c r="KKK188" s="601"/>
      <c r="KKL188" s="601"/>
      <c r="KKM188" s="601"/>
      <c r="KKN188" s="601"/>
      <c r="KKO188" s="601"/>
      <c r="KKP188" s="601"/>
      <c r="KKQ188" s="601"/>
      <c r="KKR188" s="601"/>
      <c r="KKS188" s="601"/>
      <c r="KKT188" s="601"/>
      <c r="KKU188" s="601"/>
      <c r="KKV188" s="601"/>
      <c r="KKW188" s="600" t="s">
        <v>646</v>
      </c>
      <c r="KKX188" s="601"/>
      <c r="KKY188" s="601"/>
      <c r="KKZ188" s="601"/>
      <c r="KLA188" s="601"/>
      <c r="KLB188" s="601"/>
      <c r="KLC188" s="601"/>
      <c r="KLD188" s="601"/>
      <c r="KLE188" s="601"/>
      <c r="KLF188" s="601"/>
      <c r="KLG188" s="601"/>
      <c r="KLH188" s="601"/>
      <c r="KLI188" s="601"/>
      <c r="KLJ188" s="601"/>
      <c r="KLK188" s="601"/>
      <c r="KLL188" s="601"/>
      <c r="KLM188" s="600" t="s">
        <v>646</v>
      </c>
      <c r="KLN188" s="601"/>
      <c r="KLO188" s="601"/>
      <c r="KLP188" s="601"/>
      <c r="KLQ188" s="601"/>
      <c r="KLR188" s="601"/>
      <c r="KLS188" s="601"/>
      <c r="KLT188" s="601"/>
      <c r="KLU188" s="601"/>
      <c r="KLV188" s="601"/>
      <c r="KLW188" s="601"/>
      <c r="KLX188" s="601"/>
      <c r="KLY188" s="601"/>
      <c r="KLZ188" s="601"/>
      <c r="KMA188" s="601"/>
      <c r="KMB188" s="601"/>
      <c r="KMC188" s="600" t="s">
        <v>646</v>
      </c>
      <c r="KMD188" s="601"/>
      <c r="KME188" s="601"/>
      <c r="KMF188" s="601"/>
      <c r="KMG188" s="601"/>
      <c r="KMH188" s="601"/>
      <c r="KMI188" s="601"/>
      <c r="KMJ188" s="601"/>
      <c r="KMK188" s="601"/>
      <c r="KML188" s="601"/>
      <c r="KMM188" s="601"/>
      <c r="KMN188" s="601"/>
      <c r="KMO188" s="601"/>
      <c r="KMP188" s="601"/>
      <c r="KMQ188" s="601"/>
      <c r="KMR188" s="601"/>
      <c r="KMS188" s="600" t="s">
        <v>646</v>
      </c>
      <c r="KMT188" s="601"/>
      <c r="KMU188" s="601"/>
      <c r="KMV188" s="601"/>
      <c r="KMW188" s="601"/>
      <c r="KMX188" s="601"/>
      <c r="KMY188" s="601"/>
      <c r="KMZ188" s="601"/>
      <c r="KNA188" s="601"/>
      <c r="KNB188" s="601"/>
      <c r="KNC188" s="601"/>
      <c r="KND188" s="601"/>
      <c r="KNE188" s="601"/>
      <c r="KNF188" s="601"/>
      <c r="KNG188" s="601"/>
      <c r="KNH188" s="601"/>
      <c r="KNI188" s="600" t="s">
        <v>646</v>
      </c>
      <c r="KNJ188" s="601"/>
      <c r="KNK188" s="601"/>
      <c r="KNL188" s="601"/>
      <c r="KNM188" s="601"/>
      <c r="KNN188" s="601"/>
      <c r="KNO188" s="601"/>
      <c r="KNP188" s="601"/>
      <c r="KNQ188" s="601"/>
      <c r="KNR188" s="601"/>
      <c r="KNS188" s="601"/>
      <c r="KNT188" s="601"/>
      <c r="KNU188" s="601"/>
      <c r="KNV188" s="601"/>
      <c r="KNW188" s="601"/>
      <c r="KNX188" s="601"/>
      <c r="KNY188" s="600" t="s">
        <v>646</v>
      </c>
      <c r="KNZ188" s="601"/>
      <c r="KOA188" s="601"/>
      <c r="KOB188" s="601"/>
      <c r="KOC188" s="601"/>
      <c r="KOD188" s="601"/>
      <c r="KOE188" s="601"/>
      <c r="KOF188" s="601"/>
      <c r="KOG188" s="601"/>
      <c r="KOH188" s="601"/>
      <c r="KOI188" s="601"/>
      <c r="KOJ188" s="601"/>
      <c r="KOK188" s="601"/>
      <c r="KOL188" s="601"/>
      <c r="KOM188" s="601"/>
      <c r="KON188" s="601"/>
      <c r="KOO188" s="600" t="s">
        <v>646</v>
      </c>
      <c r="KOP188" s="601"/>
      <c r="KOQ188" s="601"/>
      <c r="KOR188" s="601"/>
      <c r="KOS188" s="601"/>
      <c r="KOT188" s="601"/>
      <c r="KOU188" s="601"/>
      <c r="KOV188" s="601"/>
      <c r="KOW188" s="601"/>
      <c r="KOX188" s="601"/>
      <c r="KOY188" s="601"/>
      <c r="KOZ188" s="601"/>
      <c r="KPA188" s="601"/>
      <c r="KPB188" s="601"/>
      <c r="KPC188" s="601"/>
      <c r="KPD188" s="601"/>
      <c r="KPE188" s="600" t="s">
        <v>646</v>
      </c>
      <c r="KPF188" s="601"/>
      <c r="KPG188" s="601"/>
      <c r="KPH188" s="601"/>
      <c r="KPI188" s="601"/>
      <c r="KPJ188" s="601"/>
      <c r="KPK188" s="601"/>
      <c r="KPL188" s="601"/>
      <c r="KPM188" s="601"/>
      <c r="KPN188" s="601"/>
      <c r="KPO188" s="601"/>
      <c r="KPP188" s="601"/>
      <c r="KPQ188" s="601"/>
      <c r="KPR188" s="601"/>
      <c r="KPS188" s="601"/>
      <c r="KPT188" s="601"/>
      <c r="KPU188" s="600" t="s">
        <v>646</v>
      </c>
      <c r="KPV188" s="601"/>
      <c r="KPW188" s="601"/>
      <c r="KPX188" s="601"/>
      <c r="KPY188" s="601"/>
      <c r="KPZ188" s="601"/>
      <c r="KQA188" s="601"/>
      <c r="KQB188" s="601"/>
      <c r="KQC188" s="601"/>
      <c r="KQD188" s="601"/>
      <c r="KQE188" s="601"/>
      <c r="KQF188" s="601"/>
      <c r="KQG188" s="601"/>
      <c r="KQH188" s="601"/>
      <c r="KQI188" s="601"/>
      <c r="KQJ188" s="601"/>
      <c r="KQK188" s="600" t="s">
        <v>646</v>
      </c>
      <c r="KQL188" s="601"/>
      <c r="KQM188" s="601"/>
      <c r="KQN188" s="601"/>
      <c r="KQO188" s="601"/>
      <c r="KQP188" s="601"/>
      <c r="KQQ188" s="601"/>
      <c r="KQR188" s="601"/>
      <c r="KQS188" s="601"/>
      <c r="KQT188" s="601"/>
      <c r="KQU188" s="601"/>
      <c r="KQV188" s="601"/>
      <c r="KQW188" s="601"/>
      <c r="KQX188" s="601"/>
      <c r="KQY188" s="601"/>
      <c r="KQZ188" s="601"/>
      <c r="KRA188" s="600" t="s">
        <v>646</v>
      </c>
      <c r="KRB188" s="601"/>
      <c r="KRC188" s="601"/>
      <c r="KRD188" s="601"/>
      <c r="KRE188" s="601"/>
      <c r="KRF188" s="601"/>
      <c r="KRG188" s="601"/>
      <c r="KRH188" s="601"/>
      <c r="KRI188" s="601"/>
      <c r="KRJ188" s="601"/>
      <c r="KRK188" s="601"/>
      <c r="KRL188" s="601"/>
      <c r="KRM188" s="601"/>
      <c r="KRN188" s="601"/>
      <c r="KRO188" s="601"/>
      <c r="KRP188" s="601"/>
      <c r="KRQ188" s="600" t="s">
        <v>646</v>
      </c>
      <c r="KRR188" s="601"/>
      <c r="KRS188" s="601"/>
      <c r="KRT188" s="601"/>
      <c r="KRU188" s="601"/>
      <c r="KRV188" s="601"/>
      <c r="KRW188" s="601"/>
      <c r="KRX188" s="601"/>
      <c r="KRY188" s="601"/>
      <c r="KRZ188" s="601"/>
      <c r="KSA188" s="601"/>
      <c r="KSB188" s="601"/>
      <c r="KSC188" s="601"/>
      <c r="KSD188" s="601"/>
      <c r="KSE188" s="601"/>
      <c r="KSF188" s="601"/>
      <c r="KSG188" s="600" t="s">
        <v>646</v>
      </c>
      <c r="KSH188" s="601"/>
      <c r="KSI188" s="601"/>
      <c r="KSJ188" s="601"/>
      <c r="KSK188" s="601"/>
      <c r="KSL188" s="601"/>
      <c r="KSM188" s="601"/>
      <c r="KSN188" s="601"/>
      <c r="KSO188" s="601"/>
      <c r="KSP188" s="601"/>
      <c r="KSQ188" s="601"/>
      <c r="KSR188" s="601"/>
      <c r="KSS188" s="601"/>
      <c r="KST188" s="601"/>
      <c r="KSU188" s="601"/>
      <c r="KSV188" s="601"/>
      <c r="KSW188" s="600" t="s">
        <v>646</v>
      </c>
      <c r="KSX188" s="601"/>
      <c r="KSY188" s="601"/>
      <c r="KSZ188" s="601"/>
      <c r="KTA188" s="601"/>
      <c r="KTB188" s="601"/>
      <c r="KTC188" s="601"/>
      <c r="KTD188" s="601"/>
      <c r="KTE188" s="601"/>
      <c r="KTF188" s="601"/>
      <c r="KTG188" s="601"/>
      <c r="KTH188" s="601"/>
      <c r="KTI188" s="601"/>
      <c r="KTJ188" s="601"/>
      <c r="KTK188" s="601"/>
      <c r="KTL188" s="601"/>
      <c r="KTM188" s="600" t="s">
        <v>646</v>
      </c>
      <c r="KTN188" s="601"/>
      <c r="KTO188" s="601"/>
      <c r="KTP188" s="601"/>
      <c r="KTQ188" s="601"/>
      <c r="KTR188" s="601"/>
      <c r="KTS188" s="601"/>
      <c r="KTT188" s="601"/>
      <c r="KTU188" s="601"/>
      <c r="KTV188" s="601"/>
      <c r="KTW188" s="601"/>
      <c r="KTX188" s="601"/>
      <c r="KTY188" s="601"/>
      <c r="KTZ188" s="601"/>
      <c r="KUA188" s="601"/>
      <c r="KUB188" s="601"/>
      <c r="KUC188" s="600" t="s">
        <v>646</v>
      </c>
      <c r="KUD188" s="601"/>
      <c r="KUE188" s="601"/>
      <c r="KUF188" s="601"/>
      <c r="KUG188" s="601"/>
      <c r="KUH188" s="601"/>
      <c r="KUI188" s="601"/>
      <c r="KUJ188" s="601"/>
      <c r="KUK188" s="601"/>
      <c r="KUL188" s="601"/>
      <c r="KUM188" s="601"/>
      <c r="KUN188" s="601"/>
      <c r="KUO188" s="601"/>
      <c r="KUP188" s="601"/>
      <c r="KUQ188" s="601"/>
      <c r="KUR188" s="601"/>
      <c r="KUS188" s="600" t="s">
        <v>646</v>
      </c>
      <c r="KUT188" s="601"/>
      <c r="KUU188" s="601"/>
      <c r="KUV188" s="601"/>
      <c r="KUW188" s="601"/>
      <c r="KUX188" s="601"/>
      <c r="KUY188" s="601"/>
      <c r="KUZ188" s="601"/>
      <c r="KVA188" s="601"/>
      <c r="KVB188" s="601"/>
      <c r="KVC188" s="601"/>
      <c r="KVD188" s="601"/>
      <c r="KVE188" s="601"/>
      <c r="KVF188" s="601"/>
      <c r="KVG188" s="601"/>
      <c r="KVH188" s="601"/>
      <c r="KVI188" s="600" t="s">
        <v>646</v>
      </c>
      <c r="KVJ188" s="601"/>
      <c r="KVK188" s="601"/>
      <c r="KVL188" s="601"/>
      <c r="KVM188" s="601"/>
      <c r="KVN188" s="601"/>
      <c r="KVO188" s="601"/>
      <c r="KVP188" s="601"/>
      <c r="KVQ188" s="601"/>
      <c r="KVR188" s="601"/>
      <c r="KVS188" s="601"/>
      <c r="KVT188" s="601"/>
      <c r="KVU188" s="601"/>
      <c r="KVV188" s="601"/>
      <c r="KVW188" s="601"/>
      <c r="KVX188" s="601"/>
      <c r="KVY188" s="600" t="s">
        <v>646</v>
      </c>
      <c r="KVZ188" s="601"/>
      <c r="KWA188" s="601"/>
      <c r="KWB188" s="601"/>
      <c r="KWC188" s="601"/>
      <c r="KWD188" s="601"/>
      <c r="KWE188" s="601"/>
      <c r="KWF188" s="601"/>
      <c r="KWG188" s="601"/>
      <c r="KWH188" s="601"/>
      <c r="KWI188" s="601"/>
      <c r="KWJ188" s="601"/>
      <c r="KWK188" s="601"/>
      <c r="KWL188" s="601"/>
      <c r="KWM188" s="601"/>
      <c r="KWN188" s="601"/>
      <c r="KWO188" s="600" t="s">
        <v>646</v>
      </c>
      <c r="KWP188" s="601"/>
      <c r="KWQ188" s="601"/>
      <c r="KWR188" s="601"/>
      <c r="KWS188" s="601"/>
      <c r="KWT188" s="601"/>
      <c r="KWU188" s="601"/>
      <c r="KWV188" s="601"/>
      <c r="KWW188" s="601"/>
      <c r="KWX188" s="601"/>
      <c r="KWY188" s="601"/>
      <c r="KWZ188" s="601"/>
      <c r="KXA188" s="601"/>
      <c r="KXB188" s="601"/>
      <c r="KXC188" s="601"/>
      <c r="KXD188" s="601"/>
      <c r="KXE188" s="600" t="s">
        <v>646</v>
      </c>
      <c r="KXF188" s="601"/>
      <c r="KXG188" s="601"/>
      <c r="KXH188" s="601"/>
      <c r="KXI188" s="601"/>
      <c r="KXJ188" s="601"/>
      <c r="KXK188" s="601"/>
      <c r="KXL188" s="601"/>
      <c r="KXM188" s="601"/>
      <c r="KXN188" s="601"/>
      <c r="KXO188" s="601"/>
      <c r="KXP188" s="601"/>
      <c r="KXQ188" s="601"/>
      <c r="KXR188" s="601"/>
      <c r="KXS188" s="601"/>
      <c r="KXT188" s="601"/>
      <c r="KXU188" s="600" t="s">
        <v>646</v>
      </c>
      <c r="KXV188" s="601"/>
      <c r="KXW188" s="601"/>
      <c r="KXX188" s="601"/>
      <c r="KXY188" s="601"/>
      <c r="KXZ188" s="601"/>
      <c r="KYA188" s="601"/>
      <c r="KYB188" s="601"/>
      <c r="KYC188" s="601"/>
      <c r="KYD188" s="601"/>
      <c r="KYE188" s="601"/>
      <c r="KYF188" s="601"/>
      <c r="KYG188" s="601"/>
      <c r="KYH188" s="601"/>
      <c r="KYI188" s="601"/>
      <c r="KYJ188" s="601"/>
      <c r="KYK188" s="600" t="s">
        <v>646</v>
      </c>
      <c r="KYL188" s="601"/>
      <c r="KYM188" s="601"/>
      <c r="KYN188" s="601"/>
      <c r="KYO188" s="601"/>
      <c r="KYP188" s="601"/>
      <c r="KYQ188" s="601"/>
      <c r="KYR188" s="601"/>
      <c r="KYS188" s="601"/>
      <c r="KYT188" s="601"/>
      <c r="KYU188" s="601"/>
      <c r="KYV188" s="601"/>
      <c r="KYW188" s="601"/>
      <c r="KYX188" s="601"/>
      <c r="KYY188" s="601"/>
      <c r="KYZ188" s="601"/>
      <c r="KZA188" s="600" t="s">
        <v>646</v>
      </c>
      <c r="KZB188" s="601"/>
      <c r="KZC188" s="601"/>
      <c r="KZD188" s="601"/>
      <c r="KZE188" s="601"/>
      <c r="KZF188" s="601"/>
      <c r="KZG188" s="601"/>
      <c r="KZH188" s="601"/>
      <c r="KZI188" s="601"/>
      <c r="KZJ188" s="601"/>
      <c r="KZK188" s="601"/>
      <c r="KZL188" s="601"/>
      <c r="KZM188" s="601"/>
      <c r="KZN188" s="601"/>
      <c r="KZO188" s="601"/>
      <c r="KZP188" s="601"/>
      <c r="KZQ188" s="600" t="s">
        <v>646</v>
      </c>
      <c r="KZR188" s="601"/>
      <c r="KZS188" s="601"/>
      <c r="KZT188" s="601"/>
      <c r="KZU188" s="601"/>
      <c r="KZV188" s="601"/>
      <c r="KZW188" s="601"/>
      <c r="KZX188" s="601"/>
      <c r="KZY188" s="601"/>
      <c r="KZZ188" s="601"/>
      <c r="LAA188" s="601"/>
      <c r="LAB188" s="601"/>
      <c r="LAC188" s="601"/>
      <c r="LAD188" s="601"/>
      <c r="LAE188" s="601"/>
      <c r="LAF188" s="601"/>
      <c r="LAG188" s="600" t="s">
        <v>646</v>
      </c>
      <c r="LAH188" s="601"/>
      <c r="LAI188" s="601"/>
      <c r="LAJ188" s="601"/>
      <c r="LAK188" s="601"/>
      <c r="LAL188" s="601"/>
      <c r="LAM188" s="601"/>
      <c r="LAN188" s="601"/>
      <c r="LAO188" s="601"/>
      <c r="LAP188" s="601"/>
      <c r="LAQ188" s="601"/>
      <c r="LAR188" s="601"/>
      <c r="LAS188" s="601"/>
      <c r="LAT188" s="601"/>
      <c r="LAU188" s="601"/>
      <c r="LAV188" s="601"/>
      <c r="LAW188" s="600" t="s">
        <v>646</v>
      </c>
      <c r="LAX188" s="601"/>
      <c r="LAY188" s="601"/>
      <c r="LAZ188" s="601"/>
      <c r="LBA188" s="601"/>
      <c r="LBB188" s="601"/>
      <c r="LBC188" s="601"/>
      <c r="LBD188" s="601"/>
      <c r="LBE188" s="601"/>
      <c r="LBF188" s="601"/>
      <c r="LBG188" s="601"/>
      <c r="LBH188" s="601"/>
      <c r="LBI188" s="601"/>
      <c r="LBJ188" s="601"/>
      <c r="LBK188" s="601"/>
      <c r="LBL188" s="601"/>
      <c r="LBM188" s="600" t="s">
        <v>646</v>
      </c>
      <c r="LBN188" s="601"/>
      <c r="LBO188" s="601"/>
      <c r="LBP188" s="601"/>
      <c r="LBQ188" s="601"/>
      <c r="LBR188" s="601"/>
      <c r="LBS188" s="601"/>
      <c r="LBT188" s="601"/>
      <c r="LBU188" s="601"/>
      <c r="LBV188" s="601"/>
      <c r="LBW188" s="601"/>
      <c r="LBX188" s="601"/>
      <c r="LBY188" s="601"/>
      <c r="LBZ188" s="601"/>
      <c r="LCA188" s="601"/>
      <c r="LCB188" s="601"/>
      <c r="LCC188" s="600" t="s">
        <v>646</v>
      </c>
      <c r="LCD188" s="601"/>
      <c r="LCE188" s="601"/>
      <c r="LCF188" s="601"/>
      <c r="LCG188" s="601"/>
      <c r="LCH188" s="601"/>
      <c r="LCI188" s="601"/>
      <c r="LCJ188" s="601"/>
      <c r="LCK188" s="601"/>
      <c r="LCL188" s="601"/>
      <c r="LCM188" s="601"/>
      <c r="LCN188" s="601"/>
      <c r="LCO188" s="601"/>
      <c r="LCP188" s="601"/>
      <c r="LCQ188" s="601"/>
      <c r="LCR188" s="601"/>
      <c r="LCS188" s="600" t="s">
        <v>646</v>
      </c>
      <c r="LCT188" s="601"/>
      <c r="LCU188" s="601"/>
      <c r="LCV188" s="601"/>
      <c r="LCW188" s="601"/>
      <c r="LCX188" s="601"/>
      <c r="LCY188" s="601"/>
      <c r="LCZ188" s="601"/>
      <c r="LDA188" s="601"/>
      <c r="LDB188" s="601"/>
      <c r="LDC188" s="601"/>
      <c r="LDD188" s="601"/>
      <c r="LDE188" s="601"/>
      <c r="LDF188" s="601"/>
      <c r="LDG188" s="601"/>
      <c r="LDH188" s="601"/>
      <c r="LDI188" s="600" t="s">
        <v>646</v>
      </c>
      <c r="LDJ188" s="601"/>
      <c r="LDK188" s="601"/>
      <c r="LDL188" s="601"/>
      <c r="LDM188" s="601"/>
      <c r="LDN188" s="601"/>
      <c r="LDO188" s="601"/>
      <c r="LDP188" s="601"/>
      <c r="LDQ188" s="601"/>
      <c r="LDR188" s="601"/>
      <c r="LDS188" s="601"/>
      <c r="LDT188" s="601"/>
      <c r="LDU188" s="601"/>
      <c r="LDV188" s="601"/>
      <c r="LDW188" s="601"/>
      <c r="LDX188" s="601"/>
      <c r="LDY188" s="600" t="s">
        <v>646</v>
      </c>
      <c r="LDZ188" s="601"/>
      <c r="LEA188" s="601"/>
      <c r="LEB188" s="601"/>
      <c r="LEC188" s="601"/>
      <c r="LED188" s="601"/>
      <c r="LEE188" s="601"/>
      <c r="LEF188" s="601"/>
      <c r="LEG188" s="601"/>
      <c r="LEH188" s="601"/>
      <c r="LEI188" s="601"/>
      <c r="LEJ188" s="601"/>
      <c r="LEK188" s="601"/>
      <c r="LEL188" s="601"/>
      <c r="LEM188" s="601"/>
      <c r="LEN188" s="601"/>
      <c r="LEO188" s="600" t="s">
        <v>646</v>
      </c>
      <c r="LEP188" s="601"/>
      <c r="LEQ188" s="601"/>
      <c r="LER188" s="601"/>
      <c r="LES188" s="601"/>
      <c r="LET188" s="601"/>
      <c r="LEU188" s="601"/>
      <c r="LEV188" s="601"/>
      <c r="LEW188" s="601"/>
      <c r="LEX188" s="601"/>
      <c r="LEY188" s="601"/>
      <c r="LEZ188" s="601"/>
      <c r="LFA188" s="601"/>
      <c r="LFB188" s="601"/>
      <c r="LFC188" s="601"/>
      <c r="LFD188" s="601"/>
      <c r="LFE188" s="600" t="s">
        <v>646</v>
      </c>
      <c r="LFF188" s="601"/>
      <c r="LFG188" s="601"/>
      <c r="LFH188" s="601"/>
      <c r="LFI188" s="601"/>
      <c r="LFJ188" s="601"/>
      <c r="LFK188" s="601"/>
      <c r="LFL188" s="601"/>
      <c r="LFM188" s="601"/>
      <c r="LFN188" s="601"/>
      <c r="LFO188" s="601"/>
      <c r="LFP188" s="601"/>
      <c r="LFQ188" s="601"/>
      <c r="LFR188" s="601"/>
      <c r="LFS188" s="601"/>
      <c r="LFT188" s="601"/>
      <c r="LFU188" s="600" t="s">
        <v>646</v>
      </c>
      <c r="LFV188" s="601"/>
      <c r="LFW188" s="601"/>
      <c r="LFX188" s="601"/>
      <c r="LFY188" s="601"/>
      <c r="LFZ188" s="601"/>
      <c r="LGA188" s="601"/>
      <c r="LGB188" s="601"/>
      <c r="LGC188" s="601"/>
      <c r="LGD188" s="601"/>
      <c r="LGE188" s="601"/>
      <c r="LGF188" s="601"/>
      <c r="LGG188" s="601"/>
      <c r="LGH188" s="601"/>
      <c r="LGI188" s="601"/>
      <c r="LGJ188" s="601"/>
      <c r="LGK188" s="600" t="s">
        <v>646</v>
      </c>
      <c r="LGL188" s="601"/>
      <c r="LGM188" s="601"/>
      <c r="LGN188" s="601"/>
      <c r="LGO188" s="601"/>
      <c r="LGP188" s="601"/>
      <c r="LGQ188" s="601"/>
      <c r="LGR188" s="601"/>
      <c r="LGS188" s="601"/>
      <c r="LGT188" s="601"/>
      <c r="LGU188" s="601"/>
      <c r="LGV188" s="601"/>
      <c r="LGW188" s="601"/>
      <c r="LGX188" s="601"/>
      <c r="LGY188" s="601"/>
      <c r="LGZ188" s="601"/>
      <c r="LHA188" s="600" t="s">
        <v>646</v>
      </c>
      <c r="LHB188" s="601"/>
      <c r="LHC188" s="601"/>
      <c r="LHD188" s="601"/>
      <c r="LHE188" s="601"/>
      <c r="LHF188" s="601"/>
      <c r="LHG188" s="601"/>
      <c r="LHH188" s="601"/>
      <c r="LHI188" s="601"/>
      <c r="LHJ188" s="601"/>
      <c r="LHK188" s="601"/>
      <c r="LHL188" s="601"/>
      <c r="LHM188" s="601"/>
      <c r="LHN188" s="601"/>
      <c r="LHO188" s="601"/>
      <c r="LHP188" s="601"/>
      <c r="LHQ188" s="600" t="s">
        <v>646</v>
      </c>
      <c r="LHR188" s="601"/>
      <c r="LHS188" s="601"/>
      <c r="LHT188" s="601"/>
      <c r="LHU188" s="601"/>
      <c r="LHV188" s="601"/>
      <c r="LHW188" s="601"/>
      <c r="LHX188" s="601"/>
      <c r="LHY188" s="601"/>
      <c r="LHZ188" s="601"/>
      <c r="LIA188" s="601"/>
      <c r="LIB188" s="601"/>
      <c r="LIC188" s="601"/>
      <c r="LID188" s="601"/>
      <c r="LIE188" s="601"/>
      <c r="LIF188" s="601"/>
      <c r="LIG188" s="600" t="s">
        <v>646</v>
      </c>
      <c r="LIH188" s="601"/>
      <c r="LII188" s="601"/>
      <c r="LIJ188" s="601"/>
      <c r="LIK188" s="601"/>
      <c r="LIL188" s="601"/>
      <c r="LIM188" s="601"/>
      <c r="LIN188" s="601"/>
      <c r="LIO188" s="601"/>
      <c r="LIP188" s="601"/>
      <c r="LIQ188" s="601"/>
      <c r="LIR188" s="601"/>
      <c r="LIS188" s="601"/>
      <c r="LIT188" s="601"/>
      <c r="LIU188" s="601"/>
      <c r="LIV188" s="601"/>
      <c r="LIW188" s="600" t="s">
        <v>646</v>
      </c>
      <c r="LIX188" s="601"/>
      <c r="LIY188" s="601"/>
      <c r="LIZ188" s="601"/>
      <c r="LJA188" s="601"/>
      <c r="LJB188" s="601"/>
      <c r="LJC188" s="601"/>
      <c r="LJD188" s="601"/>
      <c r="LJE188" s="601"/>
      <c r="LJF188" s="601"/>
      <c r="LJG188" s="601"/>
      <c r="LJH188" s="601"/>
      <c r="LJI188" s="601"/>
      <c r="LJJ188" s="601"/>
      <c r="LJK188" s="601"/>
      <c r="LJL188" s="601"/>
      <c r="LJM188" s="600" t="s">
        <v>646</v>
      </c>
      <c r="LJN188" s="601"/>
      <c r="LJO188" s="601"/>
      <c r="LJP188" s="601"/>
      <c r="LJQ188" s="601"/>
      <c r="LJR188" s="601"/>
      <c r="LJS188" s="601"/>
      <c r="LJT188" s="601"/>
      <c r="LJU188" s="601"/>
      <c r="LJV188" s="601"/>
      <c r="LJW188" s="601"/>
      <c r="LJX188" s="601"/>
      <c r="LJY188" s="601"/>
      <c r="LJZ188" s="601"/>
      <c r="LKA188" s="601"/>
      <c r="LKB188" s="601"/>
      <c r="LKC188" s="600" t="s">
        <v>646</v>
      </c>
      <c r="LKD188" s="601"/>
      <c r="LKE188" s="601"/>
      <c r="LKF188" s="601"/>
      <c r="LKG188" s="601"/>
      <c r="LKH188" s="601"/>
      <c r="LKI188" s="601"/>
      <c r="LKJ188" s="601"/>
      <c r="LKK188" s="601"/>
      <c r="LKL188" s="601"/>
      <c r="LKM188" s="601"/>
      <c r="LKN188" s="601"/>
      <c r="LKO188" s="601"/>
      <c r="LKP188" s="601"/>
      <c r="LKQ188" s="601"/>
      <c r="LKR188" s="601"/>
      <c r="LKS188" s="600" t="s">
        <v>646</v>
      </c>
      <c r="LKT188" s="601"/>
      <c r="LKU188" s="601"/>
      <c r="LKV188" s="601"/>
      <c r="LKW188" s="601"/>
      <c r="LKX188" s="601"/>
      <c r="LKY188" s="601"/>
      <c r="LKZ188" s="601"/>
      <c r="LLA188" s="601"/>
      <c r="LLB188" s="601"/>
      <c r="LLC188" s="601"/>
      <c r="LLD188" s="601"/>
      <c r="LLE188" s="601"/>
      <c r="LLF188" s="601"/>
      <c r="LLG188" s="601"/>
      <c r="LLH188" s="601"/>
      <c r="LLI188" s="600" t="s">
        <v>646</v>
      </c>
      <c r="LLJ188" s="601"/>
      <c r="LLK188" s="601"/>
      <c r="LLL188" s="601"/>
      <c r="LLM188" s="601"/>
      <c r="LLN188" s="601"/>
      <c r="LLO188" s="601"/>
      <c r="LLP188" s="601"/>
      <c r="LLQ188" s="601"/>
      <c r="LLR188" s="601"/>
      <c r="LLS188" s="601"/>
      <c r="LLT188" s="601"/>
      <c r="LLU188" s="601"/>
      <c r="LLV188" s="601"/>
      <c r="LLW188" s="601"/>
      <c r="LLX188" s="601"/>
      <c r="LLY188" s="600" t="s">
        <v>646</v>
      </c>
      <c r="LLZ188" s="601"/>
      <c r="LMA188" s="601"/>
      <c r="LMB188" s="601"/>
      <c r="LMC188" s="601"/>
      <c r="LMD188" s="601"/>
      <c r="LME188" s="601"/>
      <c r="LMF188" s="601"/>
      <c r="LMG188" s="601"/>
      <c r="LMH188" s="601"/>
      <c r="LMI188" s="601"/>
      <c r="LMJ188" s="601"/>
      <c r="LMK188" s="601"/>
      <c r="LML188" s="601"/>
      <c r="LMM188" s="601"/>
      <c r="LMN188" s="601"/>
      <c r="LMO188" s="600" t="s">
        <v>646</v>
      </c>
      <c r="LMP188" s="601"/>
      <c r="LMQ188" s="601"/>
      <c r="LMR188" s="601"/>
      <c r="LMS188" s="601"/>
      <c r="LMT188" s="601"/>
      <c r="LMU188" s="601"/>
      <c r="LMV188" s="601"/>
      <c r="LMW188" s="601"/>
      <c r="LMX188" s="601"/>
      <c r="LMY188" s="601"/>
      <c r="LMZ188" s="601"/>
      <c r="LNA188" s="601"/>
      <c r="LNB188" s="601"/>
      <c r="LNC188" s="601"/>
      <c r="LND188" s="601"/>
      <c r="LNE188" s="600" t="s">
        <v>646</v>
      </c>
      <c r="LNF188" s="601"/>
      <c r="LNG188" s="601"/>
      <c r="LNH188" s="601"/>
      <c r="LNI188" s="601"/>
      <c r="LNJ188" s="601"/>
      <c r="LNK188" s="601"/>
      <c r="LNL188" s="601"/>
      <c r="LNM188" s="601"/>
      <c r="LNN188" s="601"/>
      <c r="LNO188" s="601"/>
      <c r="LNP188" s="601"/>
      <c r="LNQ188" s="601"/>
      <c r="LNR188" s="601"/>
      <c r="LNS188" s="601"/>
      <c r="LNT188" s="601"/>
      <c r="LNU188" s="600" t="s">
        <v>646</v>
      </c>
      <c r="LNV188" s="601"/>
      <c r="LNW188" s="601"/>
      <c r="LNX188" s="601"/>
      <c r="LNY188" s="601"/>
      <c r="LNZ188" s="601"/>
      <c r="LOA188" s="601"/>
      <c r="LOB188" s="601"/>
      <c r="LOC188" s="601"/>
      <c r="LOD188" s="601"/>
      <c r="LOE188" s="601"/>
      <c r="LOF188" s="601"/>
      <c r="LOG188" s="601"/>
      <c r="LOH188" s="601"/>
      <c r="LOI188" s="601"/>
      <c r="LOJ188" s="601"/>
      <c r="LOK188" s="600" t="s">
        <v>646</v>
      </c>
      <c r="LOL188" s="601"/>
      <c r="LOM188" s="601"/>
      <c r="LON188" s="601"/>
      <c r="LOO188" s="601"/>
      <c r="LOP188" s="601"/>
      <c r="LOQ188" s="601"/>
      <c r="LOR188" s="601"/>
      <c r="LOS188" s="601"/>
      <c r="LOT188" s="601"/>
      <c r="LOU188" s="601"/>
      <c r="LOV188" s="601"/>
      <c r="LOW188" s="601"/>
      <c r="LOX188" s="601"/>
      <c r="LOY188" s="601"/>
      <c r="LOZ188" s="601"/>
      <c r="LPA188" s="600" t="s">
        <v>646</v>
      </c>
      <c r="LPB188" s="601"/>
      <c r="LPC188" s="601"/>
      <c r="LPD188" s="601"/>
      <c r="LPE188" s="601"/>
      <c r="LPF188" s="601"/>
      <c r="LPG188" s="601"/>
      <c r="LPH188" s="601"/>
      <c r="LPI188" s="601"/>
      <c r="LPJ188" s="601"/>
      <c r="LPK188" s="601"/>
      <c r="LPL188" s="601"/>
      <c r="LPM188" s="601"/>
      <c r="LPN188" s="601"/>
      <c r="LPO188" s="601"/>
      <c r="LPP188" s="601"/>
      <c r="LPQ188" s="600" t="s">
        <v>646</v>
      </c>
      <c r="LPR188" s="601"/>
      <c r="LPS188" s="601"/>
      <c r="LPT188" s="601"/>
      <c r="LPU188" s="601"/>
      <c r="LPV188" s="601"/>
      <c r="LPW188" s="601"/>
      <c r="LPX188" s="601"/>
      <c r="LPY188" s="601"/>
      <c r="LPZ188" s="601"/>
      <c r="LQA188" s="601"/>
      <c r="LQB188" s="601"/>
      <c r="LQC188" s="601"/>
      <c r="LQD188" s="601"/>
      <c r="LQE188" s="601"/>
      <c r="LQF188" s="601"/>
      <c r="LQG188" s="600" t="s">
        <v>646</v>
      </c>
      <c r="LQH188" s="601"/>
      <c r="LQI188" s="601"/>
      <c r="LQJ188" s="601"/>
      <c r="LQK188" s="601"/>
      <c r="LQL188" s="601"/>
      <c r="LQM188" s="601"/>
      <c r="LQN188" s="601"/>
      <c r="LQO188" s="601"/>
      <c r="LQP188" s="601"/>
      <c r="LQQ188" s="601"/>
      <c r="LQR188" s="601"/>
      <c r="LQS188" s="601"/>
      <c r="LQT188" s="601"/>
      <c r="LQU188" s="601"/>
      <c r="LQV188" s="601"/>
      <c r="LQW188" s="600" t="s">
        <v>646</v>
      </c>
      <c r="LQX188" s="601"/>
      <c r="LQY188" s="601"/>
      <c r="LQZ188" s="601"/>
      <c r="LRA188" s="601"/>
      <c r="LRB188" s="601"/>
      <c r="LRC188" s="601"/>
      <c r="LRD188" s="601"/>
      <c r="LRE188" s="601"/>
      <c r="LRF188" s="601"/>
      <c r="LRG188" s="601"/>
      <c r="LRH188" s="601"/>
      <c r="LRI188" s="601"/>
      <c r="LRJ188" s="601"/>
      <c r="LRK188" s="601"/>
      <c r="LRL188" s="601"/>
      <c r="LRM188" s="600" t="s">
        <v>646</v>
      </c>
      <c r="LRN188" s="601"/>
      <c r="LRO188" s="601"/>
      <c r="LRP188" s="601"/>
      <c r="LRQ188" s="601"/>
      <c r="LRR188" s="601"/>
      <c r="LRS188" s="601"/>
      <c r="LRT188" s="601"/>
      <c r="LRU188" s="601"/>
      <c r="LRV188" s="601"/>
      <c r="LRW188" s="601"/>
      <c r="LRX188" s="601"/>
      <c r="LRY188" s="601"/>
      <c r="LRZ188" s="601"/>
      <c r="LSA188" s="601"/>
      <c r="LSB188" s="601"/>
      <c r="LSC188" s="600" t="s">
        <v>646</v>
      </c>
      <c r="LSD188" s="601"/>
      <c r="LSE188" s="601"/>
      <c r="LSF188" s="601"/>
      <c r="LSG188" s="601"/>
      <c r="LSH188" s="601"/>
      <c r="LSI188" s="601"/>
      <c r="LSJ188" s="601"/>
      <c r="LSK188" s="601"/>
      <c r="LSL188" s="601"/>
      <c r="LSM188" s="601"/>
      <c r="LSN188" s="601"/>
      <c r="LSO188" s="601"/>
      <c r="LSP188" s="601"/>
      <c r="LSQ188" s="601"/>
      <c r="LSR188" s="601"/>
      <c r="LSS188" s="600" t="s">
        <v>646</v>
      </c>
      <c r="LST188" s="601"/>
      <c r="LSU188" s="601"/>
      <c r="LSV188" s="601"/>
      <c r="LSW188" s="601"/>
      <c r="LSX188" s="601"/>
      <c r="LSY188" s="601"/>
      <c r="LSZ188" s="601"/>
      <c r="LTA188" s="601"/>
      <c r="LTB188" s="601"/>
      <c r="LTC188" s="601"/>
      <c r="LTD188" s="601"/>
      <c r="LTE188" s="601"/>
      <c r="LTF188" s="601"/>
      <c r="LTG188" s="601"/>
      <c r="LTH188" s="601"/>
      <c r="LTI188" s="600" t="s">
        <v>646</v>
      </c>
      <c r="LTJ188" s="601"/>
      <c r="LTK188" s="601"/>
      <c r="LTL188" s="601"/>
      <c r="LTM188" s="601"/>
      <c r="LTN188" s="601"/>
      <c r="LTO188" s="601"/>
      <c r="LTP188" s="601"/>
      <c r="LTQ188" s="601"/>
      <c r="LTR188" s="601"/>
      <c r="LTS188" s="601"/>
      <c r="LTT188" s="601"/>
      <c r="LTU188" s="601"/>
      <c r="LTV188" s="601"/>
      <c r="LTW188" s="601"/>
      <c r="LTX188" s="601"/>
      <c r="LTY188" s="600" t="s">
        <v>646</v>
      </c>
      <c r="LTZ188" s="601"/>
      <c r="LUA188" s="601"/>
      <c r="LUB188" s="601"/>
      <c r="LUC188" s="601"/>
      <c r="LUD188" s="601"/>
      <c r="LUE188" s="601"/>
      <c r="LUF188" s="601"/>
      <c r="LUG188" s="601"/>
      <c r="LUH188" s="601"/>
      <c r="LUI188" s="601"/>
      <c r="LUJ188" s="601"/>
      <c r="LUK188" s="601"/>
      <c r="LUL188" s="601"/>
      <c r="LUM188" s="601"/>
      <c r="LUN188" s="601"/>
      <c r="LUO188" s="600" t="s">
        <v>646</v>
      </c>
      <c r="LUP188" s="601"/>
      <c r="LUQ188" s="601"/>
      <c r="LUR188" s="601"/>
      <c r="LUS188" s="601"/>
      <c r="LUT188" s="601"/>
      <c r="LUU188" s="601"/>
      <c r="LUV188" s="601"/>
      <c r="LUW188" s="601"/>
      <c r="LUX188" s="601"/>
      <c r="LUY188" s="601"/>
      <c r="LUZ188" s="601"/>
      <c r="LVA188" s="601"/>
      <c r="LVB188" s="601"/>
      <c r="LVC188" s="601"/>
      <c r="LVD188" s="601"/>
      <c r="LVE188" s="600" t="s">
        <v>646</v>
      </c>
      <c r="LVF188" s="601"/>
      <c r="LVG188" s="601"/>
      <c r="LVH188" s="601"/>
      <c r="LVI188" s="601"/>
      <c r="LVJ188" s="601"/>
      <c r="LVK188" s="601"/>
      <c r="LVL188" s="601"/>
      <c r="LVM188" s="601"/>
      <c r="LVN188" s="601"/>
      <c r="LVO188" s="601"/>
      <c r="LVP188" s="601"/>
      <c r="LVQ188" s="601"/>
      <c r="LVR188" s="601"/>
      <c r="LVS188" s="601"/>
      <c r="LVT188" s="601"/>
      <c r="LVU188" s="600" t="s">
        <v>646</v>
      </c>
      <c r="LVV188" s="601"/>
      <c r="LVW188" s="601"/>
      <c r="LVX188" s="601"/>
      <c r="LVY188" s="601"/>
      <c r="LVZ188" s="601"/>
      <c r="LWA188" s="601"/>
      <c r="LWB188" s="601"/>
      <c r="LWC188" s="601"/>
      <c r="LWD188" s="601"/>
      <c r="LWE188" s="601"/>
      <c r="LWF188" s="601"/>
      <c r="LWG188" s="601"/>
      <c r="LWH188" s="601"/>
      <c r="LWI188" s="601"/>
      <c r="LWJ188" s="601"/>
      <c r="LWK188" s="600" t="s">
        <v>646</v>
      </c>
      <c r="LWL188" s="601"/>
      <c r="LWM188" s="601"/>
      <c r="LWN188" s="601"/>
      <c r="LWO188" s="601"/>
      <c r="LWP188" s="601"/>
      <c r="LWQ188" s="601"/>
      <c r="LWR188" s="601"/>
      <c r="LWS188" s="601"/>
      <c r="LWT188" s="601"/>
      <c r="LWU188" s="601"/>
      <c r="LWV188" s="601"/>
      <c r="LWW188" s="601"/>
      <c r="LWX188" s="601"/>
      <c r="LWY188" s="601"/>
      <c r="LWZ188" s="601"/>
      <c r="LXA188" s="600" t="s">
        <v>646</v>
      </c>
      <c r="LXB188" s="601"/>
      <c r="LXC188" s="601"/>
      <c r="LXD188" s="601"/>
      <c r="LXE188" s="601"/>
      <c r="LXF188" s="601"/>
      <c r="LXG188" s="601"/>
      <c r="LXH188" s="601"/>
      <c r="LXI188" s="601"/>
      <c r="LXJ188" s="601"/>
      <c r="LXK188" s="601"/>
      <c r="LXL188" s="601"/>
      <c r="LXM188" s="601"/>
      <c r="LXN188" s="601"/>
      <c r="LXO188" s="601"/>
      <c r="LXP188" s="601"/>
      <c r="LXQ188" s="600" t="s">
        <v>646</v>
      </c>
      <c r="LXR188" s="601"/>
      <c r="LXS188" s="601"/>
      <c r="LXT188" s="601"/>
      <c r="LXU188" s="601"/>
      <c r="LXV188" s="601"/>
      <c r="LXW188" s="601"/>
      <c r="LXX188" s="601"/>
      <c r="LXY188" s="601"/>
      <c r="LXZ188" s="601"/>
      <c r="LYA188" s="601"/>
      <c r="LYB188" s="601"/>
      <c r="LYC188" s="601"/>
      <c r="LYD188" s="601"/>
      <c r="LYE188" s="601"/>
      <c r="LYF188" s="601"/>
      <c r="LYG188" s="600" t="s">
        <v>646</v>
      </c>
      <c r="LYH188" s="601"/>
      <c r="LYI188" s="601"/>
      <c r="LYJ188" s="601"/>
      <c r="LYK188" s="601"/>
      <c r="LYL188" s="601"/>
      <c r="LYM188" s="601"/>
      <c r="LYN188" s="601"/>
      <c r="LYO188" s="601"/>
      <c r="LYP188" s="601"/>
      <c r="LYQ188" s="601"/>
      <c r="LYR188" s="601"/>
      <c r="LYS188" s="601"/>
      <c r="LYT188" s="601"/>
      <c r="LYU188" s="601"/>
      <c r="LYV188" s="601"/>
      <c r="LYW188" s="600" t="s">
        <v>646</v>
      </c>
      <c r="LYX188" s="601"/>
      <c r="LYY188" s="601"/>
      <c r="LYZ188" s="601"/>
      <c r="LZA188" s="601"/>
      <c r="LZB188" s="601"/>
      <c r="LZC188" s="601"/>
      <c r="LZD188" s="601"/>
      <c r="LZE188" s="601"/>
      <c r="LZF188" s="601"/>
      <c r="LZG188" s="601"/>
      <c r="LZH188" s="601"/>
      <c r="LZI188" s="601"/>
      <c r="LZJ188" s="601"/>
      <c r="LZK188" s="601"/>
      <c r="LZL188" s="601"/>
      <c r="LZM188" s="600" t="s">
        <v>646</v>
      </c>
      <c r="LZN188" s="601"/>
      <c r="LZO188" s="601"/>
      <c r="LZP188" s="601"/>
      <c r="LZQ188" s="601"/>
      <c r="LZR188" s="601"/>
      <c r="LZS188" s="601"/>
      <c r="LZT188" s="601"/>
      <c r="LZU188" s="601"/>
      <c r="LZV188" s="601"/>
      <c r="LZW188" s="601"/>
      <c r="LZX188" s="601"/>
      <c r="LZY188" s="601"/>
      <c r="LZZ188" s="601"/>
      <c r="MAA188" s="601"/>
      <c r="MAB188" s="601"/>
      <c r="MAC188" s="600" t="s">
        <v>646</v>
      </c>
      <c r="MAD188" s="601"/>
      <c r="MAE188" s="601"/>
      <c r="MAF188" s="601"/>
      <c r="MAG188" s="601"/>
      <c r="MAH188" s="601"/>
      <c r="MAI188" s="601"/>
      <c r="MAJ188" s="601"/>
      <c r="MAK188" s="601"/>
      <c r="MAL188" s="601"/>
      <c r="MAM188" s="601"/>
      <c r="MAN188" s="601"/>
      <c r="MAO188" s="601"/>
      <c r="MAP188" s="601"/>
      <c r="MAQ188" s="601"/>
      <c r="MAR188" s="601"/>
      <c r="MAS188" s="600" t="s">
        <v>646</v>
      </c>
      <c r="MAT188" s="601"/>
      <c r="MAU188" s="601"/>
      <c r="MAV188" s="601"/>
      <c r="MAW188" s="601"/>
      <c r="MAX188" s="601"/>
      <c r="MAY188" s="601"/>
      <c r="MAZ188" s="601"/>
      <c r="MBA188" s="601"/>
      <c r="MBB188" s="601"/>
      <c r="MBC188" s="601"/>
      <c r="MBD188" s="601"/>
      <c r="MBE188" s="601"/>
      <c r="MBF188" s="601"/>
      <c r="MBG188" s="601"/>
      <c r="MBH188" s="601"/>
      <c r="MBI188" s="600" t="s">
        <v>646</v>
      </c>
      <c r="MBJ188" s="601"/>
      <c r="MBK188" s="601"/>
      <c r="MBL188" s="601"/>
      <c r="MBM188" s="601"/>
      <c r="MBN188" s="601"/>
      <c r="MBO188" s="601"/>
      <c r="MBP188" s="601"/>
      <c r="MBQ188" s="601"/>
      <c r="MBR188" s="601"/>
      <c r="MBS188" s="601"/>
      <c r="MBT188" s="601"/>
      <c r="MBU188" s="601"/>
      <c r="MBV188" s="601"/>
      <c r="MBW188" s="601"/>
      <c r="MBX188" s="601"/>
      <c r="MBY188" s="600" t="s">
        <v>646</v>
      </c>
      <c r="MBZ188" s="601"/>
      <c r="MCA188" s="601"/>
      <c r="MCB188" s="601"/>
      <c r="MCC188" s="601"/>
      <c r="MCD188" s="601"/>
      <c r="MCE188" s="601"/>
      <c r="MCF188" s="601"/>
      <c r="MCG188" s="601"/>
      <c r="MCH188" s="601"/>
      <c r="MCI188" s="601"/>
      <c r="MCJ188" s="601"/>
      <c r="MCK188" s="601"/>
      <c r="MCL188" s="601"/>
      <c r="MCM188" s="601"/>
      <c r="MCN188" s="601"/>
      <c r="MCO188" s="600" t="s">
        <v>646</v>
      </c>
      <c r="MCP188" s="601"/>
      <c r="MCQ188" s="601"/>
      <c r="MCR188" s="601"/>
      <c r="MCS188" s="601"/>
      <c r="MCT188" s="601"/>
      <c r="MCU188" s="601"/>
      <c r="MCV188" s="601"/>
      <c r="MCW188" s="601"/>
      <c r="MCX188" s="601"/>
      <c r="MCY188" s="601"/>
      <c r="MCZ188" s="601"/>
      <c r="MDA188" s="601"/>
      <c r="MDB188" s="601"/>
      <c r="MDC188" s="601"/>
      <c r="MDD188" s="601"/>
      <c r="MDE188" s="600" t="s">
        <v>646</v>
      </c>
      <c r="MDF188" s="601"/>
      <c r="MDG188" s="601"/>
      <c r="MDH188" s="601"/>
      <c r="MDI188" s="601"/>
      <c r="MDJ188" s="601"/>
      <c r="MDK188" s="601"/>
      <c r="MDL188" s="601"/>
      <c r="MDM188" s="601"/>
      <c r="MDN188" s="601"/>
      <c r="MDO188" s="601"/>
      <c r="MDP188" s="601"/>
      <c r="MDQ188" s="601"/>
      <c r="MDR188" s="601"/>
      <c r="MDS188" s="601"/>
      <c r="MDT188" s="601"/>
      <c r="MDU188" s="600" t="s">
        <v>646</v>
      </c>
      <c r="MDV188" s="601"/>
      <c r="MDW188" s="601"/>
      <c r="MDX188" s="601"/>
      <c r="MDY188" s="601"/>
      <c r="MDZ188" s="601"/>
      <c r="MEA188" s="601"/>
      <c r="MEB188" s="601"/>
      <c r="MEC188" s="601"/>
      <c r="MED188" s="601"/>
      <c r="MEE188" s="601"/>
      <c r="MEF188" s="601"/>
      <c r="MEG188" s="601"/>
      <c r="MEH188" s="601"/>
      <c r="MEI188" s="601"/>
      <c r="MEJ188" s="601"/>
      <c r="MEK188" s="600" t="s">
        <v>646</v>
      </c>
      <c r="MEL188" s="601"/>
      <c r="MEM188" s="601"/>
      <c r="MEN188" s="601"/>
      <c r="MEO188" s="601"/>
      <c r="MEP188" s="601"/>
      <c r="MEQ188" s="601"/>
      <c r="MER188" s="601"/>
      <c r="MES188" s="601"/>
      <c r="MET188" s="601"/>
      <c r="MEU188" s="601"/>
      <c r="MEV188" s="601"/>
      <c r="MEW188" s="601"/>
      <c r="MEX188" s="601"/>
      <c r="MEY188" s="601"/>
      <c r="MEZ188" s="601"/>
      <c r="MFA188" s="600" t="s">
        <v>646</v>
      </c>
      <c r="MFB188" s="601"/>
      <c r="MFC188" s="601"/>
      <c r="MFD188" s="601"/>
      <c r="MFE188" s="601"/>
      <c r="MFF188" s="601"/>
      <c r="MFG188" s="601"/>
      <c r="MFH188" s="601"/>
      <c r="MFI188" s="601"/>
      <c r="MFJ188" s="601"/>
      <c r="MFK188" s="601"/>
      <c r="MFL188" s="601"/>
      <c r="MFM188" s="601"/>
      <c r="MFN188" s="601"/>
      <c r="MFO188" s="601"/>
      <c r="MFP188" s="601"/>
      <c r="MFQ188" s="600" t="s">
        <v>646</v>
      </c>
      <c r="MFR188" s="601"/>
      <c r="MFS188" s="601"/>
      <c r="MFT188" s="601"/>
      <c r="MFU188" s="601"/>
      <c r="MFV188" s="601"/>
      <c r="MFW188" s="601"/>
      <c r="MFX188" s="601"/>
      <c r="MFY188" s="601"/>
      <c r="MFZ188" s="601"/>
      <c r="MGA188" s="601"/>
      <c r="MGB188" s="601"/>
      <c r="MGC188" s="601"/>
      <c r="MGD188" s="601"/>
      <c r="MGE188" s="601"/>
      <c r="MGF188" s="601"/>
      <c r="MGG188" s="600" t="s">
        <v>646</v>
      </c>
      <c r="MGH188" s="601"/>
      <c r="MGI188" s="601"/>
      <c r="MGJ188" s="601"/>
      <c r="MGK188" s="601"/>
      <c r="MGL188" s="601"/>
      <c r="MGM188" s="601"/>
      <c r="MGN188" s="601"/>
      <c r="MGO188" s="601"/>
      <c r="MGP188" s="601"/>
      <c r="MGQ188" s="601"/>
      <c r="MGR188" s="601"/>
      <c r="MGS188" s="601"/>
      <c r="MGT188" s="601"/>
      <c r="MGU188" s="601"/>
      <c r="MGV188" s="601"/>
      <c r="MGW188" s="600" t="s">
        <v>646</v>
      </c>
      <c r="MGX188" s="601"/>
      <c r="MGY188" s="601"/>
      <c r="MGZ188" s="601"/>
      <c r="MHA188" s="601"/>
      <c r="MHB188" s="601"/>
      <c r="MHC188" s="601"/>
      <c r="MHD188" s="601"/>
      <c r="MHE188" s="601"/>
      <c r="MHF188" s="601"/>
      <c r="MHG188" s="601"/>
      <c r="MHH188" s="601"/>
      <c r="MHI188" s="601"/>
      <c r="MHJ188" s="601"/>
      <c r="MHK188" s="601"/>
      <c r="MHL188" s="601"/>
      <c r="MHM188" s="600" t="s">
        <v>646</v>
      </c>
      <c r="MHN188" s="601"/>
      <c r="MHO188" s="601"/>
      <c r="MHP188" s="601"/>
      <c r="MHQ188" s="601"/>
      <c r="MHR188" s="601"/>
      <c r="MHS188" s="601"/>
      <c r="MHT188" s="601"/>
      <c r="MHU188" s="601"/>
      <c r="MHV188" s="601"/>
      <c r="MHW188" s="601"/>
      <c r="MHX188" s="601"/>
      <c r="MHY188" s="601"/>
      <c r="MHZ188" s="601"/>
      <c r="MIA188" s="601"/>
      <c r="MIB188" s="601"/>
      <c r="MIC188" s="600" t="s">
        <v>646</v>
      </c>
      <c r="MID188" s="601"/>
      <c r="MIE188" s="601"/>
      <c r="MIF188" s="601"/>
      <c r="MIG188" s="601"/>
      <c r="MIH188" s="601"/>
      <c r="MII188" s="601"/>
      <c r="MIJ188" s="601"/>
      <c r="MIK188" s="601"/>
      <c r="MIL188" s="601"/>
      <c r="MIM188" s="601"/>
      <c r="MIN188" s="601"/>
      <c r="MIO188" s="601"/>
      <c r="MIP188" s="601"/>
      <c r="MIQ188" s="601"/>
      <c r="MIR188" s="601"/>
      <c r="MIS188" s="600" t="s">
        <v>646</v>
      </c>
      <c r="MIT188" s="601"/>
      <c r="MIU188" s="601"/>
      <c r="MIV188" s="601"/>
      <c r="MIW188" s="601"/>
      <c r="MIX188" s="601"/>
      <c r="MIY188" s="601"/>
      <c r="MIZ188" s="601"/>
      <c r="MJA188" s="601"/>
      <c r="MJB188" s="601"/>
      <c r="MJC188" s="601"/>
      <c r="MJD188" s="601"/>
      <c r="MJE188" s="601"/>
      <c r="MJF188" s="601"/>
      <c r="MJG188" s="601"/>
      <c r="MJH188" s="601"/>
      <c r="MJI188" s="600" t="s">
        <v>646</v>
      </c>
      <c r="MJJ188" s="601"/>
      <c r="MJK188" s="601"/>
      <c r="MJL188" s="601"/>
      <c r="MJM188" s="601"/>
      <c r="MJN188" s="601"/>
      <c r="MJO188" s="601"/>
      <c r="MJP188" s="601"/>
      <c r="MJQ188" s="601"/>
      <c r="MJR188" s="601"/>
      <c r="MJS188" s="601"/>
      <c r="MJT188" s="601"/>
      <c r="MJU188" s="601"/>
      <c r="MJV188" s="601"/>
      <c r="MJW188" s="601"/>
      <c r="MJX188" s="601"/>
      <c r="MJY188" s="600" t="s">
        <v>646</v>
      </c>
      <c r="MJZ188" s="601"/>
      <c r="MKA188" s="601"/>
      <c r="MKB188" s="601"/>
      <c r="MKC188" s="601"/>
      <c r="MKD188" s="601"/>
      <c r="MKE188" s="601"/>
      <c r="MKF188" s="601"/>
      <c r="MKG188" s="601"/>
      <c r="MKH188" s="601"/>
      <c r="MKI188" s="601"/>
      <c r="MKJ188" s="601"/>
      <c r="MKK188" s="601"/>
      <c r="MKL188" s="601"/>
      <c r="MKM188" s="601"/>
      <c r="MKN188" s="601"/>
      <c r="MKO188" s="600" t="s">
        <v>646</v>
      </c>
      <c r="MKP188" s="601"/>
      <c r="MKQ188" s="601"/>
      <c r="MKR188" s="601"/>
      <c r="MKS188" s="601"/>
      <c r="MKT188" s="601"/>
      <c r="MKU188" s="601"/>
      <c r="MKV188" s="601"/>
      <c r="MKW188" s="601"/>
      <c r="MKX188" s="601"/>
      <c r="MKY188" s="601"/>
      <c r="MKZ188" s="601"/>
      <c r="MLA188" s="601"/>
      <c r="MLB188" s="601"/>
      <c r="MLC188" s="601"/>
      <c r="MLD188" s="601"/>
      <c r="MLE188" s="600" t="s">
        <v>646</v>
      </c>
      <c r="MLF188" s="601"/>
      <c r="MLG188" s="601"/>
      <c r="MLH188" s="601"/>
      <c r="MLI188" s="601"/>
      <c r="MLJ188" s="601"/>
      <c r="MLK188" s="601"/>
      <c r="MLL188" s="601"/>
      <c r="MLM188" s="601"/>
      <c r="MLN188" s="601"/>
      <c r="MLO188" s="601"/>
      <c r="MLP188" s="601"/>
      <c r="MLQ188" s="601"/>
      <c r="MLR188" s="601"/>
      <c r="MLS188" s="601"/>
      <c r="MLT188" s="601"/>
      <c r="MLU188" s="600" t="s">
        <v>646</v>
      </c>
      <c r="MLV188" s="601"/>
      <c r="MLW188" s="601"/>
      <c r="MLX188" s="601"/>
      <c r="MLY188" s="601"/>
      <c r="MLZ188" s="601"/>
      <c r="MMA188" s="601"/>
      <c r="MMB188" s="601"/>
      <c r="MMC188" s="601"/>
      <c r="MMD188" s="601"/>
      <c r="MME188" s="601"/>
      <c r="MMF188" s="601"/>
      <c r="MMG188" s="601"/>
      <c r="MMH188" s="601"/>
      <c r="MMI188" s="601"/>
      <c r="MMJ188" s="601"/>
      <c r="MMK188" s="600" t="s">
        <v>646</v>
      </c>
      <c r="MML188" s="601"/>
      <c r="MMM188" s="601"/>
      <c r="MMN188" s="601"/>
      <c r="MMO188" s="601"/>
      <c r="MMP188" s="601"/>
      <c r="MMQ188" s="601"/>
      <c r="MMR188" s="601"/>
      <c r="MMS188" s="601"/>
      <c r="MMT188" s="601"/>
      <c r="MMU188" s="601"/>
      <c r="MMV188" s="601"/>
      <c r="MMW188" s="601"/>
      <c r="MMX188" s="601"/>
      <c r="MMY188" s="601"/>
      <c r="MMZ188" s="601"/>
      <c r="MNA188" s="600" t="s">
        <v>646</v>
      </c>
      <c r="MNB188" s="601"/>
      <c r="MNC188" s="601"/>
      <c r="MND188" s="601"/>
      <c r="MNE188" s="601"/>
      <c r="MNF188" s="601"/>
      <c r="MNG188" s="601"/>
      <c r="MNH188" s="601"/>
      <c r="MNI188" s="601"/>
      <c r="MNJ188" s="601"/>
      <c r="MNK188" s="601"/>
      <c r="MNL188" s="601"/>
      <c r="MNM188" s="601"/>
      <c r="MNN188" s="601"/>
      <c r="MNO188" s="601"/>
      <c r="MNP188" s="601"/>
      <c r="MNQ188" s="600" t="s">
        <v>646</v>
      </c>
      <c r="MNR188" s="601"/>
      <c r="MNS188" s="601"/>
      <c r="MNT188" s="601"/>
      <c r="MNU188" s="601"/>
      <c r="MNV188" s="601"/>
      <c r="MNW188" s="601"/>
      <c r="MNX188" s="601"/>
      <c r="MNY188" s="601"/>
      <c r="MNZ188" s="601"/>
      <c r="MOA188" s="601"/>
      <c r="MOB188" s="601"/>
      <c r="MOC188" s="601"/>
      <c r="MOD188" s="601"/>
      <c r="MOE188" s="601"/>
      <c r="MOF188" s="601"/>
      <c r="MOG188" s="600" t="s">
        <v>646</v>
      </c>
      <c r="MOH188" s="601"/>
      <c r="MOI188" s="601"/>
      <c r="MOJ188" s="601"/>
      <c r="MOK188" s="601"/>
      <c r="MOL188" s="601"/>
      <c r="MOM188" s="601"/>
      <c r="MON188" s="601"/>
      <c r="MOO188" s="601"/>
      <c r="MOP188" s="601"/>
      <c r="MOQ188" s="601"/>
      <c r="MOR188" s="601"/>
      <c r="MOS188" s="601"/>
      <c r="MOT188" s="601"/>
      <c r="MOU188" s="601"/>
      <c r="MOV188" s="601"/>
      <c r="MOW188" s="600" t="s">
        <v>646</v>
      </c>
      <c r="MOX188" s="601"/>
      <c r="MOY188" s="601"/>
      <c r="MOZ188" s="601"/>
      <c r="MPA188" s="601"/>
      <c r="MPB188" s="601"/>
      <c r="MPC188" s="601"/>
      <c r="MPD188" s="601"/>
      <c r="MPE188" s="601"/>
      <c r="MPF188" s="601"/>
      <c r="MPG188" s="601"/>
      <c r="MPH188" s="601"/>
      <c r="MPI188" s="601"/>
      <c r="MPJ188" s="601"/>
      <c r="MPK188" s="601"/>
      <c r="MPL188" s="601"/>
      <c r="MPM188" s="600" t="s">
        <v>646</v>
      </c>
      <c r="MPN188" s="601"/>
      <c r="MPO188" s="601"/>
      <c r="MPP188" s="601"/>
      <c r="MPQ188" s="601"/>
      <c r="MPR188" s="601"/>
      <c r="MPS188" s="601"/>
      <c r="MPT188" s="601"/>
      <c r="MPU188" s="601"/>
      <c r="MPV188" s="601"/>
      <c r="MPW188" s="601"/>
      <c r="MPX188" s="601"/>
      <c r="MPY188" s="601"/>
      <c r="MPZ188" s="601"/>
      <c r="MQA188" s="601"/>
      <c r="MQB188" s="601"/>
      <c r="MQC188" s="600" t="s">
        <v>646</v>
      </c>
      <c r="MQD188" s="601"/>
      <c r="MQE188" s="601"/>
      <c r="MQF188" s="601"/>
      <c r="MQG188" s="601"/>
      <c r="MQH188" s="601"/>
      <c r="MQI188" s="601"/>
      <c r="MQJ188" s="601"/>
      <c r="MQK188" s="601"/>
      <c r="MQL188" s="601"/>
      <c r="MQM188" s="601"/>
      <c r="MQN188" s="601"/>
      <c r="MQO188" s="601"/>
      <c r="MQP188" s="601"/>
      <c r="MQQ188" s="601"/>
      <c r="MQR188" s="601"/>
      <c r="MQS188" s="600" t="s">
        <v>646</v>
      </c>
      <c r="MQT188" s="601"/>
      <c r="MQU188" s="601"/>
      <c r="MQV188" s="601"/>
      <c r="MQW188" s="601"/>
      <c r="MQX188" s="601"/>
      <c r="MQY188" s="601"/>
      <c r="MQZ188" s="601"/>
      <c r="MRA188" s="601"/>
      <c r="MRB188" s="601"/>
      <c r="MRC188" s="601"/>
      <c r="MRD188" s="601"/>
      <c r="MRE188" s="601"/>
      <c r="MRF188" s="601"/>
      <c r="MRG188" s="601"/>
      <c r="MRH188" s="601"/>
      <c r="MRI188" s="600" t="s">
        <v>646</v>
      </c>
      <c r="MRJ188" s="601"/>
      <c r="MRK188" s="601"/>
      <c r="MRL188" s="601"/>
      <c r="MRM188" s="601"/>
      <c r="MRN188" s="601"/>
      <c r="MRO188" s="601"/>
      <c r="MRP188" s="601"/>
      <c r="MRQ188" s="601"/>
      <c r="MRR188" s="601"/>
      <c r="MRS188" s="601"/>
      <c r="MRT188" s="601"/>
      <c r="MRU188" s="601"/>
      <c r="MRV188" s="601"/>
      <c r="MRW188" s="601"/>
      <c r="MRX188" s="601"/>
      <c r="MRY188" s="600" t="s">
        <v>646</v>
      </c>
      <c r="MRZ188" s="601"/>
      <c r="MSA188" s="601"/>
      <c r="MSB188" s="601"/>
      <c r="MSC188" s="601"/>
      <c r="MSD188" s="601"/>
      <c r="MSE188" s="601"/>
      <c r="MSF188" s="601"/>
      <c r="MSG188" s="601"/>
      <c r="MSH188" s="601"/>
      <c r="MSI188" s="601"/>
      <c r="MSJ188" s="601"/>
      <c r="MSK188" s="601"/>
      <c r="MSL188" s="601"/>
      <c r="MSM188" s="601"/>
      <c r="MSN188" s="601"/>
      <c r="MSO188" s="600" t="s">
        <v>646</v>
      </c>
      <c r="MSP188" s="601"/>
      <c r="MSQ188" s="601"/>
      <c r="MSR188" s="601"/>
      <c r="MSS188" s="601"/>
      <c r="MST188" s="601"/>
      <c r="MSU188" s="601"/>
      <c r="MSV188" s="601"/>
      <c r="MSW188" s="601"/>
      <c r="MSX188" s="601"/>
      <c r="MSY188" s="601"/>
      <c r="MSZ188" s="601"/>
      <c r="MTA188" s="601"/>
      <c r="MTB188" s="601"/>
      <c r="MTC188" s="601"/>
      <c r="MTD188" s="601"/>
      <c r="MTE188" s="600" t="s">
        <v>646</v>
      </c>
      <c r="MTF188" s="601"/>
      <c r="MTG188" s="601"/>
      <c r="MTH188" s="601"/>
      <c r="MTI188" s="601"/>
      <c r="MTJ188" s="601"/>
      <c r="MTK188" s="601"/>
      <c r="MTL188" s="601"/>
      <c r="MTM188" s="601"/>
      <c r="MTN188" s="601"/>
      <c r="MTO188" s="601"/>
      <c r="MTP188" s="601"/>
      <c r="MTQ188" s="601"/>
      <c r="MTR188" s="601"/>
      <c r="MTS188" s="601"/>
      <c r="MTT188" s="601"/>
      <c r="MTU188" s="600" t="s">
        <v>646</v>
      </c>
      <c r="MTV188" s="601"/>
      <c r="MTW188" s="601"/>
      <c r="MTX188" s="601"/>
      <c r="MTY188" s="601"/>
      <c r="MTZ188" s="601"/>
      <c r="MUA188" s="601"/>
      <c r="MUB188" s="601"/>
      <c r="MUC188" s="601"/>
      <c r="MUD188" s="601"/>
      <c r="MUE188" s="601"/>
      <c r="MUF188" s="601"/>
      <c r="MUG188" s="601"/>
      <c r="MUH188" s="601"/>
      <c r="MUI188" s="601"/>
      <c r="MUJ188" s="601"/>
      <c r="MUK188" s="600" t="s">
        <v>646</v>
      </c>
      <c r="MUL188" s="601"/>
      <c r="MUM188" s="601"/>
      <c r="MUN188" s="601"/>
      <c r="MUO188" s="601"/>
      <c r="MUP188" s="601"/>
      <c r="MUQ188" s="601"/>
      <c r="MUR188" s="601"/>
      <c r="MUS188" s="601"/>
      <c r="MUT188" s="601"/>
      <c r="MUU188" s="601"/>
      <c r="MUV188" s="601"/>
      <c r="MUW188" s="601"/>
      <c r="MUX188" s="601"/>
      <c r="MUY188" s="601"/>
      <c r="MUZ188" s="601"/>
      <c r="MVA188" s="600" t="s">
        <v>646</v>
      </c>
      <c r="MVB188" s="601"/>
      <c r="MVC188" s="601"/>
      <c r="MVD188" s="601"/>
      <c r="MVE188" s="601"/>
      <c r="MVF188" s="601"/>
      <c r="MVG188" s="601"/>
      <c r="MVH188" s="601"/>
      <c r="MVI188" s="601"/>
      <c r="MVJ188" s="601"/>
      <c r="MVK188" s="601"/>
      <c r="MVL188" s="601"/>
      <c r="MVM188" s="601"/>
      <c r="MVN188" s="601"/>
      <c r="MVO188" s="601"/>
      <c r="MVP188" s="601"/>
      <c r="MVQ188" s="600" t="s">
        <v>646</v>
      </c>
      <c r="MVR188" s="601"/>
      <c r="MVS188" s="601"/>
      <c r="MVT188" s="601"/>
      <c r="MVU188" s="601"/>
      <c r="MVV188" s="601"/>
      <c r="MVW188" s="601"/>
      <c r="MVX188" s="601"/>
      <c r="MVY188" s="601"/>
      <c r="MVZ188" s="601"/>
      <c r="MWA188" s="601"/>
      <c r="MWB188" s="601"/>
      <c r="MWC188" s="601"/>
      <c r="MWD188" s="601"/>
      <c r="MWE188" s="601"/>
      <c r="MWF188" s="601"/>
      <c r="MWG188" s="600" t="s">
        <v>646</v>
      </c>
      <c r="MWH188" s="601"/>
      <c r="MWI188" s="601"/>
      <c r="MWJ188" s="601"/>
      <c r="MWK188" s="601"/>
      <c r="MWL188" s="601"/>
      <c r="MWM188" s="601"/>
      <c r="MWN188" s="601"/>
      <c r="MWO188" s="601"/>
      <c r="MWP188" s="601"/>
      <c r="MWQ188" s="601"/>
      <c r="MWR188" s="601"/>
      <c r="MWS188" s="601"/>
      <c r="MWT188" s="601"/>
      <c r="MWU188" s="601"/>
      <c r="MWV188" s="601"/>
      <c r="MWW188" s="600" t="s">
        <v>646</v>
      </c>
      <c r="MWX188" s="601"/>
      <c r="MWY188" s="601"/>
      <c r="MWZ188" s="601"/>
      <c r="MXA188" s="601"/>
      <c r="MXB188" s="601"/>
      <c r="MXC188" s="601"/>
      <c r="MXD188" s="601"/>
      <c r="MXE188" s="601"/>
      <c r="MXF188" s="601"/>
      <c r="MXG188" s="601"/>
      <c r="MXH188" s="601"/>
      <c r="MXI188" s="601"/>
      <c r="MXJ188" s="601"/>
      <c r="MXK188" s="601"/>
      <c r="MXL188" s="601"/>
      <c r="MXM188" s="600" t="s">
        <v>646</v>
      </c>
      <c r="MXN188" s="601"/>
      <c r="MXO188" s="601"/>
      <c r="MXP188" s="601"/>
      <c r="MXQ188" s="601"/>
      <c r="MXR188" s="601"/>
      <c r="MXS188" s="601"/>
      <c r="MXT188" s="601"/>
      <c r="MXU188" s="601"/>
      <c r="MXV188" s="601"/>
      <c r="MXW188" s="601"/>
      <c r="MXX188" s="601"/>
      <c r="MXY188" s="601"/>
      <c r="MXZ188" s="601"/>
      <c r="MYA188" s="601"/>
      <c r="MYB188" s="601"/>
      <c r="MYC188" s="600" t="s">
        <v>646</v>
      </c>
      <c r="MYD188" s="601"/>
      <c r="MYE188" s="601"/>
      <c r="MYF188" s="601"/>
      <c r="MYG188" s="601"/>
      <c r="MYH188" s="601"/>
      <c r="MYI188" s="601"/>
      <c r="MYJ188" s="601"/>
      <c r="MYK188" s="601"/>
      <c r="MYL188" s="601"/>
      <c r="MYM188" s="601"/>
      <c r="MYN188" s="601"/>
      <c r="MYO188" s="601"/>
      <c r="MYP188" s="601"/>
      <c r="MYQ188" s="601"/>
      <c r="MYR188" s="601"/>
      <c r="MYS188" s="600" t="s">
        <v>646</v>
      </c>
      <c r="MYT188" s="601"/>
      <c r="MYU188" s="601"/>
      <c r="MYV188" s="601"/>
      <c r="MYW188" s="601"/>
      <c r="MYX188" s="601"/>
      <c r="MYY188" s="601"/>
      <c r="MYZ188" s="601"/>
      <c r="MZA188" s="601"/>
      <c r="MZB188" s="601"/>
      <c r="MZC188" s="601"/>
      <c r="MZD188" s="601"/>
      <c r="MZE188" s="601"/>
      <c r="MZF188" s="601"/>
      <c r="MZG188" s="601"/>
      <c r="MZH188" s="601"/>
      <c r="MZI188" s="600" t="s">
        <v>646</v>
      </c>
      <c r="MZJ188" s="601"/>
      <c r="MZK188" s="601"/>
      <c r="MZL188" s="601"/>
      <c r="MZM188" s="601"/>
      <c r="MZN188" s="601"/>
      <c r="MZO188" s="601"/>
      <c r="MZP188" s="601"/>
      <c r="MZQ188" s="601"/>
      <c r="MZR188" s="601"/>
      <c r="MZS188" s="601"/>
      <c r="MZT188" s="601"/>
      <c r="MZU188" s="601"/>
      <c r="MZV188" s="601"/>
      <c r="MZW188" s="601"/>
      <c r="MZX188" s="601"/>
      <c r="MZY188" s="600" t="s">
        <v>646</v>
      </c>
      <c r="MZZ188" s="601"/>
      <c r="NAA188" s="601"/>
      <c r="NAB188" s="601"/>
      <c r="NAC188" s="601"/>
      <c r="NAD188" s="601"/>
      <c r="NAE188" s="601"/>
      <c r="NAF188" s="601"/>
      <c r="NAG188" s="601"/>
      <c r="NAH188" s="601"/>
      <c r="NAI188" s="601"/>
      <c r="NAJ188" s="601"/>
      <c r="NAK188" s="601"/>
      <c r="NAL188" s="601"/>
      <c r="NAM188" s="601"/>
      <c r="NAN188" s="601"/>
      <c r="NAO188" s="600" t="s">
        <v>646</v>
      </c>
      <c r="NAP188" s="601"/>
      <c r="NAQ188" s="601"/>
      <c r="NAR188" s="601"/>
      <c r="NAS188" s="601"/>
      <c r="NAT188" s="601"/>
      <c r="NAU188" s="601"/>
      <c r="NAV188" s="601"/>
      <c r="NAW188" s="601"/>
      <c r="NAX188" s="601"/>
      <c r="NAY188" s="601"/>
      <c r="NAZ188" s="601"/>
      <c r="NBA188" s="601"/>
      <c r="NBB188" s="601"/>
      <c r="NBC188" s="601"/>
      <c r="NBD188" s="601"/>
      <c r="NBE188" s="600" t="s">
        <v>646</v>
      </c>
      <c r="NBF188" s="601"/>
      <c r="NBG188" s="601"/>
      <c r="NBH188" s="601"/>
      <c r="NBI188" s="601"/>
      <c r="NBJ188" s="601"/>
      <c r="NBK188" s="601"/>
      <c r="NBL188" s="601"/>
      <c r="NBM188" s="601"/>
      <c r="NBN188" s="601"/>
      <c r="NBO188" s="601"/>
      <c r="NBP188" s="601"/>
      <c r="NBQ188" s="601"/>
      <c r="NBR188" s="601"/>
      <c r="NBS188" s="601"/>
      <c r="NBT188" s="601"/>
      <c r="NBU188" s="600" t="s">
        <v>646</v>
      </c>
      <c r="NBV188" s="601"/>
      <c r="NBW188" s="601"/>
      <c r="NBX188" s="601"/>
      <c r="NBY188" s="601"/>
      <c r="NBZ188" s="601"/>
      <c r="NCA188" s="601"/>
      <c r="NCB188" s="601"/>
      <c r="NCC188" s="601"/>
      <c r="NCD188" s="601"/>
      <c r="NCE188" s="601"/>
      <c r="NCF188" s="601"/>
      <c r="NCG188" s="601"/>
      <c r="NCH188" s="601"/>
      <c r="NCI188" s="601"/>
      <c r="NCJ188" s="601"/>
      <c r="NCK188" s="600" t="s">
        <v>646</v>
      </c>
      <c r="NCL188" s="601"/>
      <c r="NCM188" s="601"/>
      <c r="NCN188" s="601"/>
      <c r="NCO188" s="601"/>
      <c r="NCP188" s="601"/>
      <c r="NCQ188" s="601"/>
      <c r="NCR188" s="601"/>
      <c r="NCS188" s="601"/>
      <c r="NCT188" s="601"/>
      <c r="NCU188" s="601"/>
      <c r="NCV188" s="601"/>
      <c r="NCW188" s="601"/>
      <c r="NCX188" s="601"/>
      <c r="NCY188" s="601"/>
      <c r="NCZ188" s="601"/>
      <c r="NDA188" s="600" t="s">
        <v>646</v>
      </c>
      <c r="NDB188" s="601"/>
      <c r="NDC188" s="601"/>
      <c r="NDD188" s="601"/>
      <c r="NDE188" s="601"/>
      <c r="NDF188" s="601"/>
      <c r="NDG188" s="601"/>
      <c r="NDH188" s="601"/>
      <c r="NDI188" s="601"/>
      <c r="NDJ188" s="601"/>
      <c r="NDK188" s="601"/>
      <c r="NDL188" s="601"/>
      <c r="NDM188" s="601"/>
      <c r="NDN188" s="601"/>
      <c r="NDO188" s="601"/>
      <c r="NDP188" s="601"/>
      <c r="NDQ188" s="600" t="s">
        <v>646</v>
      </c>
      <c r="NDR188" s="601"/>
      <c r="NDS188" s="601"/>
      <c r="NDT188" s="601"/>
      <c r="NDU188" s="601"/>
      <c r="NDV188" s="601"/>
      <c r="NDW188" s="601"/>
      <c r="NDX188" s="601"/>
      <c r="NDY188" s="601"/>
      <c r="NDZ188" s="601"/>
      <c r="NEA188" s="601"/>
      <c r="NEB188" s="601"/>
      <c r="NEC188" s="601"/>
      <c r="NED188" s="601"/>
      <c r="NEE188" s="601"/>
      <c r="NEF188" s="601"/>
      <c r="NEG188" s="600" t="s">
        <v>646</v>
      </c>
      <c r="NEH188" s="601"/>
      <c r="NEI188" s="601"/>
      <c r="NEJ188" s="601"/>
      <c r="NEK188" s="601"/>
      <c r="NEL188" s="601"/>
      <c r="NEM188" s="601"/>
      <c r="NEN188" s="601"/>
      <c r="NEO188" s="601"/>
      <c r="NEP188" s="601"/>
      <c r="NEQ188" s="601"/>
      <c r="NER188" s="601"/>
      <c r="NES188" s="601"/>
      <c r="NET188" s="601"/>
      <c r="NEU188" s="601"/>
      <c r="NEV188" s="601"/>
      <c r="NEW188" s="600" t="s">
        <v>646</v>
      </c>
      <c r="NEX188" s="601"/>
      <c r="NEY188" s="601"/>
      <c r="NEZ188" s="601"/>
      <c r="NFA188" s="601"/>
      <c r="NFB188" s="601"/>
      <c r="NFC188" s="601"/>
      <c r="NFD188" s="601"/>
      <c r="NFE188" s="601"/>
      <c r="NFF188" s="601"/>
      <c r="NFG188" s="601"/>
      <c r="NFH188" s="601"/>
      <c r="NFI188" s="601"/>
      <c r="NFJ188" s="601"/>
      <c r="NFK188" s="601"/>
      <c r="NFL188" s="601"/>
      <c r="NFM188" s="600" t="s">
        <v>646</v>
      </c>
      <c r="NFN188" s="601"/>
      <c r="NFO188" s="601"/>
      <c r="NFP188" s="601"/>
      <c r="NFQ188" s="601"/>
      <c r="NFR188" s="601"/>
      <c r="NFS188" s="601"/>
      <c r="NFT188" s="601"/>
      <c r="NFU188" s="601"/>
      <c r="NFV188" s="601"/>
      <c r="NFW188" s="601"/>
      <c r="NFX188" s="601"/>
      <c r="NFY188" s="601"/>
      <c r="NFZ188" s="601"/>
      <c r="NGA188" s="601"/>
      <c r="NGB188" s="601"/>
      <c r="NGC188" s="600" t="s">
        <v>646</v>
      </c>
      <c r="NGD188" s="601"/>
      <c r="NGE188" s="601"/>
      <c r="NGF188" s="601"/>
      <c r="NGG188" s="601"/>
      <c r="NGH188" s="601"/>
      <c r="NGI188" s="601"/>
      <c r="NGJ188" s="601"/>
      <c r="NGK188" s="601"/>
      <c r="NGL188" s="601"/>
      <c r="NGM188" s="601"/>
      <c r="NGN188" s="601"/>
      <c r="NGO188" s="601"/>
      <c r="NGP188" s="601"/>
      <c r="NGQ188" s="601"/>
      <c r="NGR188" s="601"/>
      <c r="NGS188" s="600" t="s">
        <v>646</v>
      </c>
      <c r="NGT188" s="601"/>
      <c r="NGU188" s="601"/>
      <c r="NGV188" s="601"/>
      <c r="NGW188" s="601"/>
      <c r="NGX188" s="601"/>
      <c r="NGY188" s="601"/>
      <c r="NGZ188" s="601"/>
      <c r="NHA188" s="601"/>
      <c r="NHB188" s="601"/>
      <c r="NHC188" s="601"/>
      <c r="NHD188" s="601"/>
      <c r="NHE188" s="601"/>
      <c r="NHF188" s="601"/>
      <c r="NHG188" s="601"/>
      <c r="NHH188" s="601"/>
      <c r="NHI188" s="600" t="s">
        <v>646</v>
      </c>
      <c r="NHJ188" s="601"/>
      <c r="NHK188" s="601"/>
      <c r="NHL188" s="601"/>
      <c r="NHM188" s="601"/>
      <c r="NHN188" s="601"/>
      <c r="NHO188" s="601"/>
      <c r="NHP188" s="601"/>
      <c r="NHQ188" s="601"/>
      <c r="NHR188" s="601"/>
      <c r="NHS188" s="601"/>
      <c r="NHT188" s="601"/>
      <c r="NHU188" s="601"/>
      <c r="NHV188" s="601"/>
      <c r="NHW188" s="601"/>
      <c r="NHX188" s="601"/>
      <c r="NHY188" s="600" t="s">
        <v>646</v>
      </c>
      <c r="NHZ188" s="601"/>
      <c r="NIA188" s="601"/>
      <c r="NIB188" s="601"/>
      <c r="NIC188" s="601"/>
      <c r="NID188" s="601"/>
      <c r="NIE188" s="601"/>
      <c r="NIF188" s="601"/>
      <c r="NIG188" s="601"/>
      <c r="NIH188" s="601"/>
      <c r="NII188" s="601"/>
      <c r="NIJ188" s="601"/>
      <c r="NIK188" s="601"/>
      <c r="NIL188" s="601"/>
      <c r="NIM188" s="601"/>
      <c r="NIN188" s="601"/>
      <c r="NIO188" s="600" t="s">
        <v>646</v>
      </c>
      <c r="NIP188" s="601"/>
      <c r="NIQ188" s="601"/>
      <c r="NIR188" s="601"/>
      <c r="NIS188" s="601"/>
      <c r="NIT188" s="601"/>
      <c r="NIU188" s="601"/>
      <c r="NIV188" s="601"/>
      <c r="NIW188" s="601"/>
      <c r="NIX188" s="601"/>
      <c r="NIY188" s="601"/>
      <c r="NIZ188" s="601"/>
      <c r="NJA188" s="601"/>
      <c r="NJB188" s="601"/>
      <c r="NJC188" s="601"/>
      <c r="NJD188" s="601"/>
      <c r="NJE188" s="600" t="s">
        <v>646</v>
      </c>
      <c r="NJF188" s="601"/>
      <c r="NJG188" s="601"/>
      <c r="NJH188" s="601"/>
      <c r="NJI188" s="601"/>
      <c r="NJJ188" s="601"/>
      <c r="NJK188" s="601"/>
      <c r="NJL188" s="601"/>
      <c r="NJM188" s="601"/>
      <c r="NJN188" s="601"/>
      <c r="NJO188" s="601"/>
      <c r="NJP188" s="601"/>
      <c r="NJQ188" s="601"/>
      <c r="NJR188" s="601"/>
      <c r="NJS188" s="601"/>
      <c r="NJT188" s="601"/>
      <c r="NJU188" s="600" t="s">
        <v>646</v>
      </c>
      <c r="NJV188" s="601"/>
      <c r="NJW188" s="601"/>
      <c r="NJX188" s="601"/>
      <c r="NJY188" s="601"/>
      <c r="NJZ188" s="601"/>
      <c r="NKA188" s="601"/>
      <c r="NKB188" s="601"/>
      <c r="NKC188" s="601"/>
      <c r="NKD188" s="601"/>
      <c r="NKE188" s="601"/>
      <c r="NKF188" s="601"/>
      <c r="NKG188" s="601"/>
      <c r="NKH188" s="601"/>
      <c r="NKI188" s="601"/>
      <c r="NKJ188" s="601"/>
      <c r="NKK188" s="600" t="s">
        <v>646</v>
      </c>
      <c r="NKL188" s="601"/>
      <c r="NKM188" s="601"/>
      <c r="NKN188" s="601"/>
      <c r="NKO188" s="601"/>
      <c r="NKP188" s="601"/>
      <c r="NKQ188" s="601"/>
      <c r="NKR188" s="601"/>
      <c r="NKS188" s="601"/>
      <c r="NKT188" s="601"/>
      <c r="NKU188" s="601"/>
      <c r="NKV188" s="601"/>
      <c r="NKW188" s="601"/>
      <c r="NKX188" s="601"/>
      <c r="NKY188" s="601"/>
      <c r="NKZ188" s="601"/>
      <c r="NLA188" s="600" t="s">
        <v>646</v>
      </c>
      <c r="NLB188" s="601"/>
      <c r="NLC188" s="601"/>
      <c r="NLD188" s="601"/>
      <c r="NLE188" s="601"/>
      <c r="NLF188" s="601"/>
      <c r="NLG188" s="601"/>
      <c r="NLH188" s="601"/>
      <c r="NLI188" s="601"/>
      <c r="NLJ188" s="601"/>
      <c r="NLK188" s="601"/>
      <c r="NLL188" s="601"/>
      <c r="NLM188" s="601"/>
      <c r="NLN188" s="601"/>
      <c r="NLO188" s="601"/>
      <c r="NLP188" s="601"/>
      <c r="NLQ188" s="600" t="s">
        <v>646</v>
      </c>
      <c r="NLR188" s="601"/>
      <c r="NLS188" s="601"/>
      <c r="NLT188" s="601"/>
      <c r="NLU188" s="601"/>
      <c r="NLV188" s="601"/>
      <c r="NLW188" s="601"/>
      <c r="NLX188" s="601"/>
      <c r="NLY188" s="601"/>
      <c r="NLZ188" s="601"/>
      <c r="NMA188" s="601"/>
      <c r="NMB188" s="601"/>
      <c r="NMC188" s="601"/>
      <c r="NMD188" s="601"/>
      <c r="NME188" s="601"/>
      <c r="NMF188" s="601"/>
      <c r="NMG188" s="600" t="s">
        <v>646</v>
      </c>
      <c r="NMH188" s="601"/>
      <c r="NMI188" s="601"/>
      <c r="NMJ188" s="601"/>
      <c r="NMK188" s="601"/>
      <c r="NML188" s="601"/>
      <c r="NMM188" s="601"/>
      <c r="NMN188" s="601"/>
      <c r="NMO188" s="601"/>
      <c r="NMP188" s="601"/>
      <c r="NMQ188" s="601"/>
      <c r="NMR188" s="601"/>
      <c r="NMS188" s="601"/>
      <c r="NMT188" s="601"/>
      <c r="NMU188" s="601"/>
      <c r="NMV188" s="601"/>
      <c r="NMW188" s="600" t="s">
        <v>646</v>
      </c>
      <c r="NMX188" s="601"/>
      <c r="NMY188" s="601"/>
      <c r="NMZ188" s="601"/>
      <c r="NNA188" s="601"/>
      <c r="NNB188" s="601"/>
      <c r="NNC188" s="601"/>
      <c r="NND188" s="601"/>
      <c r="NNE188" s="601"/>
      <c r="NNF188" s="601"/>
      <c r="NNG188" s="601"/>
      <c r="NNH188" s="601"/>
      <c r="NNI188" s="601"/>
      <c r="NNJ188" s="601"/>
      <c r="NNK188" s="601"/>
      <c r="NNL188" s="601"/>
      <c r="NNM188" s="600" t="s">
        <v>646</v>
      </c>
      <c r="NNN188" s="601"/>
      <c r="NNO188" s="601"/>
      <c r="NNP188" s="601"/>
      <c r="NNQ188" s="601"/>
      <c r="NNR188" s="601"/>
      <c r="NNS188" s="601"/>
      <c r="NNT188" s="601"/>
      <c r="NNU188" s="601"/>
      <c r="NNV188" s="601"/>
      <c r="NNW188" s="601"/>
      <c r="NNX188" s="601"/>
      <c r="NNY188" s="601"/>
      <c r="NNZ188" s="601"/>
      <c r="NOA188" s="601"/>
      <c r="NOB188" s="601"/>
      <c r="NOC188" s="600" t="s">
        <v>646</v>
      </c>
      <c r="NOD188" s="601"/>
      <c r="NOE188" s="601"/>
      <c r="NOF188" s="601"/>
      <c r="NOG188" s="601"/>
      <c r="NOH188" s="601"/>
      <c r="NOI188" s="601"/>
      <c r="NOJ188" s="601"/>
      <c r="NOK188" s="601"/>
      <c r="NOL188" s="601"/>
      <c r="NOM188" s="601"/>
      <c r="NON188" s="601"/>
      <c r="NOO188" s="601"/>
      <c r="NOP188" s="601"/>
      <c r="NOQ188" s="601"/>
      <c r="NOR188" s="601"/>
      <c r="NOS188" s="600" t="s">
        <v>646</v>
      </c>
      <c r="NOT188" s="601"/>
      <c r="NOU188" s="601"/>
      <c r="NOV188" s="601"/>
      <c r="NOW188" s="601"/>
      <c r="NOX188" s="601"/>
      <c r="NOY188" s="601"/>
      <c r="NOZ188" s="601"/>
      <c r="NPA188" s="601"/>
      <c r="NPB188" s="601"/>
      <c r="NPC188" s="601"/>
      <c r="NPD188" s="601"/>
      <c r="NPE188" s="601"/>
      <c r="NPF188" s="601"/>
      <c r="NPG188" s="601"/>
      <c r="NPH188" s="601"/>
      <c r="NPI188" s="600" t="s">
        <v>646</v>
      </c>
      <c r="NPJ188" s="601"/>
      <c r="NPK188" s="601"/>
      <c r="NPL188" s="601"/>
      <c r="NPM188" s="601"/>
      <c r="NPN188" s="601"/>
      <c r="NPO188" s="601"/>
      <c r="NPP188" s="601"/>
      <c r="NPQ188" s="601"/>
      <c r="NPR188" s="601"/>
      <c r="NPS188" s="601"/>
      <c r="NPT188" s="601"/>
      <c r="NPU188" s="601"/>
      <c r="NPV188" s="601"/>
      <c r="NPW188" s="601"/>
      <c r="NPX188" s="601"/>
      <c r="NPY188" s="600" t="s">
        <v>646</v>
      </c>
      <c r="NPZ188" s="601"/>
      <c r="NQA188" s="601"/>
      <c r="NQB188" s="601"/>
      <c r="NQC188" s="601"/>
      <c r="NQD188" s="601"/>
      <c r="NQE188" s="601"/>
      <c r="NQF188" s="601"/>
      <c r="NQG188" s="601"/>
      <c r="NQH188" s="601"/>
      <c r="NQI188" s="601"/>
      <c r="NQJ188" s="601"/>
      <c r="NQK188" s="601"/>
      <c r="NQL188" s="601"/>
      <c r="NQM188" s="601"/>
      <c r="NQN188" s="601"/>
      <c r="NQO188" s="600" t="s">
        <v>646</v>
      </c>
      <c r="NQP188" s="601"/>
      <c r="NQQ188" s="601"/>
      <c r="NQR188" s="601"/>
      <c r="NQS188" s="601"/>
      <c r="NQT188" s="601"/>
      <c r="NQU188" s="601"/>
      <c r="NQV188" s="601"/>
      <c r="NQW188" s="601"/>
      <c r="NQX188" s="601"/>
      <c r="NQY188" s="601"/>
      <c r="NQZ188" s="601"/>
      <c r="NRA188" s="601"/>
      <c r="NRB188" s="601"/>
      <c r="NRC188" s="601"/>
      <c r="NRD188" s="601"/>
      <c r="NRE188" s="600" t="s">
        <v>646</v>
      </c>
      <c r="NRF188" s="601"/>
      <c r="NRG188" s="601"/>
      <c r="NRH188" s="601"/>
      <c r="NRI188" s="601"/>
      <c r="NRJ188" s="601"/>
      <c r="NRK188" s="601"/>
      <c r="NRL188" s="601"/>
      <c r="NRM188" s="601"/>
      <c r="NRN188" s="601"/>
      <c r="NRO188" s="601"/>
      <c r="NRP188" s="601"/>
      <c r="NRQ188" s="601"/>
      <c r="NRR188" s="601"/>
      <c r="NRS188" s="601"/>
      <c r="NRT188" s="601"/>
      <c r="NRU188" s="600" t="s">
        <v>646</v>
      </c>
      <c r="NRV188" s="601"/>
      <c r="NRW188" s="601"/>
      <c r="NRX188" s="601"/>
      <c r="NRY188" s="601"/>
      <c r="NRZ188" s="601"/>
      <c r="NSA188" s="601"/>
      <c r="NSB188" s="601"/>
      <c r="NSC188" s="601"/>
      <c r="NSD188" s="601"/>
      <c r="NSE188" s="601"/>
      <c r="NSF188" s="601"/>
      <c r="NSG188" s="601"/>
      <c r="NSH188" s="601"/>
      <c r="NSI188" s="601"/>
      <c r="NSJ188" s="601"/>
      <c r="NSK188" s="600" t="s">
        <v>646</v>
      </c>
      <c r="NSL188" s="601"/>
      <c r="NSM188" s="601"/>
      <c r="NSN188" s="601"/>
      <c r="NSO188" s="601"/>
      <c r="NSP188" s="601"/>
      <c r="NSQ188" s="601"/>
      <c r="NSR188" s="601"/>
      <c r="NSS188" s="601"/>
      <c r="NST188" s="601"/>
      <c r="NSU188" s="601"/>
      <c r="NSV188" s="601"/>
      <c r="NSW188" s="601"/>
      <c r="NSX188" s="601"/>
      <c r="NSY188" s="601"/>
      <c r="NSZ188" s="601"/>
      <c r="NTA188" s="600" t="s">
        <v>646</v>
      </c>
      <c r="NTB188" s="601"/>
      <c r="NTC188" s="601"/>
      <c r="NTD188" s="601"/>
      <c r="NTE188" s="601"/>
      <c r="NTF188" s="601"/>
      <c r="NTG188" s="601"/>
      <c r="NTH188" s="601"/>
      <c r="NTI188" s="601"/>
      <c r="NTJ188" s="601"/>
      <c r="NTK188" s="601"/>
      <c r="NTL188" s="601"/>
      <c r="NTM188" s="601"/>
      <c r="NTN188" s="601"/>
      <c r="NTO188" s="601"/>
      <c r="NTP188" s="601"/>
      <c r="NTQ188" s="600" t="s">
        <v>646</v>
      </c>
      <c r="NTR188" s="601"/>
      <c r="NTS188" s="601"/>
      <c r="NTT188" s="601"/>
      <c r="NTU188" s="601"/>
      <c r="NTV188" s="601"/>
      <c r="NTW188" s="601"/>
      <c r="NTX188" s="601"/>
      <c r="NTY188" s="601"/>
      <c r="NTZ188" s="601"/>
      <c r="NUA188" s="601"/>
      <c r="NUB188" s="601"/>
      <c r="NUC188" s="601"/>
      <c r="NUD188" s="601"/>
      <c r="NUE188" s="601"/>
      <c r="NUF188" s="601"/>
      <c r="NUG188" s="600" t="s">
        <v>646</v>
      </c>
      <c r="NUH188" s="601"/>
      <c r="NUI188" s="601"/>
      <c r="NUJ188" s="601"/>
      <c r="NUK188" s="601"/>
      <c r="NUL188" s="601"/>
      <c r="NUM188" s="601"/>
      <c r="NUN188" s="601"/>
      <c r="NUO188" s="601"/>
      <c r="NUP188" s="601"/>
      <c r="NUQ188" s="601"/>
      <c r="NUR188" s="601"/>
      <c r="NUS188" s="601"/>
      <c r="NUT188" s="601"/>
      <c r="NUU188" s="601"/>
      <c r="NUV188" s="601"/>
      <c r="NUW188" s="600" t="s">
        <v>646</v>
      </c>
      <c r="NUX188" s="601"/>
      <c r="NUY188" s="601"/>
      <c r="NUZ188" s="601"/>
      <c r="NVA188" s="601"/>
      <c r="NVB188" s="601"/>
      <c r="NVC188" s="601"/>
      <c r="NVD188" s="601"/>
      <c r="NVE188" s="601"/>
      <c r="NVF188" s="601"/>
      <c r="NVG188" s="601"/>
      <c r="NVH188" s="601"/>
      <c r="NVI188" s="601"/>
      <c r="NVJ188" s="601"/>
      <c r="NVK188" s="601"/>
      <c r="NVL188" s="601"/>
      <c r="NVM188" s="600" t="s">
        <v>646</v>
      </c>
      <c r="NVN188" s="601"/>
      <c r="NVO188" s="601"/>
      <c r="NVP188" s="601"/>
      <c r="NVQ188" s="601"/>
      <c r="NVR188" s="601"/>
      <c r="NVS188" s="601"/>
      <c r="NVT188" s="601"/>
      <c r="NVU188" s="601"/>
      <c r="NVV188" s="601"/>
      <c r="NVW188" s="601"/>
      <c r="NVX188" s="601"/>
      <c r="NVY188" s="601"/>
      <c r="NVZ188" s="601"/>
      <c r="NWA188" s="601"/>
      <c r="NWB188" s="601"/>
      <c r="NWC188" s="600" t="s">
        <v>646</v>
      </c>
      <c r="NWD188" s="601"/>
      <c r="NWE188" s="601"/>
      <c r="NWF188" s="601"/>
      <c r="NWG188" s="601"/>
      <c r="NWH188" s="601"/>
      <c r="NWI188" s="601"/>
      <c r="NWJ188" s="601"/>
      <c r="NWK188" s="601"/>
      <c r="NWL188" s="601"/>
      <c r="NWM188" s="601"/>
      <c r="NWN188" s="601"/>
      <c r="NWO188" s="601"/>
      <c r="NWP188" s="601"/>
      <c r="NWQ188" s="601"/>
      <c r="NWR188" s="601"/>
      <c r="NWS188" s="600" t="s">
        <v>646</v>
      </c>
      <c r="NWT188" s="601"/>
      <c r="NWU188" s="601"/>
      <c r="NWV188" s="601"/>
      <c r="NWW188" s="601"/>
      <c r="NWX188" s="601"/>
      <c r="NWY188" s="601"/>
      <c r="NWZ188" s="601"/>
      <c r="NXA188" s="601"/>
      <c r="NXB188" s="601"/>
      <c r="NXC188" s="601"/>
      <c r="NXD188" s="601"/>
      <c r="NXE188" s="601"/>
      <c r="NXF188" s="601"/>
      <c r="NXG188" s="601"/>
      <c r="NXH188" s="601"/>
      <c r="NXI188" s="600" t="s">
        <v>646</v>
      </c>
      <c r="NXJ188" s="601"/>
      <c r="NXK188" s="601"/>
      <c r="NXL188" s="601"/>
      <c r="NXM188" s="601"/>
      <c r="NXN188" s="601"/>
      <c r="NXO188" s="601"/>
      <c r="NXP188" s="601"/>
      <c r="NXQ188" s="601"/>
      <c r="NXR188" s="601"/>
      <c r="NXS188" s="601"/>
      <c r="NXT188" s="601"/>
      <c r="NXU188" s="601"/>
      <c r="NXV188" s="601"/>
      <c r="NXW188" s="601"/>
      <c r="NXX188" s="601"/>
      <c r="NXY188" s="600" t="s">
        <v>646</v>
      </c>
      <c r="NXZ188" s="601"/>
      <c r="NYA188" s="601"/>
      <c r="NYB188" s="601"/>
      <c r="NYC188" s="601"/>
      <c r="NYD188" s="601"/>
      <c r="NYE188" s="601"/>
      <c r="NYF188" s="601"/>
      <c r="NYG188" s="601"/>
      <c r="NYH188" s="601"/>
      <c r="NYI188" s="601"/>
      <c r="NYJ188" s="601"/>
      <c r="NYK188" s="601"/>
      <c r="NYL188" s="601"/>
      <c r="NYM188" s="601"/>
      <c r="NYN188" s="601"/>
      <c r="NYO188" s="600" t="s">
        <v>646</v>
      </c>
      <c r="NYP188" s="601"/>
      <c r="NYQ188" s="601"/>
      <c r="NYR188" s="601"/>
      <c r="NYS188" s="601"/>
      <c r="NYT188" s="601"/>
      <c r="NYU188" s="601"/>
      <c r="NYV188" s="601"/>
      <c r="NYW188" s="601"/>
      <c r="NYX188" s="601"/>
      <c r="NYY188" s="601"/>
      <c r="NYZ188" s="601"/>
      <c r="NZA188" s="601"/>
      <c r="NZB188" s="601"/>
      <c r="NZC188" s="601"/>
      <c r="NZD188" s="601"/>
      <c r="NZE188" s="600" t="s">
        <v>646</v>
      </c>
      <c r="NZF188" s="601"/>
      <c r="NZG188" s="601"/>
      <c r="NZH188" s="601"/>
      <c r="NZI188" s="601"/>
      <c r="NZJ188" s="601"/>
      <c r="NZK188" s="601"/>
      <c r="NZL188" s="601"/>
      <c r="NZM188" s="601"/>
      <c r="NZN188" s="601"/>
      <c r="NZO188" s="601"/>
      <c r="NZP188" s="601"/>
      <c r="NZQ188" s="601"/>
      <c r="NZR188" s="601"/>
      <c r="NZS188" s="601"/>
      <c r="NZT188" s="601"/>
      <c r="NZU188" s="600" t="s">
        <v>646</v>
      </c>
      <c r="NZV188" s="601"/>
      <c r="NZW188" s="601"/>
      <c r="NZX188" s="601"/>
      <c r="NZY188" s="601"/>
      <c r="NZZ188" s="601"/>
      <c r="OAA188" s="601"/>
      <c r="OAB188" s="601"/>
      <c r="OAC188" s="601"/>
      <c r="OAD188" s="601"/>
      <c r="OAE188" s="601"/>
      <c r="OAF188" s="601"/>
      <c r="OAG188" s="601"/>
      <c r="OAH188" s="601"/>
      <c r="OAI188" s="601"/>
      <c r="OAJ188" s="601"/>
      <c r="OAK188" s="600" t="s">
        <v>646</v>
      </c>
      <c r="OAL188" s="601"/>
      <c r="OAM188" s="601"/>
      <c r="OAN188" s="601"/>
      <c r="OAO188" s="601"/>
      <c r="OAP188" s="601"/>
      <c r="OAQ188" s="601"/>
      <c r="OAR188" s="601"/>
      <c r="OAS188" s="601"/>
      <c r="OAT188" s="601"/>
      <c r="OAU188" s="601"/>
      <c r="OAV188" s="601"/>
      <c r="OAW188" s="601"/>
      <c r="OAX188" s="601"/>
      <c r="OAY188" s="601"/>
      <c r="OAZ188" s="601"/>
      <c r="OBA188" s="600" t="s">
        <v>646</v>
      </c>
      <c r="OBB188" s="601"/>
      <c r="OBC188" s="601"/>
      <c r="OBD188" s="601"/>
      <c r="OBE188" s="601"/>
      <c r="OBF188" s="601"/>
      <c r="OBG188" s="601"/>
      <c r="OBH188" s="601"/>
      <c r="OBI188" s="601"/>
      <c r="OBJ188" s="601"/>
      <c r="OBK188" s="601"/>
      <c r="OBL188" s="601"/>
      <c r="OBM188" s="601"/>
      <c r="OBN188" s="601"/>
      <c r="OBO188" s="601"/>
      <c r="OBP188" s="601"/>
      <c r="OBQ188" s="600" t="s">
        <v>646</v>
      </c>
      <c r="OBR188" s="601"/>
      <c r="OBS188" s="601"/>
      <c r="OBT188" s="601"/>
      <c r="OBU188" s="601"/>
      <c r="OBV188" s="601"/>
      <c r="OBW188" s="601"/>
      <c r="OBX188" s="601"/>
      <c r="OBY188" s="601"/>
      <c r="OBZ188" s="601"/>
      <c r="OCA188" s="601"/>
      <c r="OCB188" s="601"/>
      <c r="OCC188" s="601"/>
      <c r="OCD188" s="601"/>
      <c r="OCE188" s="601"/>
      <c r="OCF188" s="601"/>
      <c r="OCG188" s="600" t="s">
        <v>646</v>
      </c>
      <c r="OCH188" s="601"/>
      <c r="OCI188" s="601"/>
      <c r="OCJ188" s="601"/>
      <c r="OCK188" s="601"/>
      <c r="OCL188" s="601"/>
      <c r="OCM188" s="601"/>
      <c r="OCN188" s="601"/>
      <c r="OCO188" s="601"/>
      <c r="OCP188" s="601"/>
      <c r="OCQ188" s="601"/>
      <c r="OCR188" s="601"/>
      <c r="OCS188" s="601"/>
      <c r="OCT188" s="601"/>
      <c r="OCU188" s="601"/>
      <c r="OCV188" s="601"/>
      <c r="OCW188" s="600" t="s">
        <v>646</v>
      </c>
      <c r="OCX188" s="601"/>
      <c r="OCY188" s="601"/>
      <c r="OCZ188" s="601"/>
      <c r="ODA188" s="601"/>
      <c r="ODB188" s="601"/>
      <c r="ODC188" s="601"/>
      <c r="ODD188" s="601"/>
      <c r="ODE188" s="601"/>
      <c r="ODF188" s="601"/>
      <c r="ODG188" s="601"/>
      <c r="ODH188" s="601"/>
      <c r="ODI188" s="601"/>
      <c r="ODJ188" s="601"/>
      <c r="ODK188" s="601"/>
      <c r="ODL188" s="601"/>
      <c r="ODM188" s="600" t="s">
        <v>646</v>
      </c>
      <c r="ODN188" s="601"/>
      <c r="ODO188" s="601"/>
      <c r="ODP188" s="601"/>
      <c r="ODQ188" s="601"/>
      <c r="ODR188" s="601"/>
      <c r="ODS188" s="601"/>
      <c r="ODT188" s="601"/>
      <c r="ODU188" s="601"/>
      <c r="ODV188" s="601"/>
      <c r="ODW188" s="601"/>
      <c r="ODX188" s="601"/>
      <c r="ODY188" s="601"/>
      <c r="ODZ188" s="601"/>
      <c r="OEA188" s="601"/>
      <c r="OEB188" s="601"/>
      <c r="OEC188" s="600" t="s">
        <v>646</v>
      </c>
      <c r="OED188" s="601"/>
      <c r="OEE188" s="601"/>
      <c r="OEF188" s="601"/>
      <c r="OEG188" s="601"/>
      <c r="OEH188" s="601"/>
      <c r="OEI188" s="601"/>
      <c r="OEJ188" s="601"/>
      <c r="OEK188" s="601"/>
      <c r="OEL188" s="601"/>
      <c r="OEM188" s="601"/>
      <c r="OEN188" s="601"/>
      <c r="OEO188" s="601"/>
      <c r="OEP188" s="601"/>
      <c r="OEQ188" s="601"/>
      <c r="OER188" s="601"/>
      <c r="OES188" s="600" t="s">
        <v>646</v>
      </c>
      <c r="OET188" s="601"/>
      <c r="OEU188" s="601"/>
      <c r="OEV188" s="601"/>
      <c r="OEW188" s="601"/>
      <c r="OEX188" s="601"/>
      <c r="OEY188" s="601"/>
      <c r="OEZ188" s="601"/>
      <c r="OFA188" s="601"/>
      <c r="OFB188" s="601"/>
      <c r="OFC188" s="601"/>
      <c r="OFD188" s="601"/>
      <c r="OFE188" s="601"/>
      <c r="OFF188" s="601"/>
      <c r="OFG188" s="601"/>
      <c r="OFH188" s="601"/>
      <c r="OFI188" s="600" t="s">
        <v>646</v>
      </c>
      <c r="OFJ188" s="601"/>
      <c r="OFK188" s="601"/>
      <c r="OFL188" s="601"/>
      <c r="OFM188" s="601"/>
      <c r="OFN188" s="601"/>
      <c r="OFO188" s="601"/>
      <c r="OFP188" s="601"/>
      <c r="OFQ188" s="601"/>
      <c r="OFR188" s="601"/>
      <c r="OFS188" s="601"/>
      <c r="OFT188" s="601"/>
      <c r="OFU188" s="601"/>
      <c r="OFV188" s="601"/>
      <c r="OFW188" s="601"/>
      <c r="OFX188" s="601"/>
      <c r="OFY188" s="600" t="s">
        <v>646</v>
      </c>
      <c r="OFZ188" s="601"/>
      <c r="OGA188" s="601"/>
      <c r="OGB188" s="601"/>
      <c r="OGC188" s="601"/>
      <c r="OGD188" s="601"/>
      <c r="OGE188" s="601"/>
      <c r="OGF188" s="601"/>
      <c r="OGG188" s="601"/>
      <c r="OGH188" s="601"/>
      <c r="OGI188" s="601"/>
      <c r="OGJ188" s="601"/>
      <c r="OGK188" s="601"/>
      <c r="OGL188" s="601"/>
      <c r="OGM188" s="601"/>
      <c r="OGN188" s="601"/>
      <c r="OGO188" s="600" t="s">
        <v>646</v>
      </c>
      <c r="OGP188" s="601"/>
      <c r="OGQ188" s="601"/>
      <c r="OGR188" s="601"/>
      <c r="OGS188" s="601"/>
      <c r="OGT188" s="601"/>
      <c r="OGU188" s="601"/>
      <c r="OGV188" s="601"/>
      <c r="OGW188" s="601"/>
      <c r="OGX188" s="601"/>
      <c r="OGY188" s="601"/>
      <c r="OGZ188" s="601"/>
      <c r="OHA188" s="601"/>
      <c r="OHB188" s="601"/>
      <c r="OHC188" s="601"/>
      <c r="OHD188" s="601"/>
      <c r="OHE188" s="600" t="s">
        <v>646</v>
      </c>
      <c r="OHF188" s="601"/>
      <c r="OHG188" s="601"/>
      <c r="OHH188" s="601"/>
      <c r="OHI188" s="601"/>
      <c r="OHJ188" s="601"/>
      <c r="OHK188" s="601"/>
      <c r="OHL188" s="601"/>
      <c r="OHM188" s="601"/>
      <c r="OHN188" s="601"/>
      <c r="OHO188" s="601"/>
      <c r="OHP188" s="601"/>
      <c r="OHQ188" s="601"/>
      <c r="OHR188" s="601"/>
      <c r="OHS188" s="601"/>
      <c r="OHT188" s="601"/>
      <c r="OHU188" s="600" t="s">
        <v>646</v>
      </c>
      <c r="OHV188" s="601"/>
      <c r="OHW188" s="601"/>
      <c r="OHX188" s="601"/>
      <c r="OHY188" s="601"/>
      <c r="OHZ188" s="601"/>
      <c r="OIA188" s="601"/>
      <c r="OIB188" s="601"/>
      <c r="OIC188" s="601"/>
      <c r="OID188" s="601"/>
      <c r="OIE188" s="601"/>
      <c r="OIF188" s="601"/>
      <c r="OIG188" s="601"/>
      <c r="OIH188" s="601"/>
      <c r="OII188" s="601"/>
      <c r="OIJ188" s="601"/>
      <c r="OIK188" s="600" t="s">
        <v>646</v>
      </c>
      <c r="OIL188" s="601"/>
      <c r="OIM188" s="601"/>
      <c r="OIN188" s="601"/>
      <c r="OIO188" s="601"/>
      <c r="OIP188" s="601"/>
      <c r="OIQ188" s="601"/>
      <c r="OIR188" s="601"/>
      <c r="OIS188" s="601"/>
      <c r="OIT188" s="601"/>
      <c r="OIU188" s="601"/>
      <c r="OIV188" s="601"/>
      <c r="OIW188" s="601"/>
      <c r="OIX188" s="601"/>
      <c r="OIY188" s="601"/>
      <c r="OIZ188" s="601"/>
      <c r="OJA188" s="600" t="s">
        <v>646</v>
      </c>
      <c r="OJB188" s="601"/>
      <c r="OJC188" s="601"/>
      <c r="OJD188" s="601"/>
      <c r="OJE188" s="601"/>
      <c r="OJF188" s="601"/>
      <c r="OJG188" s="601"/>
      <c r="OJH188" s="601"/>
      <c r="OJI188" s="601"/>
      <c r="OJJ188" s="601"/>
      <c r="OJK188" s="601"/>
      <c r="OJL188" s="601"/>
      <c r="OJM188" s="601"/>
      <c r="OJN188" s="601"/>
      <c r="OJO188" s="601"/>
      <c r="OJP188" s="601"/>
      <c r="OJQ188" s="600" t="s">
        <v>646</v>
      </c>
      <c r="OJR188" s="601"/>
      <c r="OJS188" s="601"/>
      <c r="OJT188" s="601"/>
      <c r="OJU188" s="601"/>
      <c r="OJV188" s="601"/>
      <c r="OJW188" s="601"/>
      <c r="OJX188" s="601"/>
      <c r="OJY188" s="601"/>
      <c r="OJZ188" s="601"/>
      <c r="OKA188" s="601"/>
      <c r="OKB188" s="601"/>
      <c r="OKC188" s="601"/>
      <c r="OKD188" s="601"/>
      <c r="OKE188" s="601"/>
      <c r="OKF188" s="601"/>
      <c r="OKG188" s="600" t="s">
        <v>646</v>
      </c>
      <c r="OKH188" s="601"/>
      <c r="OKI188" s="601"/>
      <c r="OKJ188" s="601"/>
      <c r="OKK188" s="601"/>
      <c r="OKL188" s="601"/>
      <c r="OKM188" s="601"/>
      <c r="OKN188" s="601"/>
      <c r="OKO188" s="601"/>
      <c r="OKP188" s="601"/>
      <c r="OKQ188" s="601"/>
      <c r="OKR188" s="601"/>
      <c r="OKS188" s="601"/>
      <c r="OKT188" s="601"/>
      <c r="OKU188" s="601"/>
      <c r="OKV188" s="601"/>
      <c r="OKW188" s="600" t="s">
        <v>646</v>
      </c>
      <c r="OKX188" s="601"/>
      <c r="OKY188" s="601"/>
      <c r="OKZ188" s="601"/>
      <c r="OLA188" s="601"/>
      <c r="OLB188" s="601"/>
      <c r="OLC188" s="601"/>
      <c r="OLD188" s="601"/>
      <c r="OLE188" s="601"/>
      <c r="OLF188" s="601"/>
      <c r="OLG188" s="601"/>
      <c r="OLH188" s="601"/>
      <c r="OLI188" s="601"/>
      <c r="OLJ188" s="601"/>
      <c r="OLK188" s="601"/>
      <c r="OLL188" s="601"/>
      <c r="OLM188" s="600" t="s">
        <v>646</v>
      </c>
      <c r="OLN188" s="601"/>
      <c r="OLO188" s="601"/>
      <c r="OLP188" s="601"/>
      <c r="OLQ188" s="601"/>
      <c r="OLR188" s="601"/>
      <c r="OLS188" s="601"/>
      <c r="OLT188" s="601"/>
      <c r="OLU188" s="601"/>
      <c r="OLV188" s="601"/>
      <c r="OLW188" s="601"/>
      <c r="OLX188" s="601"/>
      <c r="OLY188" s="601"/>
      <c r="OLZ188" s="601"/>
      <c r="OMA188" s="601"/>
      <c r="OMB188" s="601"/>
      <c r="OMC188" s="600" t="s">
        <v>646</v>
      </c>
      <c r="OMD188" s="601"/>
      <c r="OME188" s="601"/>
      <c r="OMF188" s="601"/>
      <c r="OMG188" s="601"/>
      <c r="OMH188" s="601"/>
      <c r="OMI188" s="601"/>
      <c r="OMJ188" s="601"/>
      <c r="OMK188" s="601"/>
      <c r="OML188" s="601"/>
      <c r="OMM188" s="601"/>
      <c r="OMN188" s="601"/>
      <c r="OMO188" s="601"/>
      <c r="OMP188" s="601"/>
      <c r="OMQ188" s="601"/>
      <c r="OMR188" s="601"/>
      <c r="OMS188" s="600" t="s">
        <v>646</v>
      </c>
      <c r="OMT188" s="601"/>
      <c r="OMU188" s="601"/>
      <c r="OMV188" s="601"/>
      <c r="OMW188" s="601"/>
      <c r="OMX188" s="601"/>
      <c r="OMY188" s="601"/>
      <c r="OMZ188" s="601"/>
      <c r="ONA188" s="601"/>
      <c r="ONB188" s="601"/>
      <c r="ONC188" s="601"/>
      <c r="OND188" s="601"/>
      <c r="ONE188" s="601"/>
      <c r="ONF188" s="601"/>
      <c r="ONG188" s="601"/>
      <c r="ONH188" s="601"/>
      <c r="ONI188" s="600" t="s">
        <v>646</v>
      </c>
      <c r="ONJ188" s="601"/>
      <c r="ONK188" s="601"/>
      <c r="ONL188" s="601"/>
      <c r="ONM188" s="601"/>
      <c r="ONN188" s="601"/>
      <c r="ONO188" s="601"/>
      <c r="ONP188" s="601"/>
      <c r="ONQ188" s="601"/>
      <c r="ONR188" s="601"/>
      <c r="ONS188" s="601"/>
      <c r="ONT188" s="601"/>
      <c r="ONU188" s="601"/>
      <c r="ONV188" s="601"/>
      <c r="ONW188" s="601"/>
      <c r="ONX188" s="601"/>
      <c r="ONY188" s="600" t="s">
        <v>646</v>
      </c>
      <c r="ONZ188" s="601"/>
      <c r="OOA188" s="601"/>
      <c r="OOB188" s="601"/>
      <c r="OOC188" s="601"/>
      <c r="OOD188" s="601"/>
      <c r="OOE188" s="601"/>
      <c r="OOF188" s="601"/>
      <c r="OOG188" s="601"/>
      <c r="OOH188" s="601"/>
      <c r="OOI188" s="601"/>
      <c r="OOJ188" s="601"/>
      <c r="OOK188" s="601"/>
      <c r="OOL188" s="601"/>
      <c r="OOM188" s="601"/>
      <c r="OON188" s="601"/>
      <c r="OOO188" s="600" t="s">
        <v>646</v>
      </c>
      <c r="OOP188" s="601"/>
      <c r="OOQ188" s="601"/>
      <c r="OOR188" s="601"/>
      <c r="OOS188" s="601"/>
      <c r="OOT188" s="601"/>
      <c r="OOU188" s="601"/>
      <c r="OOV188" s="601"/>
      <c r="OOW188" s="601"/>
      <c r="OOX188" s="601"/>
      <c r="OOY188" s="601"/>
      <c r="OOZ188" s="601"/>
      <c r="OPA188" s="601"/>
      <c r="OPB188" s="601"/>
      <c r="OPC188" s="601"/>
      <c r="OPD188" s="601"/>
      <c r="OPE188" s="600" t="s">
        <v>646</v>
      </c>
      <c r="OPF188" s="601"/>
      <c r="OPG188" s="601"/>
      <c r="OPH188" s="601"/>
      <c r="OPI188" s="601"/>
      <c r="OPJ188" s="601"/>
      <c r="OPK188" s="601"/>
      <c r="OPL188" s="601"/>
      <c r="OPM188" s="601"/>
      <c r="OPN188" s="601"/>
      <c r="OPO188" s="601"/>
      <c r="OPP188" s="601"/>
      <c r="OPQ188" s="601"/>
      <c r="OPR188" s="601"/>
      <c r="OPS188" s="601"/>
      <c r="OPT188" s="601"/>
      <c r="OPU188" s="600" t="s">
        <v>646</v>
      </c>
      <c r="OPV188" s="601"/>
      <c r="OPW188" s="601"/>
      <c r="OPX188" s="601"/>
      <c r="OPY188" s="601"/>
      <c r="OPZ188" s="601"/>
      <c r="OQA188" s="601"/>
      <c r="OQB188" s="601"/>
      <c r="OQC188" s="601"/>
      <c r="OQD188" s="601"/>
      <c r="OQE188" s="601"/>
      <c r="OQF188" s="601"/>
      <c r="OQG188" s="601"/>
      <c r="OQH188" s="601"/>
      <c r="OQI188" s="601"/>
      <c r="OQJ188" s="601"/>
      <c r="OQK188" s="600" t="s">
        <v>646</v>
      </c>
      <c r="OQL188" s="601"/>
      <c r="OQM188" s="601"/>
      <c r="OQN188" s="601"/>
      <c r="OQO188" s="601"/>
      <c r="OQP188" s="601"/>
      <c r="OQQ188" s="601"/>
      <c r="OQR188" s="601"/>
      <c r="OQS188" s="601"/>
      <c r="OQT188" s="601"/>
      <c r="OQU188" s="601"/>
      <c r="OQV188" s="601"/>
      <c r="OQW188" s="601"/>
      <c r="OQX188" s="601"/>
      <c r="OQY188" s="601"/>
      <c r="OQZ188" s="601"/>
      <c r="ORA188" s="600" t="s">
        <v>646</v>
      </c>
      <c r="ORB188" s="601"/>
      <c r="ORC188" s="601"/>
      <c r="ORD188" s="601"/>
      <c r="ORE188" s="601"/>
      <c r="ORF188" s="601"/>
      <c r="ORG188" s="601"/>
      <c r="ORH188" s="601"/>
      <c r="ORI188" s="601"/>
      <c r="ORJ188" s="601"/>
      <c r="ORK188" s="601"/>
      <c r="ORL188" s="601"/>
      <c r="ORM188" s="601"/>
      <c r="ORN188" s="601"/>
      <c r="ORO188" s="601"/>
      <c r="ORP188" s="601"/>
      <c r="ORQ188" s="600" t="s">
        <v>646</v>
      </c>
      <c r="ORR188" s="601"/>
      <c r="ORS188" s="601"/>
      <c r="ORT188" s="601"/>
      <c r="ORU188" s="601"/>
      <c r="ORV188" s="601"/>
      <c r="ORW188" s="601"/>
      <c r="ORX188" s="601"/>
      <c r="ORY188" s="601"/>
      <c r="ORZ188" s="601"/>
      <c r="OSA188" s="601"/>
      <c r="OSB188" s="601"/>
      <c r="OSC188" s="601"/>
      <c r="OSD188" s="601"/>
      <c r="OSE188" s="601"/>
      <c r="OSF188" s="601"/>
      <c r="OSG188" s="600" t="s">
        <v>646</v>
      </c>
      <c r="OSH188" s="601"/>
      <c r="OSI188" s="601"/>
      <c r="OSJ188" s="601"/>
      <c r="OSK188" s="601"/>
      <c r="OSL188" s="601"/>
      <c r="OSM188" s="601"/>
      <c r="OSN188" s="601"/>
      <c r="OSO188" s="601"/>
      <c r="OSP188" s="601"/>
      <c r="OSQ188" s="601"/>
      <c r="OSR188" s="601"/>
      <c r="OSS188" s="601"/>
      <c r="OST188" s="601"/>
      <c r="OSU188" s="601"/>
      <c r="OSV188" s="601"/>
      <c r="OSW188" s="600" t="s">
        <v>646</v>
      </c>
      <c r="OSX188" s="601"/>
      <c r="OSY188" s="601"/>
      <c r="OSZ188" s="601"/>
      <c r="OTA188" s="601"/>
      <c r="OTB188" s="601"/>
      <c r="OTC188" s="601"/>
      <c r="OTD188" s="601"/>
      <c r="OTE188" s="601"/>
      <c r="OTF188" s="601"/>
      <c r="OTG188" s="601"/>
      <c r="OTH188" s="601"/>
      <c r="OTI188" s="601"/>
      <c r="OTJ188" s="601"/>
      <c r="OTK188" s="601"/>
      <c r="OTL188" s="601"/>
      <c r="OTM188" s="600" t="s">
        <v>646</v>
      </c>
      <c r="OTN188" s="601"/>
      <c r="OTO188" s="601"/>
      <c r="OTP188" s="601"/>
      <c r="OTQ188" s="601"/>
      <c r="OTR188" s="601"/>
      <c r="OTS188" s="601"/>
      <c r="OTT188" s="601"/>
      <c r="OTU188" s="601"/>
      <c r="OTV188" s="601"/>
      <c r="OTW188" s="601"/>
      <c r="OTX188" s="601"/>
      <c r="OTY188" s="601"/>
      <c r="OTZ188" s="601"/>
      <c r="OUA188" s="601"/>
      <c r="OUB188" s="601"/>
      <c r="OUC188" s="600" t="s">
        <v>646</v>
      </c>
      <c r="OUD188" s="601"/>
      <c r="OUE188" s="601"/>
      <c r="OUF188" s="601"/>
      <c r="OUG188" s="601"/>
      <c r="OUH188" s="601"/>
      <c r="OUI188" s="601"/>
      <c r="OUJ188" s="601"/>
      <c r="OUK188" s="601"/>
      <c r="OUL188" s="601"/>
      <c r="OUM188" s="601"/>
      <c r="OUN188" s="601"/>
      <c r="OUO188" s="601"/>
      <c r="OUP188" s="601"/>
      <c r="OUQ188" s="601"/>
      <c r="OUR188" s="601"/>
      <c r="OUS188" s="600" t="s">
        <v>646</v>
      </c>
      <c r="OUT188" s="601"/>
      <c r="OUU188" s="601"/>
      <c r="OUV188" s="601"/>
      <c r="OUW188" s="601"/>
      <c r="OUX188" s="601"/>
      <c r="OUY188" s="601"/>
      <c r="OUZ188" s="601"/>
      <c r="OVA188" s="601"/>
      <c r="OVB188" s="601"/>
      <c r="OVC188" s="601"/>
      <c r="OVD188" s="601"/>
      <c r="OVE188" s="601"/>
      <c r="OVF188" s="601"/>
      <c r="OVG188" s="601"/>
      <c r="OVH188" s="601"/>
      <c r="OVI188" s="600" t="s">
        <v>646</v>
      </c>
      <c r="OVJ188" s="601"/>
      <c r="OVK188" s="601"/>
      <c r="OVL188" s="601"/>
      <c r="OVM188" s="601"/>
      <c r="OVN188" s="601"/>
      <c r="OVO188" s="601"/>
      <c r="OVP188" s="601"/>
      <c r="OVQ188" s="601"/>
      <c r="OVR188" s="601"/>
      <c r="OVS188" s="601"/>
      <c r="OVT188" s="601"/>
      <c r="OVU188" s="601"/>
      <c r="OVV188" s="601"/>
      <c r="OVW188" s="601"/>
      <c r="OVX188" s="601"/>
      <c r="OVY188" s="600" t="s">
        <v>646</v>
      </c>
      <c r="OVZ188" s="601"/>
      <c r="OWA188" s="601"/>
      <c r="OWB188" s="601"/>
      <c r="OWC188" s="601"/>
      <c r="OWD188" s="601"/>
      <c r="OWE188" s="601"/>
      <c r="OWF188" s="601"/>
      <c r="OWG188" s="601"/>
      <c r="OWH188" s="601"/>
      <c r="OWI188" s="601"/>
      <c r="OWJ188" s="601"/>
      <c r="OWK188" s="601"/>
      <c r="OWL188" s="601"/>
      <c r="OWM188" s="601"/>
      <c r="OWN188" s="601"/>
      <c r="OWO188" s="600" t="s">
        <v>646</v>
      </c>
      <c r="OWP188" s="601"/>
      <c r="OWQ188" s="601"/>
      <c r="OWR188" s="601"/>
      <c r="OWS188" s="601"/>
      <c r="OWT188" s="601"/>
      <c r="OWU188" s="601"/>
      <c r="OWV188" s="601"/>
      <c r="OWW188" s="601"/>
      <c r="OWX188" s="601"/>
      <c r="OWY188" s="601"/>
      <c r="OWZ188" s="601"/>
      <c r="OXA188" s="601"/>
      <c r="OXB188" s="601"/>
      <c r="OXC188" s="601"/>
      <c r="OXD188" s="601"/>
      <c r="OXE188" s="600" t="s">
        <v>646</v>
      </c>
      <c r="OXF188" s="601"/>
      <c r="OXG188" s="601"/>
      <c r="OXH188" s="601"/>
      <c r="OXI188" s="601"/>
      <c r="OXJ188" s="601"/>
      <c r="OXK188" s="601"/>
      <c r="OXL188" s="601"/>
      <c r="OXM188" s="601"/>
      <c r="OXN188" s="601"/>
      <c r="OXO188" s="601"/>
      <c r="OXP188" s="601"/>
      <c r="OXQ188" s="601"/>
      <c r="OXR188" s="601"/>
      <c r="OXS188" s="601"/>
      <c r="OXT188" s="601"/>
      <c r="OXU188" s="600" t="s">
        <v>646</v>
      </c>
      <c r="OXV188" s="601"/>
      <c r="OXW188" s="601"/>
      <c r="OXX188" s="601"/>
      <c r="OXY188" s="601"/>
      <c r="OXZ188" s="601"/>
      <c r="OYA188" s="601"/>
      <c r="OYB188" s="601"/>
      <c r="OYC188" s="601"/>
      <c r="OYD188" s="601"/>
      <c r="OYE188" s="601"/>
      <c r="OYF188" s="601"/>
      <c r="OYG188" s="601"/>
      <c r="OYH188" s="601"/>
      <c r="OYI188" s="601"/>
      <c r="OYJ188" s="601"/>
      <c r="OYK188" s="600" t="s">
        <v>646</v>
      </c>
      <c r="OYL188" s="601"/>
      <c r="OYM188" s="601"/>
      <c r="OYN188" s="601"/>
      <c r="OYO188" s="601"/>
      <c r="OYP188" s="601"/>
      <c r="OYQ188" s="601"/>
      <c r="OYR188" s="601"/>
      <c r="OYS188" s="601"/>
      <c r="OYT188" s="601"/>
      <c r="OYU188" s="601"/>
      <c r="OYV188" s="601"/>
      <c r="OYW188" s="601"/>
      <c r="OYX188" s="601"/>
      <c r="OYY188" s="601"/>
      <c r="OYZ188" s="601"/>
      <c r="OZA188" s="600" t="s">
        <v>646</v>
      </c>
      <c r="OZB188" s="601"/>
      <c r="OZC188" s="601"/>
      <c r="OZD188" s="601"/>
      <c r="OZE188" s="601"/>
      <c r="OZF188" s="601"/>
      <c r="OZG188" s="601"/>
      <c r="OZH188" s="601"/>
      <c r="OZI188" s="601"/>
      <c r="OZJ188" s="601"/>
      <c r="OZK188" s="601"/>
      <c r="OZL188" s="601"/>
      <c r="OZM188" s="601"/>
      <c r="OZN188" s="601"/>
      <c r="OZO188" s="601"/>
      <c r="OZP188" s="601"/>
      <c r="OZQ188" s="600" t="s">
        <v>646</v>
      </c>
      <c r="OZR188" s="601"/>
      <c r="OZS188" s="601"/>
      <c r="OZT188" s="601"/>
      <c r="OZU188" s="601"/>
      <c r="OZV188" s="601"/>
      <c r="OZW188" s="601"/>
      <c r="OZX188" s="601"/>
      <c r="OZY188" s="601"/>
      <c r="OZZ188" s="601"/>
      <c r="PAA188" s="601"/>
      <c r="PAB188" s="601"/>
      <c r="PAC188" s="601"/>
      <c r="PAD188" s="601"/>
      <c r="PAE188" s="601"/>
      <c r="PAF188" s="601"/>
      <c r="PAG188" s="600" t="s">
        <v>646</v>
      </c>
      <c r="PAH188" s="601"/>
      <c r="PAI188" s="601"/>
      <c r="PAJ188" s="601"/>
      <c r="PAK188" s="601"/>
      <c r="PAL188" s="601"/>
      <c r="PAM188" s="601"/>
      <c r="PAN188" s="601"/>
      <c r="PAO188" s="601"/>
      <c r="PAP188" s="601"/>
      <c r="PAQ188" s="601"/>
      <c r="PAR188" s="601"/>
      <c r="PAS188" s="601"/>
      <c r="PAT188" s="601"/>
      <c r="PAU188" s="601"/>
      <c r="PAV188" s="601"/>
      <c r="PAW188" s="600" t="s">
        <v>646</v>
      </c>
      <c r="PAX188" s="601"/>
      <c r="PAY188" s="601"/>
      <c r="PAZ188" s="601"/>
      <c r="PBA188" s="601"/>
      <c r="PBB188" s="601"/>
      <c r="PBC188" s="601"/>
      <c r="PBD188" s="601"/>
      <c r="PBE188" s="601"/>
      <c r="PBF188" s="601"/>
      <c r="PBG188" s="601"/>
      <c r="PBH188" s="601"/>
      <c r="PBI188" s="601"/>
      <c r="PBJ188" s="601"/>
      <c r="PBK188" s="601"/>
      <c r="PBL188" s="601"/>
      <c r="PBM188" s="600" t="s">
        <v>646</v>
      </c>
      <c r="PBN188" s="601"/>
      <c r="PBO188" s="601"/>
      <c r="PBP188" s="601"/>
      <c r="PBQ188" s="601"/>
      <c r="PBR188" s="601"/>
      <c r="PBS188" s="601"/>
      <c r="PBT188" s="601"/>
      <c r="PBU188" s="601"/>
      <c r="PBV188" s="601"/>
      <c r="PBW188" s="601"/>
      <c r="PBX188" s="601"/>
      <c r="PBY188" s="601"/>
      <c r="PBZ188" s="601"/>
      <c r="PCA188" s="601"/>
      <c r="PCB188" s="601"/>
      <c r="PCC188" s="600" t="s">
        <v>646</v>
      </c>
      <c r="PCD188" s="601"/>
      <c r="PCE188" s="601"/>
      <c r="PCF188" s="601"/>
      <c r="PCG188" s="601"/>
      <c r="PCH188" s="601"/>
      <c r="PCI188" s="601"/>
      <c r="PCJ188" s="601"/>
      <c r="PCK188" s="601"/>
      <c r="PCL188" s="601"/>
      <c r="PCM188" s="601"/>
      <c r="PCN188" s="601"/>
      <c r="PCO188" s="601"/>
      <c r="PCP188" s="601"/>
      <c r="PCQ188" s="601"/>
      <c r="PCR188" s="601"/>
      <c r="PCS188" s="600" t="s">
        <v>646</v>
      </c>
      <c r="PCT188" s="601"/>
      <c r="PCU188" s="601"/>
      <c r="PCV188" s="601"/>
      <c r="PCW188" s="601"/>
      <c r="PCX188" s="601"/>
      <c r="PCY188" s="601"/>
      <c r="PCZ188" s="601"/>
      <c r="PDA188" s="601"/>
      <c r="PDB188" s="601"/>
      <c r="PDC188" s="601"/>
      <c r="PDD188" s="601"/>
      <c r="PDE188" s="601"/>
      <c r="PDF188" s="601"/>
      <c r="PDG188" s="601"/>
      <c r="PDH188" s="601"/>
      <c r="PDI188" s="600" t="s">
        <v>646</v>
      </c>
      <c r="PDJ188" s="601"/>
      <c r="PDK188" s="601"/>
      <c r="PDL188" s="601"/>
      <c r="PDM188" s="601"/>
      <c r="PDN188" s="601"/>
      <c r="PDO188" s="601"/>
      <c r="PDP188" s="601"/>
      <c r="PDQ188" s="601"/>
      <c r="PDR188" s="601"/>
      <c r="PDS188" s="601"/>
      <c r="PDT188" s="601"/>
      <c r="PDU188" s="601"/>
      <c r="PDV188" s="601"/>
      <c r="PDW188" s="601"/>
      <c r="PDX188" s="601"/>
      <c r="PDY188" s="600" t="s">
        <v>646</v>
      </c>
      <c r="PDZ188" s="601"/>
      <c r="PEA188" s="601"/>
      <c r="PEB188" s="601"/>
      <c r="PEC188" s="601"/>
      <c r="PED188" s="601"/>
      <c r="PEE188" s="601"/>
      <c r="PEF188" s="601"/>
      <c r="PEG188" s="601"/>
      <c r="PEH188" s="601"/>
      <c r="PEI188" s="601"/>
      <c r="PEJ188" s="601"/>
      <c r="PEK188" s="601"/>
      <c r="PEL188" s="601"/>
      <c r="PEM188" s="601"/>
      <c r="PEN188" s="601"/>
      <c r="PEO188" s="600" t="s">
        <v>646</v>
      </c>
      <c r="PEP188" s="601"/>
      <c r="PEQ188" s="601"/>
      <c r="PER188" s="601"/>
      <c r="PES188" s="601"/>
      <c r="PET188" s="601"/>
      <c r="PEU188" s="601"/>
      <c r="PEV188" s="601"/>
      <c r="PEW188" s="601"/>
      <c r="PEX188" s="601"/>
      <c r="PEY188" s="601"/>
      <c r="PEZ188" s="601"/>
      <c r="PFA188" s="601"/>
      <c r="PFB188" s="601"/>
      <c r="PFC188" s="601"/>
      <c r="PFD188" s="601"/>
      <c r="PFE188" s="600" t="s">
        <v>646</v>
      </c>
      <c r="PFF188" s="601"/>
      <c r="PFG188" s="601"/>
      <c r="PFH188" s="601"/>
      <c r="PFI188" s="601"/>
      <c r="PFJ188" s="601"/>
      <c r="PFK188" s="601"/>
      <c r="PFL188" s="601"/>
      <c r="PFM188" s="601"/>
      <c r="PFN188" s="601"/>
      <c r="PFO188" s="601"/>
      <c r="PFP188" s="601"/>
      <c r="PFQ188" s="601"/>
      <c r="PFR188" s="601"/>
      <c r="PFS188" s="601"/>
      <c r="PFT188" s="601"/>
      <c r="PFU188" s="600" t="s">
        <v>646</v>
      </c>
      <c r="PFV188" s="601"/>
      <c r="PFW188" s="601"/>
      <c r="PFX188" s="601"/>
      <c r="PFY188" s="601"/>
      <c r="PFZ188" s="601"/>
      <c r="PGA188" s="601"/>
      <c r="PGB188" s="601"/>
      <c r="PGC188" s="601"/>
      <c r="PGD188" s="601"/>
      <c r="PGE188" s="601"/>
      <c r="PGF188" s="601"/>
      <c r="PGG188" s="601"/>
      <c r="PGH188" s="601"/>
      <c r="PGI188" s="601"/>
      <c r="PGJ188" s="601"/>
      <c r="PGK188" s="600" t="s">
        <v>646</v>
      </c>
      <c r="PGL188" s="601"/>
      <c r="PGM188" s="601"/>
      <c r="PGN188" s="601"/>
      <c r="PGO188" s="601"/>
      <c r="PGP188" s="601"/>
      <c r="PGQ188" s="601"/>
      <c r="PGR188" s="601"/>
      <c r="PGS188" s="601"/>
      <c r="PGT188" s="601"/>
      <c r="PGU188" s="601"/>
      <c r="PGV188" s="601"/>
      <c r="PGW188" s="601"/>
      <c r="PGX188" s="601"/>
      <c r="PGY188" s="601"/>
      <c r="PGZ188" s="601"/>
      <c r="PHA188" s="600" t="s">
        <v>646</v>
      </c>
      <c r="PHB188" s="601"/>
      <c r="PHC188" s="601"/>
      <c r="PHD188" s="601"/>
      <c r="PHE188" s="601"/>
      <c r="PHF188" s="601"/>
      <c r="PHG188" s="601"/>
      <c r="PHH188" s="601"/>
      <c r="PHI188" s="601"/>
      <c r="PHJ188" s="601"/>
      <c r="PHK188" s="601"/>
      <c r="PHL188" s="601"/>
      <c r="PHM188" s="601"/>
      <c r="PHN188" s="601"/>
      <c r="PHO188" s="601"/>
      <c r="PHP188" s="601"/>
      <c r="PHQ188" s="600" t="s">
        <v>646</v>
      </c>
      <c r="PHR188" s="601"/>
      <c r="PHS188" s="601"/>
      <c r="PHT188" s="601"/>
      <c r="PHU188" s="601"/>
      <c r="PHV188" s="601"/>
      <c r="PHW188" s="601"/>
      <c r="PHX188" s="601"/>
      <c r="PHY188" s="601"/>
      <c r="PHZ188" s="601"/>
      <c r="PIA188" s="601"/>
      <c r="PIB188" s="601"/>
      <c r="PIC188" s="601"/>
      <c r="PID188" s="601"/>
      <c r="PIE188" s="601"/>
      <c r="PIF188" s="601"/>
      <c r="PIG188" s="600" t="s">
        <v>646</v>
      </c>
      <c r="PIH188" s="601"/>
      <c r="PII188" s="601"/>
      <c r="PIJ188" s="601"/>
      <c r="PIK188" s="601"/>
      <c r="PIL188" s="601"/>
      <c r="PIM188" s="601"/>
      <c r="PIN188" s="601"/>
      <c r="PIO188" s="601"/>
      <c r="PIP188" s="601"/>
      <c r="PIQ188" s="601"/>
      <c r="PIR188" s="601"/>
      <c r="PIS188" s="601"/>
      <c r="PIT188" s="601"/>
      <c r="PIU188" s="601"/>
      <c r="PIV188" s="601"/>
      <c r="PIW188" s="600" t="s">
        <v>646</v>
      </c>
      <c r="PIX188" s="601"/>
      <c r="PIY188" s="601"/>
      <c r="PIZ188" s="601"/>
      <c r="PJA188" s="601"/>
      <c r="PJB188" s="601"/>
      <c r="PJC188" s="601"/>
      <c r="PJD188" s="601"/>
      <c r="PJE188" s="601"/>
      <c r="PJF188" s="601"/>
      <c r="PJG188" s="601"/>
      <c r="PJH188" s="601"/>
      <c r="PJI188" s="601"/>
      <c r="PJJ188" s="601"/>
      <c r="PJK188" s="601"/>
      <c r="PJL188" s="601"/>
      <c r="PJM188" s="600" t="s">
        <v>646</v>
      </c>
      <c r="PJN188" s="601"/>
      <c r="PJO188" s="601"/>
      <c r="PJP188" s="601"/>
      <c r="PJQ188" s="601"/>
      <c r="PJR188" s="601"/>
      <c r="PJS188" s="601"/>
      <c r="PJT188" s="601"/>
      <c r="PJU188" s="601"/>
      <c r="PJV188" s="601"/>
      <c r="PJW188" s="601"/>
      <c r="PJX188" s="601"/>
      <c r="PJY188" s="601"/>
      <c r="PJZ188" s="601"/>
      <c r="PKA188" s="601"/>
      <c r="PKB188" s="601"/>
      <c r="PKC188" s="600" t="s">
        <v>646</v>
      </c>
      <c r="PKD188" s="601"/>
      <c r="PKE188" s="601"/>
      <c r="PKF188" s="601"/>
      <c r="PKG188" s="601"/>
      <c r="PKH188" s="601"/>
      <c r="PKI188" s="601"/>
      <c r="PKJ188" s="601"/>
      <c r="PKK188" s="601"/>
      <c r="PKL188" s="601"/>
      <c r="PKM188" s="601"/>
      <c r="PKN188" s="601"/>
      <c r="PKO188" s="601"/>
      <c r="PKP188" s="601"/>
      <c r="PKQ188" s="601"/>
      <c r="PKR188" s="601"/>
      <c r="PKS188" s="600" t="s">
        <v>646</v>
      </c>
      <c r="PKT188" s="601"/>
      <c r="PKU188" s="601"/>
      <c r="PKV188" s="601"/>
      <c r="PKW188" s="601"/>
      <c r="PKX188" s="601"/>
      <c r="PKY188" s="601"/>
      <c r="PKZ188" s="601"/>
      <c r="PLA188" s="601"/>
      <c r="PLB188" s="601"/>
      <c r="PLC188" s="601"/>
      <c r="PLD188" s="601"/>
      <c r="PLE188" s="601"/>
      <c r="PLF188" s="601"/>
      <c r="PLG188" s="601"/>
      <c r="PLH188" s="601"/>
      <c r="PLI188" s="600" t="s">
        <v>646</v>
      </c>
      <c r="PLJ188" s="601"/>
      <c r="PLK188" s="601"/>
      <c r="PLL188" s="601"/>
      <c r="PLM188" s="601"/>
      <c r="PLN188" s="601"/>
      <c r="PLO188" s="601"/>
      <c r="PLP188" s="601"/>
      <c r="PLQ188" s="601"/>
      <c r="PLR188" s="601"/>
      <c r="PLS188" s="601"/>
      <c r="PLT188" s="601"/>
      <c r="PLU188" s="601"/>
      <c r="PLV188" s="601"/>
      <c r="PLW188" s="601"/>
      <c r="PLX188" s="601"/>
      <c r="PLY188" s="600" t="s">
        <v>646</v>
      </c>
      <c r="PLZ188" s="601"/>
      <c r="PMA188" s="601"/>
      <c r="PMB188" s="601"/>
      <c r="PMC188" s="601"/>
      <c r="PMD188" s="601"/>
      <c r="PME188" s="601"/>
      <c r="PMF188" s="601"/>
      <c r="PMG188" s="601"/>
      <c r="PMH188" s="601"/>
      <c r="PMI188" s="601"/>
      <c r="PMJ188" s="601"/>
      <c r="PMK188" s="601"/>
      <c r="PML188" s="601"/>
      <c r="PMM188" s="601"/>
      <c r="PMN188" s="601"/>
      <c r="PMO188" s="600" t="s">
        <v>646</v>
      </c>
      <c r="PMP188" s="601"/>
      <c r="PMQ188" s="601"/>
      <c r="PMR188" s="601"/>
      <c r="PMS188" s="601"/>
      <c r="PMT188" s="601"/>
      <c r="PMU188" s="601"/>
      <c r="PMV188" s="601"/>
      <c r="PMW188" s="601"/>
      <c r="PMX188" s="601"/>
      <c r="PMY188" s="601"/>
      <c r="PMZ188" s="601"/>
      <c r="PNA188" s="601"/>
      <c r="PNB188" s="601"/>
      <c r="PNC188" s="601"/>
      <c r="PND188" s="601"/>
      <c r="PNE188" s="600" t="s">
        <v>646</v>
      </c>
      <c r="PNF188" s="601"/>
      <c r="PNG188" s="601"/>
      <c r="PNH188" s="601"/>
      <c r="PNI188" s="601"/>
      <c r="PNJ188" s="601"/>
      <c r="PNK188" s="601"/>
      <c r="PNL188" s="601"/>
      <c r="PNM188" s="601"/>
      <c r="PNN188" s="601"/>
      <c r="PNO188" s="601"/>
      <c r="PNP188" s="601"/>
      <c r="PNQ188" s="601"/>
      <c r="PNR188" s="601"/>
      <c r="PNS188" s="601"/>
      <c r="PNT188" s="601"/>
      <c r="PNU188" s="600" t="s">
        <v>646</v>
      </c>
      <c r="PNV188" s="601"/>
      <c r="PNW188" s="601"/>
      <c r="PNX188" s="601"/>
      <c r="PNY188" s="601"/>
      <c r="PNZ188" s="601"/>
      <c r="POA188" s="601"/>
      <c r="POB188" s="601"/>
      <c r="POC188" s="601"/>
      <c r="POD188" s="601"/>
      <c r="POE188" s="601"/>
      <c r="POF188" s="601"/>
      <c r="POG188" s="601"/>
      <c r="POH188" s="601"/>
      <c r="POI188" s="601"/>
      <c r="POJ188" s="601"/>
      <c r="POK188" s="600" t="s">
        <v>646</v>
      </c>
      <c r="POL188" s="601"/>
      <c r="POM188" s="601"/>
      <c r="PON188" s="601"/>
      <c r="POO188" s="601"/>
      <c r="POP188" s="601"/>
      <c r="POQ188" s="601"/>
      <c r="POR188" s="601"/>
      <c r="POS188" s="601"/>
      <c r="POT188" s="601"/>
      <c r="POU188" s="601"/>
      <c r="POV188" s="601"/>
      <c r="POW188" s="601"/>
      <c r="POX188" s="601"/>
      <c r="POY188" s="601"/>
      <c r="POZ188" s="601"/>
      <c r="PPA188" s="600" t="s">
        <v>646</v>
      </c>
      <c r="PPB188" s="601"/>
      <c r="PPC188" s="601"/>
      <c r="PPD188" s="601"/>
      <c r="PPE188" s="601"/>
      <c r="PPF188" s="601"/>
      <c r="PPG188" s="601"/>
      <c r="PPH188" s="601"/>
      <c r="PPI188" s="601"/>
      <c r="PPJ188" s="601"/>
      <c r="PPK188" s="601"/>
      <c r="PPL188" s="601"/>
      <c r="PPM188" s="601"/>
      <c r="PPN188" s="601"/>
      <c r="PPO188" s="601"/>
      <c r="PPP188" s="601"/>
      <c r="PPQ188" s="600" t="s">
        <v>646</v>
      </c>
      <c r="PPR188" s="601"/>
      <c r="PPS188" s="601"/>
      <c r="PPT188" s="601"/>
      <c r="PPU188" s="601"/>
      <c r="PPV188" s="601"/>
      <c r="PPW188" s="601"/>
      <c r="PPX188" s="601"/>
      <c r="PPY188" s="601"/>
      <c r="PPZ188" s="601"/>
      <c r="PQA188" s="601"/>
      <c r="PQB188" s="601"/>
      <c r="PQC188" s="601"/>
      <c r="PQD188" s="601"/>
      <c r="PQE188" s="601"/>
      <c r="PQF188" s="601"/>
      <c r="PQG188" s="600" t="s">
        <v>646</v>
      </c>
      <c r="PQH188" s="601"/>
      <c r="PQI188" s="601"/>
      <c r="PQJ188" s="601"/>
      <c r="PQK188" s="601"/>
      <c r="PQL188" s="601"/>
      <c r="PQM188" s="601"/>
      <c r="PQN188" s="601"/>
      <c r="PQO188" s="601"/>
      <c r="PQP188" s="601"/>
      <c r="PQQ188" s="601"/>
      <c r="PQR188" s="601"/>
      <c r="PQS188" s="601"/>
      <c r="PQT188" s="601"/>
      <c r="PQU188" s="601"/>
      <c r="PQV188" s="601"/>
      <c r="PQW188" s="600" t="s">
        <v>646</v>
      </c>
      <c r="PQX188" s="601"/>
      <c r="PQY188" s="601"/>
      <c r="PQZ188" s="601"/>
      <c r="PRA188" s="601"/>
      <c r="PRB188" s="601"/>
      <c r="PRC188" s="601"/>
      <c r="PRD188" s="601"/>
      <c r="PRE188" s="601"/>
      <c r="PRF188" s="601"/>
      <c r="PRG188" s="601"/>
      <c r="PRH188" s="601"/>
      <c r="PRI188" s="601"/>
      <c r="PRJ188" s="601"/>
      <c r="PRK188" s="601"/>
      <c r="PRL188" s="601"/>
      <c r="PRM188" s="600" t="s">
        <v>646</v>
      </c>
      <c r="PRN188" s="601"/>
      <c r="PRO188" s="601"/>
      <c r="PRP188" s="601"/>
      <c r="PRQ188" s="601"/>
      <c r="PRR188" s="601"/>
      <c r="PRS188" s="601"/>
      <c r="PRT188" s="601"/>
      <c r="PRU188" s="601"/>
      <c r="PRV188" s="601"/>
      <c r="PRW188" s="601"/>
      <c r="PRX188" s="601"/>
      <c r="PRY188" s="601"/>
      <c r="PRZ188" s="601"/>
      <c r="PSA188" s="601"/>
      <c r="PSB188" s="601"/>
      <c r="PSC188" s="600" t="s">
        <v>646</v>
      </c>
      <c r="PSD188" s="601"/>
      <c r="PSE188" s="601"/>
      <c r="PSF188" s="601"/>
      <c r="PSG188" s="601"/>
      <c r="PSH188" s="601"/>
      <c r="PSI188" s="601"/>
      <c r="PSJ188" s="601"/>
      <c r="PSK188" s="601"/>
      <c r="PSL188" s="601"/>
      <c r="PSM188" s="601"/>
      <c r="PSN188" s="601"/>
      <c r="PSO188" s="601"/>
      <c r="PSP188" s="601"/>
      <c r="PSQ188" s="601"/>
      <c r="PSR188" s="601"/>
      <c r="PSS188" s="600" t="s">
        <v>646</v>
      </c>
      <c r="PST188" s="601"/>
      <c r="PSU188" s="601"/>
      <c r="PSV188" s="601"/>
      <c r="PSW188" s="601"/>
      <c r="PSX188" s="601"/>
      <c r="PSY188" s="601"/>
      <c r="PSZ188" s="601"/>
      <c r="PTA188" s="601"/>
      <c r="PTB188" s="601"/>
      <c r="PTC188" s="601"/>
      <c r="PTD188" s="601"/>
      <c r="PTE188" s="601"/>
      <c r="PTF188" s="601"/>
      <c r="PTG188" s="601"/>
      <c r="PTH188" s="601"/>
      <c r="PTI188" s="600" t="s">
        <v>646</v>
      </c>
      <c r="PTJ188" s="601"/>
      <c r="PTK188" s="601"/>
      <c r="PTL188" s="601"/>
      <c r="PTM188" s="601"/>
      <c r="PTN188" s="601"/>
      <c r="PTO188" s="601"/>
      <c r="PTP188" s="601"/>
      <c r="PTQ188" s="601"/>
      <c r="PTR188" s="601"/>
      <c r="PTS188" s="601"/>
      <c r="PTT188" s="601"/>
      <c r="PTU188" s="601"/>
      <c r="PTV188" s="601"/>
      <c r="PTW188" s="601"/>
      <c r="PTX188" s="601"/>
      <c r="PTY188" s="600" t="s">
        <v>646</v>
      </c>
      <c r="PTZ188" s="601"/>
      <c r="PUA188" s="601"/>
      <c r="PUB188" s="601"/>
      <c r="PUC188" s="601"/>
      <c r="PUD188" s="601"/>
      <c r="PUE188" s="601"/>
      <c r="PUF188" s="601"/>
      <c r="PUG188" s="601"/>
      <c r="PUH188" s="601"/>
      <c r="PUI188" s="601"/>
      <c r="PUJ188" s="601"/>
      <c r="PUK188" s="601"/>
      <c r="PUL188" s="601"/>
      <c r="PUM188" s="601"/>
      <c r="PUN188" s="601"/>
      <c r="PUO188" s="600" t="s">
        <v>646</v>
      </c>
      <c r="PUP188" s="601"/>
      <c r="PUQ188" s="601"/>
      <c r="PUR188" s="601"/>
      <c r="PUS188" s="601"/>
      <c r="PUT188" s="601"/>
      <c r="PUU188" s="601"/>
      <c r="PUV188" s="601"/>
      <c r="PUW188" s="601"/>
      <c r="PUX188" s="601"/>
      <c r="PUY188" s="601"/>
      <c r="PUZ188" s="601"/>
      <c r="PVA188" s="601"/>
      <c r="PVB188" s="601"/>
      <c r="PVC188" s="601"/>
      <c r="PVD188" s="601"/>
      <c r="PVE188" s="600" t="s">
        <v>646</v>
      </c>
      <c r="PVF188" s="601"/>
      <c r="PVG188" s="601"/>
      <c r="PVH188" s="601"/>
      <c r="PVI188" s="601"/>
      <c r="PVJ188" s="601"/>
      <c r="PVK188" s="601"/>
      <c r="PVL188" s="601"/>
      <c r="PVM188" s="601"/>
      <c r="PVN188" s="601"/>
      <c r="PVO188" s="601"/>
      <c r="PVP188" s="601"/>
      <c r="PVQ188" s="601"/>
      <c r="PVR188" s="601"/>
      <c r="PVS188" s="601"/>
      <c r="PVT188" s="601"/>
      <c r="PVU188" s="600" t="s">
        <v>646</v>
      </c>
      <c r="PVV188" s="601"/>
      <c r="PVW188" s="601"/>
      <c r="PVX188" s="601"/>
      <c r="PVY188" s="601"/>
      <c r="PVZ188" s="601"/>
      <c r="PWA188" s="601"/>
      <c r="PWB188" s="601"/>
      <c r="PWC188" s="601"/>
      <c r="PWD188" s="601"/>
      <c r="PWE188" s="601"/>
      <c r="PWF188" s="601"/>
      <c r="PWG188" s="601"/>
      <c r="PWH188" s="601"/>
      <c r="PWI188" s="601"/>
      <c r="PWJ188" s="601"/>
      <c r="PWK188" s="600" t="s">
        <v>646</v>
      </c>
      <c r="PWL188" s="601"/>
      <c r="PWM188" s="601"/>
      <c r="PWN188" s="601"/>
      <c r="PWO188" s="601"/>
      <c r="PWP188" s="601"/>
      <c r="PWQ188" s="601"/>
      <c r="PWR188" s="601"/>
      <c r="PWS188" s="601"/>
      <c r="PWT188" s="601"/>
      <c r="PWU188" s="601"/>
      <c r="PWV188" s="601"/>
      <c r="PWW188" s="601"/>
      <c r="PWX188" s="601"/>
      <c r="PWY188" s="601"/>
      <c r="PWZ188" s="601"/>
      <c r="PXA188" s="600" t="s">
        <v>646</v>
      </c>
      <c r="PXB188" s="601"/>
      <c r="PXC188" s="601"/>
      <c r="PXD188" s="601"/>
      <c r="PXE188" s="601"/>
      <c r="PXF188" s="601"/>
      <c r="PXG188" s="601"/>
      <c r="PXH188" s="601"/>
      <c r="PXI188" s="601"/>
      <c r="PXJ188" s="601"/>
      <c r="PXK188" s="601"/>
      <c r="PXL188" s="601"/>
      <c r="PXM188" s="601"/>
      <c r="PXN188" s="601"/>
      <c r="PXO188" s="601"/>
      <c r="PXP188" s="601"/>
      <c r="PXQ188" s="600" t="s">
        <v>646</v>
      </c>
      <c r="PXR188" s="601"/>
      <c r="PXS188" s="601"/>
      <c r="PXT188" s="601"/>
      <c r="PXU188" s="601"/>
      <c r="PXV188" s="601"/>
      <c r="PXW188" s="601"/>
      <c r="PXX188" s="601"/>
      <c r="PXY188" s="601"/>
      <c r="PXZ188" s="601"/>
      <c r="PYA188" s="601"/>
      <c r="PYB188" s="601"/>
      <c r="PYC188" s="601"/>
      <c r="PYD188" s="601"/>
      <c r="PYE188" s="601"/>
      <c r="PYF188" s="601"/>
      <c r="PYG188" s="600" t="s">
        <v>646</v>
      </c>
      <c r="PYH188" s="601"/>
      <c r="PYI188" s="601"/>
      <c r="PYJ188" s="601"/>
      <c r="PYK188" s="601"/>
      <c r="PYL188" s="601"/>
      <c r="PYM188" s="601"/>
      <c r="PYN188" s="601"/>
      <c r="PYO188" s="601"/>
      <c r="PYP188" s="601"/>
      <c r="PYQ188" s="601"/>
      <c r="PYR188" s="601"/>
      <c r="PYS188" s="601"/>
      <c r="PYT188" s="601"/>
      <c r="PYU188" s="601"/>
      <c r="PYV188" s="601"/>
      <c r="PYW188" s="600" t="s">
        <v>646</v>
      </c>
      <c r="PYX188" s="601"/>
      <c r="PYY188" s="601"/>
      <c r="PYZ188" s="601"/>
      <c r="PZA188" s="601"/>
      <c r="PZB188" s="601"/>
      <c r="PZC188" s="601"/>
      <c r="PZD188" s="601"/>
      <c r="PZE188" s="601"/>
      <c r="PZF188" s="601"/>
      <c r="PZG188" s="601"/>
      <c r="PZH188" s="601"/>
      <c r="PZI188" s="601"/>
      <c r="PZJ188" s="601"/>
      <c r="PZK188" s="601"/>
      <c r="PZL188" s="601"/>
      <c r="PZM188" s="600" t="s">
        <v>646</v>
      </c>
      <c r="PZN188" s="601"/>
      <c r="PZO188" s="601"/>
      <c r="PZP188" s="601"/>
      <c r="PZQ188" s="601"/>
      <c r="PZR188" s="601"/>
      <c r="PZS188" s="601"/>
      <c r="PZT188" s="601"/>
      <c r="PZU188" s="601"/>
      <c r="PZV188" s="601"/>
      <c r="PZW188" s="601"/>
      <c r="PZX188" s="601"/>
      <c r="PZY188" s="601"/>
      <c r="PZZ188" s="601"/>
      <c r="QAA188" s="601"/>
      <c r="QAB188" s="601"/>
      <c r="QAC188" s="600" t="s">
        <v>646</v>
      </c>
      <c r="QAD188" s="601"/>
      <c r="QAE188" s="601"/>
      <c r="QAF188" s="601"/>
      <c r="QAG188" s="601"/>
      <c r="QAH188" s="601"/>
      <c r="QAI188" s="601"/>
      <c r="QAJ188" s="601"/>
      <c r="QAK188" s="601"/>
      <c r="QAL188" s="601"/>
      <c r="QAM188" s="601"/>
      <c r="QAN188" s="601"/>
      <c r="QAO188" s="601"/>
      <c r="QAP188" s="601"/>
      <c r="QAQ188" s="601"/>
      <c r="QAR188" s="601"/>
      <c r="QAS188" s="600" t="s">
        <v>646</v>
      </c>
      <c r="QAT188" s="601"/>
      <c r="QAU188" s="601"/>
      <c r="QAV188" s="601"/>
      <c r="QAW188" s="601"/>
      <c r="QAX188" s="601"/>
      <c r="QAY188" s="601"/>
      <c r="QAZ188" s="601"/>
      <c r="QBA188" s="601"/>
      <c r="QBB188" s="601"/>
      <c r="QBC188" s="601"/>
      <c r="QBD188" s="601"/>
      <c r="QBE188" s="601"/>
      <c r="QBF188" s="601"/>
      <c r="QBG188" s="601"/>
      <c r="QBH188" s="601"/>
      <c r="QBI188" s="600" t="s">
        <v>646</v>
      </c>
      <c r="QBJ188" s="601"/>
      <c r="QBK188" s="601"/>
      <c r="QBL188" s="601"/>
      <c r="QBM188" s="601"/>
      <c r="QBN188" s="601"/>
      <c r="QBO188" s="601"/>
      <c r="QBP188" s="601"/>
      <c r="QBQ188" s="601"/>
      <c r="QBR188" s="601"/>
      <c r="QBS188" s="601"/>
      <c r="QBT188" s="601"/>
      <c r="QBU188" s="601"/>
      <c r="QBV188" s="601"/>
      <c r="QBW188" s="601"/>
      <c r="QBX188" s="601"/>
      <c r="QBY188" s="600" t="s">
        <v>646</v>
      </c>
      <c r="QBZ188" s="601"/>
      <c r="QCA188" s="601"/>
      <c r="QCB188" s="601"/>
      <c r="QCC188" s="601"/>
      <c r="QCD188" s="601"/>
      <c r="QCE188" s="601"/>
      <c r="QCF188" s="601"/>
      <c r="QCG188" s="601"/>
      <c r="QCH188" s="601"/>
      <c r="QCI188" s="601"/>
      <c r="QCJ188" s="601"/>
      <c r="QCK188" s="601"/>
      <c r="QCL188" s="601"/>
      <c r="QCM188" s="601"/>
      <c r="QCN188" s="601"/>
      <c r="QCO188" s="600" t="s">
        <v>646</v>
      </c>
      <c r="QCP188" s="601"/>
      <c r="QCQ188" s="601"/>
      <c r="QCR188" s="601"/>
      <c r="QCS188" s="601"/>
      <c r="QCT188" s="601"/>
      <c r="QCU188" s="601"/>
      <c r="QCV188" s="601"/>
      <c r="QCW188" s="601"/>
      <c r="QCX188" s="601"/>
      <c r="QCY188" s="601"/>
      <c r="QCZ188" s="601"/>
      <c r="QDA188" s="601"/>
      <c r="QDB188" s="601"/>
      <c r="QDC188" s="601"/>
      <c r="QDD188" s="601"/>
      <c r="QDE188" s="600" t="s">
        <v>646</v>
      </c>
      <c r="QDF188" s="601"/>
      <c r="QDG188" s="601"/>
      <c r="QDH188" s="601"/>
      <c r="QDI188" s="601"/>
      <c r="QDJ188" s="601"/>
      <c r="QDK188" s="601"/>
      <c r="QDL188" s="601"/>
      <c r="QDM188" s="601"/>
      <c r="QDN188" s="601"/>
      <c r="QDO188" s="601"/>
      <c r="QDP188" s="601"/>
      <c r="QDQ188" s="601"/>
      <c r="QDR188" s="601"/>
      <c r="QDS188" s="601"/>
      <c r="QDT188" s="601"/>
      <c r="QDU188" s="600" t="s">
        <v>646</v>
      </c>
      <c r="QDV188" s="601"/>
      <c r="QDW188" s="601"/>
      <c r="QDX188" s="601"/>
      <c r="QDY188" s="601"/>
      <c r="QDZ188" s="601"/>
      <c r="QEA188" s="601"/>
      <c r="QEB188" s="601"/>
      <c r="QEC188" s="601"/>
      <c r="QED188" s="601"/>
      <c r="QEE188" s="601"/>
      <c r="QEF188" s="601"/>
      <c r="QEG188" s="601"/>
      <c r="QEH188" s="601"/>
      <c r="QEI188" s="601"/>
      <c r="QEJ188" s="601"/>
      <c r="QEK188" s="600" t="s">
        <v>646</v>
      </c>
      <c r="QEL188" s="601"/>
      <c r="QEM188" s="601"/>
      <c r="QEN188" s="601"/>
      <c r="QEO188" s="601"/>
      <c r="QEP188" s="601"/>
      <c r="QEQ188" s="601"/>
      <c r="QER188" s="601"/>
      <c r="QES188" s="601"/>
      <c r="QET188" s="601"/>
      <c r="QEU188" s="601"/>
      <c r="QEV188" s="601"/>
      <c r="QEW188" s="601"/>
      <c r="QEX188" s="601"/>
      <c r="QEY188" s="601"/>
      <c r="QEZ188" s="601"/>
      <c r="QFA188" s="600" t="s">
        <v>646</v>
      </c>
      <c r="QFB188" s="601"/>
      <c r="QFC188" s="601"/>
      <c r="QFD188" s="601"/>
      <c r="QFE188" s="601"/>
      <c r="QFF188" s="601"/>
      <c r="QFG188" s="601"/>
      <c r="QFH188" s="601"/>
      <c r="QFI188" s="601"/>
      <c r="QFJ188" s="601"/>
      <c r="QFK188" s="601"/>
      <c r="QFL188" s="601"/>
      <c r="QFM188" s="601"/>
      <c r="QFN188" s="601"/>
      <c r="QFO188" s="601"/>
      <c r="QFP188" s="601"/>
      <c r="QFQ188" s="600" t="s">
        <v>646</v>
      </c>
      <c r="QFR188" s="601"/>
      <c r="QFS188" s="601"/>
      <c r="QFT188" s="601"/>
      <c r="QFU188" s="601"/>
      <c r="QFV188" s="601"/>
      <c r="QFW188" s="601"/>
      <c r="QFX188" s="601"/>
      <c r="QFY188" s="601"/>
      <c r="QFZ188" s="601"/>
      <c r="QGA188" s="601"/>
      <c r="QGB188" s="601"/>
      <c r="QGC188" s="601"/>
      <c r="QGD188" s="601"/>
      <c r="QGE188" s="601"/>
      <c r="QGF188" s="601"/>
      <c r="QGG188" s="600" t="s">
        <v>646</v>
      </c>
      <c r="QGH188" s="601"/>
      <c r="QGI188" s="601"/>
      <c r="QGJ188" s="601"/>
      <c r="QGK188" s="601"/>
      <c r="QGL188" s="601"/>
      <c r="QGM188" s="601"/>
      <c r="QGN188" s="601"/>
      <c r="QGO188" s="601"/>
      <c r="QGP188" s="601"/>
      <c r="QGQ188" s="601"/>
      <c r="QGR188" s="601"/>
      <c r="QGS188" s="601"/>
      <c r="QGT188" s="601"/>
      <c r="QGU188" s="601"/>
      <c r="QGV188" s="601"/>
      <c r="QGW188" s="600" t="s">
        <v>646</v>
      </c>
      <c r="QGX188" s="601"/>
      <c r="QGY188" s="601"/>
      <c r="QGZ188" s="601"/>
      <c r="QHA188" s="601"/>
      <c r="QHB188" s="601"/>
      <c r="QHC188" s="601"/>
      <c r="QHD188" s="601"/>
      <c r="QHE188" s="601"/>
      <c r="QHF188" s="601"/>
      <c r="QHG188" s="601"/>
      <c r="QHH188" s="601"/>
      <c r="QHI188" s="601"/>
      <c r="QHJ188" s="601"/>
      <c r="QHK188" s="601"/>
      <c r="QHL188" s="601"/>
      <c r="QHM188" s="600" t="s">
        <v>646</v>
      </c>
      <c r="QHN188" s="601"/>
      <c r="QHO188" s="601"/>
      <c r="QHP188" s="601"/>
      <c r="QHQ188" s="601"/>
      <c r="QHR188" s="601"/>
      <c r="QHS188" s="601"/>
      <c r="QHT188" s="601"/>
      <c r="QHU188" s="601"/>
      <c r="QHV188" s="601"/>
      <c r="QHW188" s="601"/>
      <c r="QHX188" s="601"/>
      <c r="QHY188" s="601"/>
      <c r="QHZ188" s="601"/>
      <c r="QIA188" s="601"/>
      <c r="QIB188" s="601"/>
      <c r="QIC188" s="600" t="s">
        <v>646</v>
      </c>
      <c r="QID188" s="601"/>
      <c r="QIE188" s="601"/>
      <c r="QIF188" s="601"/>
      <c r="QIG188" s="601"/>
      <c r="QIH188" s="601"/>
      <c r="QII188" s="601"/>
      <c r="QIJ188" s="601"/>
      <c r="QIK188" s="601"/>
      <c r="QIL188" s="601"/>
      <c r="QIM188" s="601"/>
      <c r="QIN188" s="601"/>
      <c r="QIO188" s="601"/>
      <c r="QIP188" s="601"/>
      <c r="QIQ188" s="601"/>
      <c r="QIR188" s="601"/>
      <c r="QIS188" s="600" t="s">
        <v>646</v>
      </c>
      <c r="QIT188" s="601"/>
      <c r="QIU188" s="601"/>
      <c r="QIV188" s="601"/>
      <c r="QIW188" s="601"/>
      <c r="QIX188" s="601"/>
      <c r="QIY188" s="601"/>
      <c r="QIZ188" s="601"/>
      <c r="QJA188" s="601"/>
      <c r="QJB188" s="601"/>
      <c r="QJC188" s="601"/>
      <c r="QJD188" s="601"/>
      <c r="QJE188" s="601"/>
      <c r="QJF188" s="601"/>
      <c r="QJG188" s="601"/>
      <c r="QJH188" s="601"/>
      <c r="QJI188" s="600" t="s">
        <v>646</v>
      </c>
      <c r="QJJ188" s="601"/>
      <c r="QJK188" s="601"/>
      <c r="QJL188" s="601"/>
      <c r="QJM188" s="601"/>
      <c r="QJN188" s="601"/>
      <c r="QJO188" s="601"/>
      <c r="QJP188" s="601"/>
      <c r="QJQ188" s="601"/>
      <c r="QJR188" s="601"/>
      <c r="QJS188" s="601"/>
      <c r="QJT188" s="601"/>
      <c r="QJU188" s="601"/>
      <c r="QJV188" s="601"/>
      <c r="QJW188" s="601"/>
      <c r="QJX188" s="601"/>
      <c r="QJY188" s="600" t="s">
        <v>646</v>
      </c>
      <c r="QJZ188" s="601"/>
      <c r="QKA188" s="601"/>
      <c r="QKB188" s="601"/>
      <c r="QKC188" s="601"/>
      <c r="QKD188" s="601"/>
      <c r="QKE188" s="601"/>
      <c r="QKF188" s="601"/>
      <c r="QKG188" s="601"/>
      <c r="QKH188" s="601"/>
      <c r="QKI188" s="601"/>
      <c r="QKJ188" s="601"/>
      <c r="QKK188" s="601"/>
      <c r="QKL188" s="601"/>
      <c r="QKM188" s="601"/>
      <c r="QKN188" s="601"/>
      <c r="QKO188" s="600" t="s">
        <v>646</v>
      </c>
      <c r="QKP188" s="601"/>
      <c r="QKQ188" s="601"/>
      <c r="QKR188" s="601"/>
      <c r="QKS188" s="601"/>
      <c r="QKT188" s="601"/>
      <c r="QKU188" s="601"/>
      <c r="QKV188" s="601"/>
      <c r="QKW188" s="601"/>
      <c r="QKX188" s="601"/>
      <c r="QKY188" s="601"/>
      <c r="QKZ188" s="601"/>
      <c r="QLA188" s="601"/>
      <c r="QLB188" s="601"/>
      <c r="QLC188" s="601"/>
      <c r="QLD188" s="601"/>
      <c r="QLE188" s="600" t="s">
        <v>646</v>
      </c>
      <c r="QLF188" s="601"/>
      <c r="QLG188" s="601"/>
      <c r="QLH188" s="601"/>
      <c r="QLI188" s="601"/>
      <c r="QLJ188" s="601"/>
      <c r="QLK188" s="601"/>
      <c r="QLL188" s="601"/>
      <c r="QLM188" s="601"/>
      <c r="QLN188" s="601"/>
      <c r="QLO188" s="601"/>
      <c r="QLP188" s="601"/>
      <c r="QLQ188" s="601"/>
      <c r="QLR188" s="601"/>
      <c r="QLS188" s="601"/>
      <c r="QLT188" s="601"/>
      <c r="QLU188" s="600" t="s">
        <v>646</v>
      </c>
      <c r="QLV188" s="601"/>
      <c r="QLW188" s="601"/>
      <c r="QLX188" s="601"/>
      <c r="QLY188" s="601"/>
      <c r="QLZ188" s="601"/>
      <c r="QMA188" s="601"/>
      <c r="QMB188" s="601"/>
      <c r="QMC188" s="601"/>
      <c r="QMD188" s="601"/>
      <c r="QME188" s="601"/>
      <c r="QMF188" s="601"/>
      <c r="QMG188" s="601"/>
      <c r="QMH188" s="601"/>
      <c r="QMI188" s="601"/>
      <c r="QMJ188" s="601"/>
      <c r="QMK188" s="600" t="s">
        <v>646</v>
      </c>
      <c r="QML188" s="601"/>
      <c r="QMM188" s="601"/>
      <c r="QMN188" s="601"/>
      <c r="QMO188" s="601"/>
      <c r="QMP188" s="601"/>
      <c r="QMQ188" s="601"/>
      <c r="QMR188" s="601"/>
      <c r="QMS188" s="601"/>
      <c r="QMT188" s="601"/>
      <c r="QMU188" s="601"/>
      <c r="QMV188" s="601"/>
      <c r="QMW188" s="601"/>
      <c r="QMX188" s="601"/>
      <c r="QMY188" s="601"/>
      <c r="QMZ188" s="601"/>
      <c r="QNA188" s="600" t="s">
        <v>646</v>
      </c>
      <c r="QNB188" s="601"/>
      <c r="QNC188" s="601"/>
      <c r="QND188" s="601"/>
      <c r="QNE188" s="601"/>
      <c r="QNF188" s="601"/>
      <c r="QNG188" s="601"/>
      <c r="QNH188" s="601"/>
      <c r="QNI188" s="601"/>
      <c r="QNJ188" s="601"/>
      <c r="QNK188" s="601"/>
      <c r="QNL188" s="601"/>
      <c r="QNM188" s="601"/>
      <c r="QNN188" s="601"/>
      <c r="QNO188" s="601"/>
      <c r="QNP188" s="601"/>
      <c r="QNQ188" s="600" t="s">
        <v>646</v>
      </c>
      <c r="QNR188" s="601"/>
      <c r="QNS188" s="601"/>
      <c r="QNT188" s="601"/>
      <c r="QNU188" s="601"/>
      <c r="QNV188" s="601"/>
      <c r="QNW188" s="601"/>
      <c r="QNX188" s="601"/>
      <c r="QNY188" s="601"/>
      <c r="QNZ188" s="601"/>
      <c r="QOA188" s="601"/>
      <c r="QOB188" s="601"/>
      <c r="QOC188" s="601"/>
      <c r="QOD188" s="601"/>
      <c r="QOE188" s="601"/>
      <c r="QOF188" s="601"/>
      <c r="QOG188" s="600" t="s">
        <v>646</v>
      </c>
      <c r="QOH188" s="601"/>
      <c r="QOI188" s="601"/>
      <c r="QOJ188" s="601"/>
      <c r="QOK188" s="601"/>
      <c r="QOL188" s="601"/>
      <c r="QOM188" s="601"/>
      <c r="QON188" s="601"/>
      <c r="QOO188" s="601"/>
      <c r="QOP188" s="601"/>
      <c r="QOQ188" s="601"/>
      <c r="QOR188" s="601"/>
      <c r="QOS188" s="601"/>
      <c r="QOT188" s="601"/>
      <c r="QOU188" s="601"/>
      <c r="QOV188" s="601"/>
      <c r="QOW188" s="600" t="s">
        <v>646</v>
      </c>
      <c r="QOX188" s="601"/>
      <c r="QOY188" s="601"/>
      <c r="QOZ188" s="601"/>
      <c r="QPA188" s="601"/>
      <c r="QPB188" s="601"/>
      <c r="QPC188" s="601"/>
      <c r="QPD188" s="601"/>
      <c r="QPE188" s="601"/>
      <c r="QPF188" s="601"/>
      <c r="QPG188" s="601"/>
      <c r="QPH188" s="601"/>
      <c r="QPI188" s="601"/>
      <c r="QPJ188" s="601"/>
      <c r="QPK188" s="601"/>
      <c r="QPL188" s="601"/>
      <c r="QPM188" s="600" t="s">
        <v>646</v>
      </c>
      <c r="QPN188" s="601"/>
      <c r="QPO188" s="601"/>
      <c r="QPP188" s="601"/>
      <c r="QPQ188" s="601"/>
      <c r="QPR188" s="601"/>
      <c r="QPS188" s="601"/>
      <c r="QPT188" s="601"/>
      <c r="QPU188" s="601"/>
      <c r="QPV188" s="601"/>
      <c r="QPW188" s="601"/>
      <c r="QPX188" s="601"/>
      <c r="QPY188" s="601"/>
      <c r="QPZ188" s="601"/>
      <c r="QQA188" s="601"/>
      <c r="QQB188" s="601"/>
      <c r="QQC188" s="600" t="s">
        <v>646</v>
      </c>
      <c r="QQD188" s="601"/>
      <c r="QQE188" s="601"/>
      <c r="QQF188" s="601"/>
      <c r="QQG188" s="601"/>
      <c r="QQH188" s="601"/>
      <c r="QQI188" s="601"/>
      <c r="QQJ188" s="601"/>
      <c r="QQK188" s="601"/>
      <c r="QQL188" s="601"/>
      <c r="QQM188" s="601"/>
      <c r="QQN188" s="601"/>
      <c r="QQO188" s="601"/>
      <c r="QQP188" s="601"/>
      <c r="QQQ188" s="601"/>
      <c r="QQR188" s="601"/>
      <c r="QQS188" s="600" t="s">
        <v>646</v>
      </c>
      <c r="QQT188" s="601"/>
      <c r="QQU188" s="601"/>
      <c r="QQV188" s="601"/>
      <c r="QQW188" s="601"/>
      <c r="QQX188" s="601"/>
      <c r="QQY188" s="601"/>
      <c r="QQZ188" s="601"/>
      <c r="QRA188" s="601"/>
      <c r="QRB188" s="601"/>
      <c r="QRC188" s="601"/>
      <c r="QRD188" s="601"/>
      <c r="QRE188" s="601"/>
      <c r="QRF188" s="601"/>
      <c r="QRG188" s="601"/>
      <c r="QRH188" s="601"/>
      <c r="QRI188" s="600" t="s">
        <v>646</v>
      </c>
      <c r="QRJ188" s="601"/>
      <c r="QRK188" s="601"/>
      <c r="QRL188" s="601"/>
      <c r="QRM188" s="601"/>
      <c r="QRN188" s="601"/>
      <c r="QRO188" s="601"/>
      <c r="QRP188" s="601"/>
      <c r="QRQ188" s="601"/>
      <c r="QRR188" s="601"/>
      <c r="QRS188" s="601"/>
      <c r="QRT188" s="601"/>
      <c r="QRU188" s="601"/>
      <c r="QRV188" s="601"/>
      <c r="QRW188" s="601"/>
      <c r="QRX188" s="601"/>
      <c r="QRY188" s="600" t="s">
        <v>646</v>
      </c>
      <c r="QRZ188" s="601"/>
      <c r="QSA188" s="601"/>
      <c r="QSB188" s="601"/>
      <c r="QSC188" s="601"/>
      <c r="QSD188" s="601"/>
      <c r="QSE188" s="601"/>
      <c r="QSF188" s="601"/>
      <c r="QSG188" s="601"/>
      <c r="QSH188" s="601"/>
      <c r="QSI188" s="601"/>
      <c r="QSJ188" s="601"/>
      <c r="QSK188" s="601"/>
      <c r="QSL188" s="601"/>
      <c r="QSM188" s="601"/>
      <c r="QSN188" s="601"/>
      <c r="QSO188" s="600" t="s">
        <v>646</v>
      </c>
      <c r="QSP188" s="601"/>
      <c r="QSQ188" s="601"/>
      <c r="QSR188" s="601"/>
      <c r="QSS188" s="601"/>
      <c r="QST188" s="601"/>
      <c r="QSU188" s="601"/>
      <c r="QSV188" s="601"/>
      <c r="QSW188" s="601"/>
      <c r="QSX188" s="601"/>
      <c r="QSY188" s="601"/>
      <c r="QSZ188" s="601"/>
      <c r="QTA188" s="601"/>
      <c r="QTB188" s="601"/>
      <c r="QTC188" s="601"/>
      <c r="QTD188" s="601"/>
      <c r="QTE188" s="600" t="s">
        <v>646</v>
      </c>
      <c r="QTF188" s="601"/>
      <c r="QTG188" s="601"/>
      <c r="QTH188" s="601"/>
      <c r="QTI188" s="601"/>
      <c r="QTJ188" s="601"/>
      <c r="QTK188" s="601"/>
      <c r="QTL188" s="601"/>
      <c r="QTM188" s="601"/>
      <c r="QTN188" s="601"/>
      <c r="QTO188" s="601"/>
      <c r="QTP188" s="601"/>
      <c r="QTQ188" s="601"/>
      <c r="QTR188" s="601"/>
      <c r="QTS188" s="601"/>
      <c r="QTT188" s="601"/>
      <c r="QTU188" s="600" t="s">
        <v>646</v>
      </c>
      <c r="QTV188" s="601"/>
      <c r="QTW188" s="601"/>
      <c r="QTX188" s="601"/>
      <c r="QTY188" s="601"/>
      <c r="QTZ188" s="601"/>
      <c r="QUA188" s="601"/>
      <c r="QUB188" s="601"/>
      <c r="QUC188" s="601"/>
      <c r="QUD188" s="601"/>
      <c r="QUE188" s="601"/>
      <c r="QUF188" s="601"/>
      <c r="QUG188" s="601"/>
      <c r="QUH188" s="601"/>
      <c r="QUI188" s="601"/>
      <c r="QUJ188" s="601"/>
      <c r="QUK188" s="600" t="s">
        <v>646</v>
      </c>
      <c r="QUL188" s="601"/>
      <c r="QUM188" s="601"/>
      <c r="QUN188" s="601"/>
      <c r="QUO188" s="601"/>
      <c r="QUP188" s="601"/>
      <c r="QUQ188" s="601"/>
      <c r="QUR188" s="601"/>
      <c r="QUS188" s="601"/>
      <c r="QUT188" s="601"/>
      <c r="QUU188" s="601"/>
      <c r="QUV188" s="601"/>
      <c r="QUW188" s="601"/>
      <c r="QUX188" s="601"/>
      <c r="QUY188" s="601"/>
      <c r="QUZ188" s="601"/>
      <c r="QVA188" s="600" t="s">
        <v>646</v>
      </c>
      <c r="QVB188" s="601"/>
      <c r="QVC188" s="601"/>
      <c r="QVD188" s="601"/>
      <c r="QVE188" s="601"/>
      <c r="QVF188" s="601"/>
      <c r="QVG188" s="601"/>
      <c r="QVH188" s="601"/>
      <c r="QVI188" s="601"/>
      <c r="QVJ188" s="601"/>
      <c r="QVK188" s="601"/>
      <c r="QVL188" s="601"/>
      <c r="QVM188" s="601"/>
      <c r="QVN188" s="601"/>
      <c r="QVO188" s="601"/>
      <c r="QVP188" s="601"/>
      <c r="QVQ188" s="600" t="s">
        <v>646</v>
      </c>
      <c r="QVR188" s="601"/>
      <c r="QVS188" s="601"/>
      <c r="QVT188" s="601"/>
      <c r="QVU188" s="601"/>
      <c r="QVV188" s="601"/>
      <c r="QVW188" s="601"/>
      <c r="QVX188" s="601"/>
      <c r="QVY188" s="601"/>
      <c r="QVZ188" s="601"/>
      <c r="QWA188" s="601"/>
      <c r="QWB188" s="601"/>
      <c r="QWC188" s="601"/>
      <c r="QWD188" s="601"/>
      <c r="QWE188" s="601"/>
      <c r="QWF188" s="601"/>
      <c r="QWG188" s="600" t="s">
        <v>646</v>
      </c>
      <c r="QWH188" s="601"/>
      <c r="QWI188" s="601"/>
      <c r="QWJ188" s="601"/>
      <c r="QWK188" s="601"/>
      <c r="QWL188" s="601"/>
      <c r="QWM188" s="601"/>
      <c r="QWN188" s="601"/>
      <c r="QWO188" s="601"/>
      <c r="QWP188" s="601"/>
      <c r="QWQ188" s="601"/>
      <c r="QWR188" s="601"/>
      <c r="QWS188" s="601"/>
      <c r="QWT188" s="601"/>
      <c r="QWU188" s="601"/>
      <c r="QWV188" s="601"/>
      <c r="QWW188" s="600" t="s">
        <v>646</v>
      </c>
      <c r="QWX188" s="601"/>
      <c r="QWY188" s="601"/>
      <c r="QWZ188" s="601"/>
      <c r="QXA188" s="601"/>
      <c r="QXB188" s="601"/>
      <c r="QXC188" s="601"/>
      <c r="QXD188" s="601"/>
      <c r="QXE188" s="601"/>
      <c r="QXF188" s="601"/>
      <c r="QXG188" s="601"/>
      <c r="QXH188" s="601"/>
      <c r="QXI188" s="601"/>
      <c r="QXJ188" s="601"/>
      <c r="QXK188" s="601"/>
      <c r="QXL188" s="601"/>
      <c r="QXM188" s="600" t="s">
        <v>646</v>
      </c>
      <c r="QXN188" s="601"/>
      <c r="QXO188" s="601"/>
      <c r="QXP188" s="601"/>
      <c r="QXQ188" s="601"/>
      <c r="QXR188" s="601"/>
      <c r="QXS188" s="601"/>
      <c r="QXT188" s="601"/>
      <c r="QXU188" s="601"/>
      <c r="QXV188" s="601"/>
      <c r="QXW188" s="601"/>
      <c r="QXX188" s="601"/>
      <c r="QXY188" s="601"/>
      <c r="QXZ188" s="601"/>
      <c r="QYA188" s="601"/>
      <c r="QYB188" s="601"/>
      <c r="QYC188" s="600" t="s">
        <v>646</v>
      </c>
      <c r="QYD188" s="601"/>
      <c r="QYE188" s="601"/>
      <c r="QYF188" s="601"/>
      <c r="QYG188" s="601"/>
      <c r="QYH188" s="601"/>
      <c r="QYI188" s="601"/>
      <c r="QYJ188" s="601"/>
      <c r="QYK188" s="601"/>
      <c r="QYL188" s="601"/>
      <c r="QYM188" s="601"/>
      <c r="QYN188" s="601"/>
      <c r="QYO188" s="601"/>
      <c r="QYP188" s="601"/>
      <c r="QYQ188" s="601"/>
      <c r="QYR188" s="601"/>
      <c r="QYS188" s="600" t="s">
        <v>646</v>
      </c>
      <c r="QYT188" s="601"/>
      <c r="QYU188" s="601"/>
      <c r="QYV188" s="601"/>
      <c r="QYW188" s="601"/>
      <c r="QYX188" s="601"/>
      <c r="QYY188" s="601"/>
      <c r="QYZ188" s="601"/>
      <c r="QZA188" s="601"/>
      <c r="QZB188" s="601"/>
      <c r="QZC188" s="601"/>
      <c r="QZD188" s="601"/>
      <c r="QZE188" s="601"/>
      <c r="QZF188" s="601"/>
      <c r="QZG188" s="601"/>
      <c r="QZH188" s="601"/>
      <c r="QZI188" s="600" t="s">
        <v>646</v>
      </c>
      <c r="QZJ188" s="601"/>
      <c r="QZK188" s="601"/>
      <c r="QZL188" s="601"/>
      <c r="QZM188" s="601"/>
      <c r="QZN188" s="601"/>
      <c r="QZO188" s="601"/>
      <c r="QZP188" s="601"/>
      <c r="QZQ188" s="601"/>
      <c r="QZR188" s="601"/>
      <c r="QZS188" s="601"/>
      <c r="QZT188" s="601"/>
      <c r="QZU188" s="601"/>
      <c r="QZV188" s="601"/>
      <c r="QZW188" s="601"/>
      <c r="QZX188" s="601"/>
      <c r="QZY188" s="600" t="s">
        <v>646</v>
      </c>
      <c r="QZZ188" s="601"/>
      <c r="RAA188" s="601"/>
      <c r="RAB188" s="601"/>
      <c r="RAC188" s="601"/>
      <c r="RAD188" s="601"/>
      <c r="RAE188" s="601"/>
      <c r="RAF188" s="601"/>
      <c r="RAG188" s="601"/>
      <c r="RAH188" s="601"/>
      <c r="RAI188" s="601"/>
      <c r="RAJ188" s="601"/>
      <c r="RAK188" s="601"/>
      <c r="RAL188" s="601"/>
      <c r="RAM188" s="601"/>
      <c r="RAN188" s="601"/>
      <c r="RAO188" s="600" t="s">
        <v>646</v>
      </c>
      <c r="RAP188" s="601"/>
      <c r="RAQ188" s="601"/>
      <c r="RAR188" s="601"/>
      <c r="RAS188" s="601"/>
      <c r="RAT188" s="601"/>
      <c r="RAU188" s="601"/>
      <c r="RAV188" s="601"/>
      <c r="RAW188" s="601"/>
      <c r="RAX188" s="601"/>
      <c r="RAY188" s="601"/>
      <c r="RAZ188" s="601"/>
      <c r="RBA188" s="601"/>
      <c r="RBB188" s="601"/>
      <c r="RBC188" s="601"/>
      <c r="RBD188" s="601"/>
      <c r="RBE188" s="600" t="s">
        <v>646</v>
      </c>
      <c r="RBF188" s="601"/>
      <c r="RBG188" s="601"/>
      <c r="RBH188" s="601"/>
      <c r="RBI188" s="601"/>
      <c r="RBJ188" s="601"/>
      <c r="RBK188" s="601"/>
      <c r="RBL188" s="601"/>
      <c r="RBM188" s="601"/>
      <c r="RBN188" s="601"/>
      <c r="RBO188" s="601"/>
      <c r="RBP188" s="601"/>
      <c r="RBQ188" s="601"/>
      <c r="RBR188" s="601"/>
      <c r="RBS188" s="601"/>
      <c r="RBT188" s="601"/>
      <c r="RBU188" s="600" t="s">
        <v>646</v>
      </c>
      <c r="RBV188" s="601"/>
      <c r="RBW188" s="601"/>
      <c r="RBX188" s="601"/>
      <c r="RBY188" s="601"/>
      <c r="RBZ188" s="601"/>
      <c r="RCA188" s="601"/>
      <c r="RCB188" s="601"/>
      <c r="RCC188" s="601"/>
      <c r="RCD188" s="601"/>
      <c r="RCE188" s="601"/>
      <c r="RCF188" s="601"/>
      <c r="RCG188" s="601"/>
      <c r="RCH188" s="601"/>
      <c r="RCI188" s="601"/>
      <c r="RCJ188" s="601"/>
      <c r="RCK188" s="600" t="s">
        <v>646</v>
      </c>
      <c r="RCL188" s="601"/>
      <c r="RCM188" s="601"/>
      <c r="RCN188" s="601"/>
      <c r="RCO188" s="601"/>
      <c r="RCP188" s="601"/>
      <c r="RCQ188" s="601"/>
      <c r="RCR188" s="601"/>
      <c r="RCS188" s="601"/>
      <c r="RCT188" s="601"/>
      <c r="RCU188" s="601"/>
      <c r="RCV188" s="601"/>
      <c r="RCW188" s="601"/>
      <c r="RCX188" s="601"/>
      <c r="RCY188" s="601"/>
      <c r="RCZ188" s="601"/>
      <c r="RDA188" s="600" t="s">
        <v>646</v>
      </c>
      <c r="RDB188" s="601"/>
      <c r="RDC188" s="601"/>
      <c r="RDD188" s="601"/>
      <c r="RDE188" s="601"/>
      <c r="RDF188" s="601"/>
      <c r="RDG188" s="601"/>
      <c r="RDH188" s="601"/>
      <c r="RDI188" s="601"/>
      <c r="RDJ188" s="601"/>
      <c r="RDK188" s="601"/>
      <c r="RDL188" s="601"/>
      <c r="RDM188" s="601"/>
      <c r="RDN188" s="601"/>
      <c r="RDO188" s="601"/>
      <c r="RDP188" s="601"/>
      <c r="RDQ188" s="600" t="s">
        <v>646</v>
      </c>
      <c r="RDR188" s="601"/>
      <c r="RDS188" s="601"/>
      <c r="RDT188" s="601"/>
      <c r="RDU188" s="601"/>
      <c r="RDV188" s="601"/>
      <c r="RDW188" s="601"/>
      <c r="RDX188" s="601"/>
      <c r="RDY188" s="601"/>
      <c r="RDZ188" s="601"/>
      <c r="REA188" s="601"/>
      <c r="REB188" s="601"/>
      <c r="REC188" s="601"/>
      <c r="RED188" s="601"/>
      <c r="REE188" s="601"/>
      <c r="REF188" s="601"/>
      <c r="REG188" s="600" t="s">
        <v>646</v>
      </c>
      <c r="REH188" s="601"/>
      <c r="REI188" s="601"/>
      <c r="REJ188" s="601"/>
      <c r="REK188" s="601"/>
      <c r="REL188" s="601"/>
      <c r="REM188" s="601"/>
      <c r="REN188" s="601"/>
      <c r="REO188" s="601"/>
      <c r="REP188" s="601"/>
      <c r="REQ188" s="601"/>
      <c r="RER188" s="601"/>
      <c r="RES188" s="601"/>
      <c r="RET188" s="601"/>
      <c r="REU188" s="601"/>
      <c r="REV188" s="601"/>
      <c r="REW188" s="600" t="s">
        <v>646</v>
      </c>
      <c r="REX188" s="601"/>
      <c r="REY188" s="601"/>
      <c r="REZ188" s="601"/>
      <c r="RFA188" s="601"/>
      <c r="RFB188" s="601"/>
      <c r="RFC188" s="601"/>
      <c r="RFD188" s="601"/>
      <c r="RFE188" s="601"/>
      <c r="RFF188" s="601"/>
      <c r="RFG188" s="601"/>
      <c r="RFH188" s="601"/>
      <c r="RFI188" s="601"/>
      <c r="RFJ188" s="601"/>
      <c r="RFK188" s="601"/>
      <c r="RFL188" s="601"/>
      <c r="RFM188" s="600" t="s">
        <v>646</v>
      </c>
      <c r="RFN188" s="601"/>
      <c r="RFO188" s="601"/>
      <c r="RFP188" s="601"/>
      <c r="RFQ188" s="601"/>
      <c r="RFR188" s="601"/>
      <c r="RFS188" s="601"/>
      <c r="RFT188" s="601"/>
      <c r="RFU188" s="601"/>
      <c r="RFV188" s="601"/>
      <c r="RFW188" s="601"/>
      <c r="RFX188" s="601"/>
      <c r="RFY188" s="601"/>
      <c r="RFZ188" s="601"/>
      <c r="RGA188" s="601"/>
      <c r="RGB188" s="601"/>
      <c r="RGC188" s="600" t="s">
        <v>646</v>
      </c>
      <c r="RGD188" s="601"/>
      <c r="RGE188" s="601"/>
      <c r="RGF188" s="601"/>
      <c r="RGG188" s="601"/>
      <c r="RGH188" s="601"/>
      <c r="RGI188" s="601"/>
      <c r="RGJ188" s="601"/>
      <c r="RGK188" s="601"/>
      <c r="RGL188" s="601"/>
      <c r="RGM188" s="601"/>
      <c r="RGN188" s="601"/>
      <c r="RGO188" s="601"/>
      <c r="RGP188" s="601"/>
      <c r="RGQ188" s="601"/>
      <c r="RGR188" s="601"/>
      <c r="RGS188" s="600" t="s">
        <v>646</v>
      </c>
      <c r="RGT188" s="601"/>
      <c r="RGU188" s="601"/>
      <c r="RGV188" s="601"/>
      <c r="RGW188" s="601"/>
      <c r="RGX188" s="601"/>
      <c r="RGY188" s="601"/>
      <c r="RGZ188" s="601"/>
      <c r="RHA188" s="601"/>
      <c r="RHB188" s="601"/>
      <c r="RHC188" s="601"/>
      <c r="RHD188" s="601"/>
      <c r="RHE188" s="601"/>
      <c r="RHF188" s="601"/>
      <c r="RHG188" s="601"/>
      <c r="RHH188" s="601"/>
      <c r="RHI188" s="600" t="s">
        <v>646</v>
      </c>
      <c r="RHJ188" s="601"/>
      <c r="RHK188" s="601"/>
      <c r="RHL188" s="601"/>
      <c r="RHM188" s="601"/>
      <c r="RHN188" s="601"/>
      <c r="RHO188" s="601"/>
      <c r="RHP188" s="601"/>
      <c r="RHQ188" s="601"/>
      <c r="RHR188" s="601"/>
      <c r="RHS188" s="601"/>
      <c r="RHT188" s="601"/>
      <c r="RHU188" s="601"/>
      <c r="RHV188" s="601"/>
      <c r="RHW188" s="601"/>
      <c r="RHX188" s="601"/>
      <c r="RHY188" s="600" t="s">
        <v>646</v>
      </c>
      <c r="RHZ188" s="601"/>
      <c r="RIA188" s="601"/>
      <c r="RIB188" s="601"/>
      <c r="RIC188" s="601"/>
      <c r="RID188" s="601"/>
      <c r="RIE188" s="601"/>
      <c r="RIF188" s="601"/>
      <c r="RIG188" s="601"/>
      <c r="RIH188" s="601"/>
      <c r="RII188" s="601"/>
      <c r="RIJ188" s="601"/>
      <c r="RIK188" s="601"/>
      <c r="RIL188" s="601"/>
      <c r="RIM188" s="601"/>
      <c r="RIN188" s="601"/>
      <c r="RIO188" s="600" t="s">
        <v>646</v>
      </c>
      <c r="RIP188" s="601"/>
      <c r="RIQ188" s="601"/>
      <c r="RIR188" s="601"/>
      <c r="RIS188" s="601"/>
      <c r="RIT188" s="601"/>
      <c r="RIU188" s="601"/>
      <c r="RIV188" s="601"/>
      <c r="RIW188" s="601"/>
      <c r="RIX188" s="601"/>
      <c r="RIY188" s="601"/>
      <c r="RIZ188" s="601"/>
      <c r="RJA188" s="601"/>
      <c r="RJB188" s="601"/>
      <c r="RJC188" s="601"/>
      <c r="RJD188" s="601"/>
      <c r="RJE188" s="600" t="s">
        <v>646</v>
      </c>
      <c r="RJF188" s="601"/>
      <c r="RJG188" s="601"/>
      <c r="RJH188" s="601"/>
      <c r="RJI188" s="601"/>
      <c r="RJJ188" s="601"/>
      <c r="RJK188" s="601"/>
      <c r="RJL188" s="601"/>
      <c r="RJM188" s="601"/>
      <c r="RJN188" s="601"/>
      <c r="RJO188" s="601"/>
      <c r="RJP188" s="601"/>
      <c r="RJQ188" s="601"/>
      <c r="RJR188" s="601"/>
      <c r="RJS188" s="601"/>
      <c r="RJT188" s="601"/>
      <c r="RJU188" s="600" t="s">
        <v>646</v>
      </c>
      <c r="RJV188" s="601"/>
      <c r="RJW188" s="601"/>
      <c r="RJX188" s="601"/>
      <c r="RJY188" s="601"/>
      <c r="RJZ188" s="601"/>
      <c r="RKA188" s="601"/>
      <c r="RKB188" s="601"/>
      <c r="RKC188" s="601"/>
      <c r="RKD188" s="601"/>
      <c r="RKE188" s="601"/>
      <c r="RKF188" s="601"/>
      <c r="RKG188" s="601"/>
      <c r="RKH188" s="601"/>
      <c r="RKI188" s="601"/>
      <c r="RKJ188" s="601"/>
      <c r="RKK188" s="600" t="s">
        <v>646</v>
      </c>
      <c r="RKL188" s="601"/>
      <c r="RKM188" s="601"/>
      <c r="RKN188" s="601"/>
      <c r="RKO188" s="601"/>
      <c r="RKP188" s="601"/>
      <c r="RKQ188" s="601"/>
      <c r="RKR188" s="601"/>
      <c r="RKS188" s="601"/>
      <c r="RKT188" s="601"/>
      <c r="RKU188" s="601"/>
      <c r="RKV188" s="601"/>
      <c r="RKW188" s="601"/>
      <c r="RKX188" s="601"/>
      <c r="RKY188" s="601"/>
      <c r="RKZ188" s="601"/>
      <c r="RLA188" s="600" t="s">
        <v>646</v>
      </c>
      <c r="RLB188" s="601"/>
      <c r="RLC188" s="601"/>
      <c r="RLD188" s="601"/>
      <c r="RLE188" s="601"/>
      <c r="RLF188" s="601"/>
      <c r="RLG188" s="601"/>
      <c r="RLH188" s="601"/>
      <c r="RLI188" s="601"/>
      <c r="RLJ188" s="601"/>
      <c r="RLK188" s="601"/>
      <c r="RLL188" s="601"/>
      <c r="RLM188" s="601"/>
      <c r="RLN188" s="601"/>
      <c r="RLO188" s="601"/>
      <c r="RLP188" s="601"/>
      <c r="RLQ188" s="600" t="s">
        <v>646</v>
      </c>
      <c r="RLR188" s="601"/>
      <c r="RLS188" s="601"/>
      <c r="RLT188" s="601"/>
      <c r="RLU188" s="601"/>
      <c r="RLV188" s="601"/>
      <c r="RLW188" s="601"/>
      <c r="RLX188" s="601"/>
      <c r="RLY188" s="601"/>
      <c r="RLZ188" s="601"/>
      <c r="RMA188" s="601"/>
      <c r="RMB188" s="601"/>
      <c r="RMC188" s="601"/>
      <c r="RMD188" s="601"/>
      <c r="RME188" s="601"/>
      <c r="RMF188" s="601"/>
      <c r="RMG188" s="600" t="s">
        <v>646</v>
      </c>
      <c r="RMH188" s="601"/>
      <c r="RMI188" s="601"/>
      <c r="RMJ188" s="601"/>
      <c r="RMK188" s="601"/>
      <c r="RML188" s="601"/>
      <c r="RMM188" s="601"/>
      <c r="RMN188" s="601"/>
      <c r="RMO188" s="601"/>
      <c r="RMP188" s="601"/>
      <c r="RMQ188" s="601"/>
      <c r="RMR188" s="601"/>
      <c r="RMS188" s="601"/>
      <c r="RMT188" s="601"/>
      <c r="RMU188" s="601"/>
      <c r="RMV188" s="601"/>
      <c r="RMW188" s="600" t="s">
        <v>646</v>
      </c>
      <c r="RMX188" s="601"/>
      <c r="RMY188" s="601"/>
      <c r="RMZ188" s="601"/>
      <c r="RNA188" s="601"/>
      <c r="RNB188" s="601"/>
      <c r="RNC188" s="601"/>
      <c r="RND188" s="601"/>
      <c r="RNE188" s="601"/>
      <c r="RNF188" s="601"/>
      <c r="RNG188" s="601"/>
      <c r="RNH188" s="601"/>
      <c r="RNI188" s="601"/>
      <c r="RNJ188" s="601"/>
      <c r="RNK188" s="601"/>
      <c r="RNL188" s="601"/>
      <c r="RNM188" s="600" t="s">
        <v>646</v>
      </c>
      <c r="RNN188" s="601"/>
      <c r="RNO188" s="601"/>
      <c r="RNP188" s="601"/>
      <c r="RNQ188" s="601"/>
      <c r="RNR188" s="601"/>
      <c r="RNS188" s="601"/>
      <c r="RNT188" s="601"/>
      <c r="RNU188" s="601"/>
      <c r="RNV188" s="601"/>
      <c r="RNW188" s="601"/>
      <c r="RNX188" s="601"/>
      <c r="RNY188" s="601"/>
      <c r="RNZ188" s="601"/>
      <c r="ROA188" s="601"/>
      <c r="ROB188" s="601"/>
      <c r="ROC188" s="600" t="s">
        <v>646</v>
      </c>
      <c r="ROD188" s="601"/>
      <c r="ROE188" s="601"/>
      <c r="ROF188" s="601"/>
      <c r="ROG188" s="601"/>
      <c r="ROH188" s="601"/>
      <c r="ROI188" s="601"/>
      <c r="ROJ188" s="601"/>
      <c r="ROK188" s="601"/>
      <c r="ROL188" s="601"/>
      <c r="ROM188" s="601"/>
      <c r="RON188" s="601"/>
      <c r="ROO188" s="601"/>
      <c r="ROP188" s="601"/>
      <c r="ROQ188" s="601"/>
      <c r="ROR188" s="601"/>
      <c r="ROS188" s="600" t="s">
        <v>646</v>
      </c>
      <c r="ROT188" s="601"/>
      <c r="ROU188" s="601"/>
      <c r="ROV188" s="601"/>
      <c r="ROW188" s="601"/>
      <c r="ROX188" s="601"/>
      <c r="ROY188" s="601"/>
      <c r="ROZ188" s="601"/>
      <c r="RPA188" s="601"/>
      <c r="RPB188" s="601"/>
      <c r="RPC188" s="601"/>
      <c r="RPD188" s="601"/>
      <c r="RPE188" s="601"/>
      <c r="RPF188" s="601"/>
      <c r="RPG188" s="601"/>
      <c r="RPH188" s="601"/>
      <c r="RPI188" s="600" t="s">
        <v>646</v>
      </c>
      <c r="RPJ188" s="601"/>
      <c r="RPK188" s="601"/>
      <c r="RPL188" s="601"/>
      <c r="RPM188" s="601"/>
      <c r="RPN188" s="601"/>
      <c r="RPO188" s="601"/>
      <c r="RPP188" s="601"/>
      <c r="RPQ188" s="601"/>
      <c r="RPR188" s="601"/>
      <c r="RPS188" s="601"/>
      <c r="RPT188" s="601"/>
      <c r="RPU188" s="601"/>
      <c r="RPV188" s="601"/>
      <c r="RPW188" s="601"/>
      <c r="RPX188" s="601"/>
      <c r="RPY188" s="600" t="s">
        <v>646</v>
      </c>
      <c r="RPZ188" s="601"/>
      <c r="RQA188" s="601"/>
      <c r="RQB188" s="601"/>
      <c r="RQC188" s="601"/>
      <c r="RQD188" s="601"/>
      <c r="RQE188" s="601"/>
      <c r="RQF188" s="601"/>
      <c r="RQG188" s="601"/>
      <c r="RQH188" s="601"/>
      <c r="RQI188" s="601"/>
      <c r="RQJ188" s="601"/>
      <c r="RQK188" s="601"/>
      <c r="RQL188" s="601"/>
      <c r="RQM188" s="601"/>
      <c r="RQN188" s="601"/>
      <c r="RQO188" s="600" t="s">
        <v>646</v>
      </c>
      <c r="RQP188" s="601"/>
      <c r="RQQ188" s="601"/>
      <c r="RQR188" s="601"/>
      <c r="RQS188" s="601"/>
      <c r="RQT188" s="601"/>
      <c r="RQU188" s="601"/>
      <c r="RQV188" s="601"/>
      <c r="RQW188" s="601"/>
      <c r="RQX188" s="601"/>
      <c r="RQY188" s="601"/>
      <c r="RQZ188" s="601"/>
      <c r="RRA188" s="601"/>
      <c r="RRB188" s="601"/>
      <c r="RRC188" s="601"/>
      <c r="RRD188" s="601"/>
      <c r="RRE188" s="600" t="s">
        <v>646</v>
      </c>
      <c r="RRF188" s="601"/>
      <c r="RRG188" s="601"/>
      <c r="RRH188" s="601"/>
      <c r="RRI188" s="601"/>
      <c r="RRJ188" s="601"/>
      <c r="RRK188" s="601"/>
      <c r="RRL188" s="601"/>
      <c r="RRM188" s="601"/>
      <c r="RRN188" s="601"/>
      <c r="RRO188" s="601"/>
      <c r="RRP188" s="601"/>
      <c r="RRQ188" s="601"/>
      <c r="RRR188" s="601"/>
      <c r="RRS188" s="601"/>
      <c r="RRT188" s="601"/>
      <c r="RRU188" s="600" t="s">
        <v>646</v>
      </c>
      <c r="RRV188" s="601"/>
      <c r="RRW188" s="601"/>
      <c r="RRX188" s="601"/>
      <c r="RRY188" s="601"/>
      <c r="RRZ188" s="601"/>
      <c r="RSA188" s="601"/>
      <c r="RSB188" s="601"/>
      <c r="RSC188" s="601"/>
      <c r="RSD188" s="601"/>
      <c r="RSE188" s="601"/>
      <c r="RSF188" s="601"/>
      <c r="RSG188" s="601"/>
      <c r="RSH188" s="601"/>
      <c r="RSI188" s="601"/>
      <c r="RSJ188" s="601"/>
      <c r="RSK188" s="600" t="s">
        <v>646</v>
      </c>
      <c r="RSL188" s="601"/>
      <c r="RSM188" s="601"/>
      <c r="RSN188" s="601"/>
      <c r="RSO188" s="601"/>
      <c r="RSP188" s="601"/>
      <c r="RSQ188" s="601"/>
      <c r="RSR188" s="601"/>
      <c r="RSS188" s="601"/>
      <c r="RST188" s="601"/>
      <c r="RSU188" s="601"/>
      <c r="RSV188" s="601"/>
      <c r="RSW188" s="601"/>
      <c r="RSX188" s="601"/>
      <c r="RSY188" s="601"/>
      <c r="RSZ188" s="601"/>
      <c r="RTA188" s="600" t="s">
        <v>646</v>
      </c>
      <c r="RTB188" s="601"/>
      <c r="RTC188" s="601"/>
      <c r="RTD188" s="601"/>
      <c r="RTE188" s="601"/>
      <c r="RTF188" s="601"/>
      <c r="RTG188" s="601"/>
      <c r="RTH188" s="601"/>
      <c r="RTI188" s="601"/>
      <c r="RTJ188" s="601"/>
      <c r="RTK188" s="601"/>
      <c r="RTL188" s="601"/>
      <c r="RTM188" s="601"/>
      <c r="RTN188" s="601"/>
      <c r="RTO188" s="601"/>
      <c r="RTP188" s="601"/>
      <c r="RTQ188" s="600" t="s">
        <v>646</v>
      </c>
      <c r="RTR188" s="601"/>
      <c r="RTS188" s="601"/>
      <c r="RTT188" s="601"/>
      <c r="RTU188" s="601"/>
      <c r="RTV188" s="601"/>
      <c r="RTW188" s="601"/>
      <c r="RTX188" s="601"/>
      <c r="RTY188" s="601"/>
      <c r="RTZ188" s="601"/>
      <c r="RUA188" s="601"/>
      <c r="RUB188" s="601"/>
      <c r="RUC188" s="601"/>
      <c r="RUD188" s="601"/>
      <c r="RUE188" s="601"/>
      <c r="RUF188" s="601"/>
      <c r="RUG188" s="600" t="s">
        <v>646</v>
      </c>
      <c r="RUH188" s="601"/>
      <c r="RUI188" s="601"/>
      <c r="RUJ188" s="601"/>
      <c r="RUK188" s="601"/>
      <c r="RUL188" s="601"/>
      <c r="RUM188" s="601"/>
      <c r="RUN188" s="601"/>
      <c r="RUO188" s="601"/>
      <c r="RUP188" s="601"/>
      <c r="RUQ188" s="601"/>
      <c r="RUR188" s="601"/>
      <c r="RUS188" s="601"/>
      <c r="RUT188" s="601"/>
      <c r="RUU188" s="601"/>
      <c r="RUV188" s="601"/>
      <c r="RUW188" s="600" t="s">
        <v>646</v>
      </c>
      <c r="RUX188" s="601"/>
      <c r="RUY188" s="601"/>
      <c r="RUZ188" s="601"/>
      <c r="RVA188" s="601"/>
      <c r="RVB188" s="601"/>
      <c r="RVC188" s="601"/>
      <c r="RVD188" s="601"/>
      <c r="RVE188" s="601"/>
      <c r="RVF188" s="601"/>
      <c r="RVG188" s="601"/>
      <c r="RVH188" s="601"/>
      <c r="RVI188" s="601"/>
      <c r="RVJ188" s="601"/>
      <c r="RVK188" s="601"/>
      <c r="RVL188" s="601"/>
      <c r="RVM188" s="600" t="s">
        <v>646</v>
      </c>
      <c r="RVN188" s="601"/>
      <c r="RVO188" s="601"/>
      <c r="RVP188" s="601"/>
      <c r="RVQ188" s="601"/>
      <c r="RVR188" s="601"/>
      <c r="RVS188" s="601"/>
      <c r="RVT188" s="601"/>
      <c r="RVU188" s="601"/>
      <c r="RVV188" s="601"/>
      <c r="RVW188" s="601"/>
      <c r="RVX188" s="601"/>
      <c r="RVY188" s="601"/>
      <c r="RVZ188" s="601"/>
      <c r="RWA188" s="601"/>
      <c r="RWB188" s="601"/>
      <c r="RWC188" s="600" t="s">
        <v>646</v>
      </c>
      <c r="RWD188" s="601"/>
      <c r="RWE188" s="601"/>
      <c r="RWF188" s="601"/>
      <c r="RWG188" s="601"/>
      <c r="RWH188" s="601"/>
      <c r="RWI188" s="601"/>
      <c r="RWJ188" s="601"/>
      <c r="RWK188" s="601"/>
      <c r="RWL188" s="601"/>
      <c r="RWM188" s="601"/>
      <c r="RWN188" s="601"/>
      <c r="RWO188" s="601"/>
      <c r="RWP188" s="601"/>
      <c r="RWQ188" s="601"/>
      <c r="RWR188" s="601"/>
      <c r="RWS188" s="600" t="s">
        <v>646</v>
      </c>
      <c r="RWT188" s="601"/>
      <c r="RWU188" s="601"/>
      <c r="RWV188" s="601"/>
      <c r="RWW188" s="601"/>
      <c r="RWX188" s="601"/>
      <c r="RWY188" s="601"/>
      <c r="RWZ188" s="601"/>
      <c r="RXA188" s="601"/>
      <c r="RXB188" s="601"/>
      <c r="RXC188" s="601"/>
      <c r="RXD188" s="601"/>
      <c r="RXE188" s="601"/>
      <c r="RXF188" s="601"/>
      <c r="RXG188" s="601"/>
      <c r="RXH188" s="601"/>
      <c r="RXI188" s="600" t="s">
        <v>646</v>
      </c>
      <c r="RXJ188" s="601"/>
      <c r="RXK188" s="601"/>
      <c r="RXL188" s="601"/>
      <c r="RXM188" s="601"/>
      <c r="RXN188" s="601"/>
      <c r="RXO188" s="601"/>
      <c r="RXP188" s="601"/>
      <c r="RXQ188" s="601"/>
      <c r="RXR188" s="601"/>
      <c r="RXS188" s="601"/>
      <c r="RXT188" s="601"/>
      <c r="RXU188" s="601"/>
      <c r="RXV188" s="601"/>
      <c r="RXW188" s="601"/>
      <c r="RXX188" s="601"/>
      <c r="RXY188" s="600" t="s">
        <v>646</v>
      </c>
      <c r="RXZ188" s="601"/>
      <c r="RYA188" s="601"/>
      <c r="RYB188" s="601"/>
      <c r="RYC188" s="601"/>
      <c r="RYD188" s="601"/>
      <c r="RYE188" s="601"/>
      <c r="RYF188" s="601"/>
      <c r="RYG188" s="601"/>
      <c r="RYH188" s="601"/>
      <c r="RYI188" s="601"/>
      <c r="RYJ188" s="601"/>
      <c r="RYK188" s="601"/>
      <c r="RYL188" s="601"/>
      <c r="RYM188" s="601"/>
      <c r="RYN188" s="601"/>
      <c r="RYO188" s="600" t="s">
        <v>646</v>
      </c>
      <c r="RYP188" s="601"/>
      <c r="RYQ188" s="601"/>
      <c r="RYR188" s="601"/>
      <c r="RYS188" s="601"/>
      <c r="RYT188" s="601"/>
      <c r="RYU188" s="601"/>
      <c r="RYV188" s="601"/>
      <c r="RYW188" s="601"/>
      <c r="RYX188" s="601"/>
      <c r="RYY188" s="601"/>
      <c r="RYZ188" s="601"/>
      <c r="RZA188" s="601"/>
      <c r="RZB188" s="601"/>
      <c r="RZC188" s="601"/>
      <c r="RZD188" s="601"/>
      <c r="RZE188" s="600" t="s">
        <v>646</v>
      </c>
      <c r="RZF188" s="601"/>
      <c r="RZG188" s="601"/>
      <c r="RZH188" s="601"/>
      <c r="RZI188" s="601"/>
      <c r="RZJ188" s="601"/>
      <c r="RZK188" s="601"/>
      <c r="RZL188" s="601"/>
      <c r="RZM188" s="601"/>
      <c r="RZN188" s="601"/>
      <c r="RZO188" s="601"/>
      <c r="RZP188" s="601"/>
      <c r="RZQ188" s="601"/>
      <c r="RZR188" s="601"/>
      <c r="RZS188" s="601"/>
      <c r="RZT188" s="601"/>
      <c r="RZU188" s="600" t="s">
        <v>646</v>
      </c>
      <c r="RZV188" s="601"/>
      <c r="RZW188" s="601"/>
      <c r="RZX188" s="601"/>
      <c r="RZY188" s="601"/>
      <c r="RZZ188" s="601"/>
      <c r="SAA188" s="601"/>
      <c r="SAB188" s="601"/>
      <c r="SAC188" s="601"/>
      <c r="SAD188" s="601"/>
      <c r="SAE188" s="601"/>
      <c r="SAF188" s="601"/>
      <c r="SAG188" s="601"/>
      <c r="SAH188" s="601"/>
      <c r="SAI188" s="601"/>
      <c r="SAJ188" s="601"/>
      <c r="SAK188" s="600" t="s">
        <v>646</v>
      </c>
      <c r="SAL188" s="601"/>
      <c r="SAM188" s="601"/>
      <c r="SAN188" s="601"/>
      <c r="SAO188" s="601"/>
      <c r="SAP188" s="601"/>
      <c r="SAQ188" s="601"/>
      <c r="SAR188" s="601"/>
      <c r="SAS188" s="601"/>
      <c r="SAT188" s="601"/>
      <c r="SAU188" s="601"/>
      <c r="SAV188" s="601"/>
      <c r="SAW188" s="601"/>
      <c r="SAX188" s="601"/>
      <c r="SAY188" s="601"/>
      <c r="SAZ188" s="601"/>
      <c r="SBA188" s="600" t="s">
        <v>646</v>
      </c>
      <c r="SBB188" s="601"/>
      <c r="SBC188" s="601"/>
      <c r="SBD188" s="601"/>
      <c r="SBE188" s="601"/>
      <c r="SBF188" s="601"/>
      <c r="SBG188" s="601"/>
      <c r="SBH188" s="601"/>
      <c r="SBI188" s="601"/>
      <c r="SBJ188" s="601"/>
      <c r="SBK188" s="601"/>
      <c r="SBL188" s="601"/>
      <c r="SBM188" s="601"/>
      <c r="SBN188" s="601"/>
      <c r="SBO188" s="601"/>
      <c r="SBP188" s="601"/>
      <c r="SBQ188" s="600" t="s">
        <v>646</v>
      </c>
      <c r="SBR188" s="601"/>
      <c r="SBS188" s="601"/>
      <c r="SBT188" s="601"/>
      <c r="SBU188" s="601"/>
      <c r="SBV188" s="601"/>
      <c r="SBW188" s="601"/>
      <c r="SBX188" s="601"/>
      <c r="SBY188" s="601"/>
      <c r="SBZ188" s="601"/>
      <c r="SCA188" s="601"/>
      <c r="SCB188" s="601"/>
      <c r="SCC188" s="601"/>
      <c r="SCD188" s="601"/>
      <c r="SCE188" s="601"/>
      <c r="SCF188" s="601"/>
      <c r="SCG188" s="600" t="s">
        <v>646</v>
      </c>
      <c r="SCH188" s="601"/>
      <c r="SCI188" s="601"/>
      <c r="SCJ188" s="601"/>
      <c r="SCK188" s="601"/>
      <c r="SCL188" s="601"/>
      <c r="SCM188" s="601"/>
      <c r="SCN188" s="601"/>
      <c r="SCO188" s="601"/>
      <c r="SCP188" s="601"/>
      <c r="SCQ188" s="601"/>
      <c r="SCR188" s="601"/>
      <c r="SCS188" s="601"/>
      <c r="SCT188" s="601"/>
      <c r="SCU188" s="601"/>
      <c r="SCV188" s="601"/>
      <c r="SCW188" s="600" t="s">
        <v>646</v>
      </c>
      <c r="SCX188" s="601"/>
      <c r="SCY188" s="601"/>
      <c r="SCZ188" s="601"/>
      <c r="SDA188" s="601"/>
      <c r="SDB188" s="601"/>
      <c r="SDC188" s="601"/>
      <c r="SDD188" s="601"/>
      <c r="SDE188" s="601"/>
      <c r="SDF188" s="601"/>
      <c r="SDG188" s="601"/>
      <c r="SDH188" s="601"/>
      <c r="SDI188" s="601"/>
      <c r="SDJ188" s="601"/>
      <c r="SDK188" s="601"/>
      <c r="SDL188" s="601"/>
      <c r="SDM188" s="600" t="s">
        <v>646</v>
      </c>
      <c r="SDN188" s="601"/>
      <c r="SDO188" s="601"/>
      <c r="SDP188" s="601"/>
      <c r="SDQ188" s="601"/>
      <c r="SDR188" s="601"/>
      <c r="SDS188" s="601"/>
      <c r="SDT188" s="601"/>
      <c r="SDU188" s="601"/>
      <c r="SDV188" s="601"/>
      <c r="SDW188" s="601"/>
      <c r="SDX188" s="601"/>
      <c r="SDY188" s="601"/>
      <c r="SDZ188" s="601"/>
      <c r="SEA188" s="601"/>
      <c r="SEB188" s="601"/>
      <c r="SEC188" s="600" t="s">
        <v>646</v>
      </c>
      <c r="SED188" s="601"/>
      <c r="SEE188" s="601"/>
      <c r="SEF188" s="601"/>
      <c r="SEG188" s="601"/>
      <c r="SEH188" s="601"/>
      <c r="SEI188" s="601"/>
      <c r="SEJ188" s="601"/>
      <c r="SEK188" s="601"/>
      <c r="SEL188" s="601"/>
      <c r="SEM188" s="601"/>
      <c r="SEN188" s="601"/>
      <c r="SEO188" s="601"/>
      <c r="SEP188" s="601"/>
      <c r="SEQ188" s="601"/>
      <c r="SER188" s="601"/>
      <c r="SES188" s="600" t="s">
        <v>646</v>
      </c>
      <c r="SET188" s="601"/>
      <c r="SEU188" s="601"/>
      <c r="SEV188" s="601"/>
      <c r="SEW188" s="601"/>
      <c r="SEX188" s="601"/>
      <c r="SEY188" s="601"/>
      <c r="SEZ188" s="601"/>
      <c r="SFA188" s="601"/>
      <c r="SFB188" s="601"/>
      <c r="SFC188" s="601"/>
      <c r="SFD188" s="601"/>
      <c r="SFE188" s="601"/>
      <c r="SFF188" s="601"/>
      <c r="SFG188" s="601"/>
      <c r="SFH188" s="601"/>
      <c r="SFI188" s="600" t="s">
        <v>646</v>
      </c>
      <c r="SFJ188" s="601"/>
      <c r="SFK188" s="601"/>
      <c r="SFL188" s="601"/>
      <c r="SFM188" s="601"/>
      <c r="SFN188" s="601"/>
      <c r="SFO188" s="601"/>
      <c r="SFP188" s="601"/>
      <c r="SFQ188" s="601"/>
      <c r="SFR188" s="601"/>
      <c r="SFS188" s="601"/>
      <c r="SFT188" s="601"/>
      <c r="SFU188" s="601"/>
      <c r="SFV188" s="601"/>
      <c r="SFW188" s="601"/>
      <c r="SFX188" s="601"/>
      <c r="SFY188" s="600" t="s">
        <v>646</v>
      </c>
      <c r="SFZ188" s="601"/>
      <c r="SGA188" s="601"/>
      <c r="SGB188" s="601"/>
      <c r="SGC188" s="601"/>
      <c r="SGD188" s="601"/>
      <c r="SGE188" s="601"/>
      <c r="SGF188" s="601"/>
      <c r="SGG188" s="601"/>
      <c r="SGH188" s="601"/>
      <c r="SGI188" s="601"/>
      <c r="SGJ188" s="601"/>
      <c r="SGK188" s="601"/>
      <c r="SGL188" s="601"/>
      <c r="SGM188" s="601"/>
      <c r="SGN188" s="601"/>
      <c r="SGO188" s="600" t="s">
        <v>646</v>
      </c>
      <c r="SGP188" s="601"/>
      <c r="SGQ188" s="601"/>
      <c r="SGR188" s="601"/>
      <c r="SGS188" s="601"/>
      <c r="SGT188" s="601"/>
      <c r="SGU188" s="601"/>
      <c r="SGV188" s="601"/>
      <c r="SGW188" s="601"/>
      <c r="SGX188" s="601"/>
      <c r="SGY188" s="601"/>
      <c r="SGZ188" s="601"/>
      <c r="SHA188" s="601"/>
      <c r="SHB188" s="601"/>
      <c r="SHC188" s="601"/>
      <c r="SHD188" s="601"/>
      <c r="SHE188" s="600" t="s">
        <v>646</v>
      </c>
      <c r="SHF188" s="601"/>
      <c r="SHG188" s="601"/>
      <c r="SHH188" s="601"/>
      <c r="SHI188" s="601"/>
      <c r="SHJ188" s="601"/>
      <c r="SHK188" s="601"/>
      <c r="SHL188" s="601"/>
      <c r="SHM188" s="601"/>
      <c r="SHN188" s="601"/>
      <c r="SHO188" s="601"/>
      <c r="SHP188" s="601"/>
      <c r="SHQ188" s="601"/>
      <c r="SHR188" s="601"/>
      <c r="SHS188" s="601"/>
      <c r="SHT188" s="601"/>
      <c r="SHU188" s="600" t="s">
        <v>646</v>
      </c>
      <c r="SHV188" s="601"/>
      <c r="SHW188" s="601"/>
      <c r="SHX188" s="601"/>
      <c r="SHY188" s="601"/>
      <c r="SHZ188" s="601"/>
      <c r="SIA188" s="601"/>
      <c r="SIB188" s="601"/>
      <c r="SIC188" s="601"/>
      <c r="SID188" s="601"/>
      <c r="SIE188" s="601"/>
      <c r="SIF188" s="601"/>
      <c r="SIG188" s="601"/>
      <c r="SIH188" s="601"/>
      <c r="SII188" s="601"/>
      <c r="SIJ188" s="601"/>
      <c r="SIK188" s="600" t="s">
        <v>646</v>
      </c>
      <c r="SIL188" s="601"/>
      <c r="SIM188" s="601"/>
      <c r="SIN188" s="601"/>
      <c r="SIO188" s="601"/>
      <c r="SIP188" s="601"/>
      <c r="SIQ188" s="601"/>
      <c r="SIR188" s="601"/>
      <c r="SIS188" s="601"/>
      <c r="SIT188" s="601"/>
      <c r="SIU188" s="601"/>
      <c r="SIV188" s="601"/>
      <c r="SIW188" s="601"/>
      <c r="SIX188" s="601"/>
      <c r="SIY188" s="601"/>
      <c r="SIZ188" s="601"/>
      <c r="SJA188" s="600" t="s">
        <v>646</v>
      </c>
      <c r="SJB188" s="601"/>
      <c r="SJC188" s="601"/>
      <c r="SJD188" s="601"/>
      <c r="SJE188" s="601"/>
      <c r="SJF188" s="601"/>
      <c r="SJG188" s="601"/>
      <c r="SJH188" s="601"/>
      <c r="SJI188" s="601"/>
      <c r="SJJ188" s="601"/>
      <c r="SJK188" s="601"/>
      <c r="SJL188" s="601"/>
      <c r="SJM188" s="601"/>
      <c r="SJN188" s="601"/>
      <c r="SJO188" s="601"/>
      <c r="SJP188" s="601"/>
      <c r="SJQ188" s="600" t="s">
        <v>646</v>
      </c>
      <c r="SJR188" s="601"/>
      <c r="SJS188" s="601"/>
      <c r="SJT188" s="601"/>
      <c r="SJU188" s="601"/>
      <c r="SJV188" s="601"/>
      <c r="SJW188" s="601"/>
      <c r="SJX188" s="601"/>
      <c r="SJY188" s="601"/>
      <c r="SJZ188" s="601"/>
      <c r="SKA188" s="601"/>
      <c r="SKB188" s="601"/>
      <c r="SKC188" s="601"/>
      <c r="SKD188" s="601"/>
      <c r="SKE188" s="601"/>
      <c r="SKF188" s="601"/>
      <c r="SKG188" s="600" t="s">
        <v>646</v>
      </c>
      <c r="SKH188" s="601"/>
      <c r="SKI188" s="601"/>
      <c r="SKJ188" s="601"/>
      <c r="SKK188" s="601"/>
      <c r="SKL188" s="601"/>
      <c r="SKM188" s="601"/>
      <c r="SKN188" s="601"/>
      <c r="SKO188" s="601"/>
      <c r="SKP188" s="601"/>
      <c r="SKQ188" s="601"/>
      <c r="SKR188" s="601"/>
      <c r="SKS188" s="601"/>
      <c r="SKT188" s="601"/>
      <c r="SKU188" s="601"/>
      <c r="SKV188" s="601"/>
      <c r="SKW188" s="600" t="s">
        <v>646</v>
      </c>
      <c r="SKX188" s="601"/>
      <c r="SKY188" s="601"/>
      <c r="SKZ188" s="601"/>
      <c r="SLA188" s="601"/>
      <c r="SLB188" s="601"/>
      <c r="SLC188" s="601"/>
      <c r="SLD188" s="601"/>
      <c r="SLE188" s="601"/>
      <c r="SLF188" s="601"/>
      <c r="SLG188" s="601"/>
      <c r="SLH188" s="601"/>
      <c r="SLI188" s="601"/>
      <c r="SLJ188" s="601"/>
      <c r="SLK188" s="601"/>
      <c r="SLL188" s="601"/>
      <c r="SLM188" s="600" t="s">
        <v>646</v>
      </c>
      <c r="SLN188" s="601"/>
      <c r="SLO188" s="601"/>
      <c r="SLP188" s="601"/>
      <c r="SLQ188" s="601"/>
      <c r="SLR188" s="601"/>
      <c r="SLS188" s="601"/>
      <c r="SLT188" s="601"/>
      <c r="SLU188" s="601"/>
      <c r="SLV188" s="601"/>
      <c r="SLW188" s="601"/>
      <c r="SLX188" s="601"/>
      <c r="SLY188" s="601"/>
      <c r="SLZ188" s="601"/>
      <c r="SMA188" s="601"/>
      <c r="SMB188" s="601"/>
      <c r="SMC188" s="600" t="s">
        <v>646</v>
      </c>
      <c r="SMD188" s="601"/>
      <c r="SME188" s="601"/>
      <c r="SMF188" s="601"/>
      <c r="SMG188" s="601"/>
      <c r="SMH188" s="601"/>
      <c r="SMI188" s="601"/>
      <c r="SMJ188" s="601"/>
      <c r="SMK188" s="601"/>
      <c r="SML188" s="601"/>
      <c r="SMM188" s="601"/>
      <c r="SMN188" s="601"/>
      <c r="SMO188" s="601"/>
      <c r="SMP188" s="601"/>
      <c r="SMQ188" s="601"/>
      <c r="SMR188" s="601"/>
      <c r="SMS188" s="600" t="s">
        <v>646</v>
      </c>
      <c r="SMT188" s="601"/>
      <c r="SMU188" s="601"/>
      <c r="SMV188" s="601"/>
      <c r="SMW188" s="601"/>
      <c r="SMX188" s="601"/>
      <c r="SMY188" s="601"/>
      <c r="SMZ188" s="601"/>
      <c r="SNA188" s="601"/>
      <c r="SNB188" s="601"/>
      <c r="SNC188" s="601"/>
      <c r="SND188" s="601"/>
      <c r="SNE188" s="601"/>
      <c r="SNF188" s="601"/>
      <c r="SNG188" s="601"/>
      <c r="SNH188" s="601"/>
      <c r="SNI188" s="600" t="s">
        <v>646</v>
      </c>
      <c r="SNJ188" s="601"/>
      <c r="SNK188" s="601"/>
      <c r="SNL188" s="601"/>
      <c r="SNM188" s="601"/>
      <c r="SNN188" s="601"/>
      <c r="SNO188" s="601"/>
      <c r="SNP188" s="601"/>
      <c r="SNQ188" s="601"/>
      <c r="SNR188" s="601"/>
      <c r="SNS188" s="601"/>
      <c r="SNT188" s="601"/>
      <c r="SNU188" s="601"/>
      <c r="SNV188" s="601"/>
      <c r="SNW188" s="601"/>
      <c r="SNX188" s="601"/>
      <c r="SNY188" s="600" t="s">
        <v>646</v>
      </c>
      <c r="SNZ188" s="601"/>
      <c r="SOA188" s="601"/>
      <c r="SOB188" s="601"/>
      <c r="SOC188" s="601"/>
      <c r="SOD188" s="601"/>
      <c r="SOE188" s="601"/>
      <c r="SOF188" s="601"/>
      <c r="SOG188" s="601"/>
      <c r="SOH188" s="601"/>
      <c r="SOI188" s="601"/>
      <c r="SOJ188" s="601"/>
      <c r="SOK188" s="601"/>
      <c r="SOL188" s="601"/>
      <c r="SOM188" s="601"/>
      <c r="SON188" s="601"/>
      <c r="SOO188" s="600" t="s">
        <v>646</v>
      </c>
      <c r="SOP188" s="601"/>
      <c r="SOQ188" s="601"/>
      <c r="SOR188" s="601"/>
      <c r="SOS188" s="601"/>
      <c r="SOT188" s="601"/>
      <c r="SOU188" s="601"/>
      <c r="SOV188" s="601"/>
      <c r="SOW188" s="601"/>
      <c r="SOX188" s="601"/>
      <c r="SOY188" s="601"/>
      <c r="SOZ188" s="601"/>
      <c r="SPA188" s="601"/>
      <c r="SPB188" s="601"/>
      <c r="SPC188" s="601"/>
      <c r="SPD188" s="601"/>
      <c r="SPE188" s="600" t="s">
        <v>646</v>
      </c>
      <c r="SPF188" s="601"/>
      <c r="SPG188" s="601"/>
      <c r="SPH188" s="601"/>
      <c r="SPI188" s="601"/>
      <c r="SPJ188" s="601"/>
      <c r="SPK188" s="601"/>
      <c r="SPL188" s="601"/>
      <c r="SPM188" s="601"/>
      <c r="SPN188" s="601"/>
      <c r="SPO188" s="601"/>
      <c r="SPP188" s="601"/>
      <c r="SPQ188" s="601"/>
      <c r="SPR188" s="601"/>
      <c r="SPS188" s="601"/>
      <c r="SPT188" s="601"/>
      <c r="SPU188" s="600" t="s">
        <v>646</v>
      </c>
      <c r="SPV188" s="601"/>
      <c r="SPW188" s="601"/>
      <c r="SPX188" s="601"/>
      <c r="SPY188" s="601"/>
      <c r="SPZ188" s="601"/>
      <c r="SQA188" s="601"/>
      <c r="SQB188" s="601"/>
      <c r="SQC188" s="601"/>
      <c r="SQD188" s="601"/>
      <c r="SQE188" s="601"/>
      <c r="SQF188" s="601"/>
      <c r="SQG188" s="601"/>
      <c r="SQH188" s="601"/>
      <c r="SQI188" s="601"/>
      <c r="SQJ188" s="601"/>
      <c r="SQK188" s="600" t="s">
        <v>646</v>
      </c>
      <c r="SQL188" s="601"/>
      <c r="SQM188" s="601"/>
      <c r="SQN188" s="601"/>
      <c r="SQO188" s="601"/>
      <c r="SQP188" s="601"/>
      <c r="SQQ188" s="601"/>
      <c r="SQR188" s="601"/>
      <c r="SQS188" s="601"/>
      <c r="SQT188" s="601"/>
      <c r="SQU188" s="601"/>
      <c r="SQV188" s="601"/>
      <c r="SQW188" s="601"/>
      <c r="SQX188" s="601"/>
      <c r="SQY188" s="601"/>
      <c r="SQZ188" s="601"/>
      <c r="SRA188" s="600" t="s">
        <v>646</v>
      </c>
      <c r="SRB188" s="601"/>
      <c r="SRC188" s="601"/>
      <c r="SRD188" s="601"/>
      <c r="SRE188" s="601"/>
      <c r="SRF188" s="601"/>
      <c r="SRG188" s="601"/>
      <c r="SRH188" s="601"/>
      <c r="SRI188" s="601"/>
      <c r="SRJ188" s="601"/>
      <c r="SRK188" s="601"/>
      <c r="SRL188" s="601"/>
      <c r="SRM188" s="601"/>
      <c r="SRN188" s="601"/>
      <c r="SRO188" s="601"/>
      <c r="SRP188" s="601"/>
      <c r="SRQ188" s="600" t="s">
        <v>646</v>
      </c>
      <c r="SRR188" s="601"/>
      <c r="SRS188" s="601"/>
      <c r="SRT188" s="601"/>
      <c r="SRU188" s="601"/>
      <c r="SRV188" s="601"/>
      <c r="SRW188" s="601"/>
      <c r="SRX188" s="601"/>
      <c r="SRY188" s="601"/>
      <c r="SRZ188" s="601"/>
      <c r="SSA188" s="601"/>
      <c r="SSB188" s="601"/>
      <c r="SSC188" s="601"/>
      <c r="SSD188" s="601"/>
      <c r="SSE188" s="601"/>
      <c r="SSF188" s="601"/>
      <c r="SSG188" s="600" t="s">
        <v>646</v>
      </c>
      <c r="SSH188" s="601"/>
      <c r="SSI188" s="601"/>
      <c r="SSJ188" s="601"/>
      <c r="SSK188" s="601"/>
      <c r="SSL188" s="601"/>
      <c r="SSM188" s="601"/>
      <c r="SSN188" s="601"/>
      <c r="SSO188" s="601"/>
      <c r="SSP188" s="601"/>
      <c r="SSQ188" s="601"/>
      <c r="SSR188" s="601"/>
      <c r="SSS188" s="601"/>
      <c r="SST188" s="601"/>
      <c r="SSU188" s="601"/>
      <c r="SSV188" s="601"/>
      <c r="SSW188" s="600" t="s">
        <v>646</v>
      </c>
      <c r="SSX188" s="601"/>
      <c r="SSY188" s="601"/>
      <c r="SSZ188" s="601"/>
      <c r="STA188" s="601"/>
      <c r="STB188" s="601"/>
      <c r="STC188" s="601"/>
      <c r="STD188" s="601"/>
      <c r="STE188" s="601"/>
      <c r="STF188" s="601"/>
      <c r="STG188" s="601"/>
      <c r="STH188" s="601"/>
      <c r="STI188" s="601"/>
      <c r="STJ188" s="601"/>
      <c r="STK188" s="601"/>
      <c r="STL188" s="601"/>
      <c r="STM188" s="600" t="s">
        <v>646</v>
      </c>
      <c r="STN188" s="601"/>
      <c r="STO188" s="601"/>
      <c r="STP188" s="601"/>
      <c r="STQ188" s="601"/>
      <c r="STR188" s="601"/>
      <c r="STS188" s="601"/>
      <c r="STT188" s="601"/>
      <c r="STU188" s="601"/>
      <c r="STV188" s="601"/>
      <c r="STW188" s="601"/>
      <c r="STX188" s="601"/>
      <c r="STY188" s="601"/>
      <c r="STZ188" s="601"/>
      <c r="SUA188" s="601"/>
      <c r="SUB188" s="601"/>
      <c r="SUC188" s="600" t="s">
        <v>646</v>
      </c>
      <c r="SUD188" s="601"/>
      <c r="SUE188" s="601"/>
      <c r="SUF188" s="601"/>
      <c r="SUG188" s="601"/>
      <c r="SUH188" s="601"/>
      <c r="SUI188" s="601"/>
      <c r="SUJ188" s="601"/>
      <c r="SUK188" s="601"/>
      <c r="SUL188" s="601"/>
      <c r="SUM188" s="601"/>
      <c r="SUN188" s="601"/>
      <c r="SUO188" s="601"/>
      <c r="SUP188" s="601"/>
      <c r="SUQ188" s="601"/>
      <c r="SUR188" s="601"/>
      <c r="SUS188" s="600" t="s">
        <v>646</v>
      </c>
      <c r="SUT188" s="601"/>
      <c r="SUU188" s="601"/>
      <c r="SUV188" s="601"/>
      <c r="SUW188" s="601"/>
      <c r="SUX188" s="601"/>
      <c r="SUY188" s="601"/>
      <c r="SUZ188" s="601"/>
      <c r="SVA188" s="601"/>
      <c r="SVB188" s="601"/>
      <c r="SVC188" s="601"/>
      <c r="SVD188" s="601"/>
      <c r="SVE188" s="601"/>
      <c r="SVF188" s="601"/>
      <c r="SVG188" s="601"/>
      <c r="SVH188" s="601"/>
      <c r="SVI188" s="600" t="s">
        <v>646</v>
      </c>
      <c r="SVJ188" s="601"/>
      <c r="SVK188" s="601"/>
      <c r="SVL188" s="601"/>
      <c r="SVM188" s="601"/>
      <c r="SVN188" s="601"/>
      <c r="SVO188" s="601"/>
      <c r="SVP188" s="601"/>
      <c r="SVQ188" s="601"/>
      <c r="SVR188" s="601"/>
      <c r="SVS188" s="601"/>
      <c r="SVT188" s="601"/>
      <c r="SVU188" s="601"/>
      <c r="SVV188" s="601"/>
      <c r="SVW188" s="601"/>
      <c r="SVX188" s="601"/>
      <c r="SVY188" s="600" t="s">
        <v>646</v>
      </c>
      <c r="SVZ188" s="601"/>
      <c r="SWA188" s="601"/>
      <c r="SWB188" s="601"/>
      <c r="SWC188" s="601"/>
      <c r="SWD188" s="601"/>
      <c r="SWE188" s="601"/>
      <c r="SWF188" s="601"/>
      <c r="SWG188" s="601"/>
      <c r="SWH188" s="601"/>
      <c r="SWI188" s="601"/>
      <c r="SWJ188" s="601"/>
      <c r="SWK188" s="601"/>
      <c r="SWL188" s="601"/>
      <c r="SWM188" s="601"/>
      <c r="SWN188" s="601"/>
      <c r="SWO188" s="600" t="s">
        <v>646</v>
      </c>
      <c r="SWP188" s="601"/>
      <c r="SWQ188" s="601"/>
      <c r="SWR188" s="601"/>
      <c r="SWS188" s="601"/>
      <c r="SWT188" s="601"/>
      <c r="SWU188" s="601"/>
      <c r="SWV188" s="601"/>
      <c r="SWW188" s="601"/>
      <c r="SWX188" s="601"/>
      <c r="SWY188" s="601"/>
      <c r="SWZ188" s="601"/>
      <c r="SXA188" s="601"/>
      <c r="SXB188" s="601"/>
      <c r="SXC188" s="601"/>
      <c r="SXD188" s="601"/>
      <c r="SXE188" s="600" t="s">
        <v>646</v>
      </c>
      <c r="SXF188" s="601"/>
      <c r="SXG188" s="601"/>
      <c r="SXH188" s="601"/>
      <c r="SXI188" s="601"/>
      <c r="SXJ188" s="601"/>
      <c r="SXK188" s="601"/>
      <c r="SXL188" s="601"/>
      <c r="SXM188" s="601"/>
      <c r="SXN188" s="601"/>
      <c r="SXO188" s="601"/>
      <c r="SXP188" s="601"/>
      <c r="SXQ188" s="601"/>
      <c r="SXR188" s="601"/>
      <c r="SXS188" s="601"/>
      <c r="SXT188" s="601"/>
      <c r="SXU188" s="600" t="s">
        <v>646</v>
      </c>
      <c r="SXV188" s="601"/>
      <c r="SXW188" s="601"/>
      <c r="SXX188" s="601"/>
      <c r="SXY188" s="601"/>
      <c r="SXZ188" s="601"/>
      <c r="SYA188" s="601"/>
      <c r="SYB188" s="601"/>
      <c r="SYC188" s="601"/>
      <c r="SYD188" s="601"/>
      <c r="SYE188" s="601"/>
      <c r="SYF188" s="601"/>
      <c r="SYG188" s="601"/>
      <c r="SYH188" s="601"/>
      <c r="SYI188" s="601"/>
      <c r="SYJ188" s="601"/>
      <c r="SYK188" s="600" t="s">
        <v>646</v>
      </c>
      <c r="SYL188" s="601"/>
      <c r="SYM188" s="601"/>
      <c r="SYN188" s="601"/>
      <c r="SYO188" s="601"/>
      <c r="SYP188" s="601"/>
      <c r="SYQ188" s="601"/>
      <c r="SYR188" s="601"/>
      <c r="SYS188" s="601"/>
      <c r="SYT188" s="601"/>
      <c r="SYU188" s="601"/>
      <c r="SYV188" s="601"/>
      <c r="SYW188" s="601"/>
      <c r="SYX188" s="601"/>
      <c r="SYY188" s="601"/>
      <c r="SYZ188" s="601"/>
      <c r="SZA188" s="600" t="s">
        <v>646</v>
      </c>
      <c r="SZB188" s="601"/>
      <c r="SZC188" s="601"/>
      <c r="SZD188" s="601"/>
      <c r="SZE188" s="601"/>
      <c r="SZF188" s="601"/>
      <c r="SZG188" s="601"/>
      <c r="SZH188" s="601"/>
      <c r="SZI188" s="601"/>
      <c r="SZJ188" s="601"/>
      <c r="SZK188" s="601"/>
      <c r="SZL188" s="601"/>
      <c r="SZM188" s="601"/>
      <c r="SZN188" s="601"/>
      <c r="SZO188" s="601"/>
      <c r="SZP188" s="601"/>
      <c r="SZQ188" s="600" t="s">
        <v>646</v>
      </c>
      <c r="SZR188" s="601"/>
      <c r="SZS188" s="601"/>
      <c r="SZT188" s="601"/>
      <c r="SZU188" s="601"/>
      <c r="SZV188" s="601"/>
      <c r="SZW188" s="601"/>
      <c r="SZX188" s="601"/>
      <c r="SZY188" s="601"/>
      <c r="SZZ188" s="601"/>
      <c r="TAA188" s="601"/>
      <c r="TAB188" s="601"/>
      <c r="TAC188" s="601"/>
      <c r="TAD188" s="601"/>
      <c r="TAE188" s="601"/>
      <c r="TAF188" s="601"/>
      <c r="TAG188" s="600" t="s">
        <v>646</v>
      </c>
      <c r="TAH188" s="601"/>
      <c r="TAI188" s="601"/>
      <c r="TAJ188" s="601"/>
      <c r="TAK188" s="601"/>
      <c r="TAL188" s="601"/>
      <c r="TAM188" s="601"/>
      <c r="TAN188" s="601"/>
      <c r="TAO188" s="601"/>
      <c r="TAP188" s="601"/>
      <c r="TAQ188" s="601"/>
      <c r="TAR188" s="601"/>
      <c r="TAS188" s="601"/>
      <c r="TAT188" s="601"/>
      <c r="TAU188" s="601"/>
      <c r="TAV188" s="601"/>
      <c r="TAW188" s="600" t="s">
        <v>646</v>
      </c>
      <c r="TAX188" s="601"/>
      <c r="TAY188" s="601"/>
      <c r="TAZ188" s="601"/>
      <c r="TBA188" s="601"/>
      <c r="TBB188" s="601"/>
      <c r="TBC188" s="601"/>
      <c r="TBD188" s="601"/>
      <c r="TBE188" s="601"/>
      <c r="TBF188" s="601"/>
      <c r="TBG188" s="601"/>
      <c r="TBH188" s="601"/>
      <c r="TBI188" s="601"/>
      <c r="TBJ188" s="601"/>
      <c r="TBK188" s="601"/>
      <c r="TBL188" s="601"/>
      <c r="TBM188" s="600" t="s">
        <v>646</v>
      </c>
      <c r="TBN188" s="601"/>
      <c r="TBO188" s="601"/>
      <c r="TBP188" s="601"/>
      <c r="TBQ188" s="601"/>
      <c r="TBR188" s="601"/>
      <c r="TBS188" s="601"/>
      <c r="TBT188" s="601"/>
      <c r="TBU188" s="601"/>
      <c r="TBV188" s="601"/>
      <c r="TBW188" s="601"/>
      <c r="TBX188" s="601"/>
      <c r="TBY188" s="601"/>
      <c r="TBZ188" s="601"/>
      <c r="TCA188" s="601"/>
      <c r="TCB188" s="601"/>
      <c r="TCC188" s="600" t="s">
        <v>646</v>
      </c>
      <c r="TCD188" s="601"/>
      <c r="TCE188" s="601"/>
      <c r="TCF188" s="601"/>
      <c r="TCG188" s="601"/>
      <c r="TCH188" s="601"/>
      <c r="TCI188" s="601"/>
      <c r="TCJ188" s="601"/>
      <c r="TCK188" s="601"/>
      <c r="TCL188" s="601"/>
      <c r="TCM188" s="601"/>
      <c r="TCN188" s="601"/>
      <c r="TCO188" s="601"/>
      <c r="TCP188" s="601"/>
      <c r="TCQ188" s="601"/>
      <c r="TCR188" s="601"/>
      <c r="TCS188" s="600" t="s">
        <v>646</v>
      </c>
      <c r="TCT188" s="601"/>
      <c r="TCU188" s="601"/>
      <c r="TCV188" s="601"/>
      <c r="TCW188" s="601"/>
      <c r="TCX188" s="601"/>
      <c r="TCY188" s="601"/>
      <c r="TCZ188" s="601"/>
      <c r="TDA188" s="601"/>
      <c r="TDB188" s="601"/>
      <c r="TDC188" s="601"/>
      <c r="TDD188" s="601"/>
      <c r="TDE188" s="601"/>
      <c r="TDF188" s="601"/>
      <c r="TDG188" s="601"/>
      <c r="TDH188" s="601"/>
      <c r="TDI188" s="600" t="s">
        <v>646</v>
      </c>
      <c r="TDJ188" s="601"/>
      <c r="TDK188" s="601"/>
      <c r="TDL188" s="601"/>
      <c r="TDM188" s="601"/>
      <c r="TDN188" s="601"/>
      <c r="TDO188" s="601"/>
      <c r="TDP188" s="601"/>
      <c r="TDQ188" s="601"/>
      <c r="TDR188" s="601"/>
      <c r="TDS188" s="601"/>
      <c r="TDT188" s="601"/>
      <c r="TDU188" s="601"/>
      <c r="TDV188" s="601"/>
      <c r="TDW188" s="601"/>
      <c r="TDX188" s="601"/>
      <c r="TDY188" s="600" t="s">
        <v>646</v>
      </c>
      <c r="TDZ188" s="601"/>
      <c r="TEA188" s="601"/>
      <c r="TEB188" s="601"/>
      <c r="TEC188" s="601"/>
      <c r="TED188" s="601"/>
      <c r="TEE188" s="601"/>
      <c r="TEF188" s="601"/>
      <c r="TEG188" s="601"/>
      <c r="TEH188" s="601"/>
      <c r="TEI188" s="601"/>
      <c r="TEJ188" s="601"/>
      <c r="TEK188" s="601"/>
      <c r="TEL188" s="601"/>
      <c r="TEM188" s="601"/>
      <c r="TEN188" s="601"/>
      <c r="TEO188" s="600" t="s">
        <v>646</v>
      </c>
      <c r="TEP188" s="601"/>
      <c r="TEQ188" s="601"/>
      <c r="TER188" s="601"/>
      <c r="TES188" s="601"/>
      <c r="TET188" s="601"/>
      <c r="TEU188" s="601"/>
      <c r="TEV188" s="601"/>
      <c r="TEW188" s="601"/>
      <c r="TEX188" s="601"/>
      <c r="TEY188" s="601"/>
      <c r="TEZ188" s="601"/>
      <c r="TFA188" s="601"/>
      <c r="TFB188" s="601"/>
      <c r="TFC188" s="601"/>
      <c r="TFD188" s="601"/>
      <c r="TFE188" s="600" t="s">
        <v>646</v>
      </c>
      <c r="TFF188" s="601"/>
      <c r="TFG188" s="601"/>
      <c r="TFH188" s="601"/>
      <c r="TFI188" s="601"/>
      <c r="TFJ188" s="601"/>
      <c r="TFK188" s="601"/>
      <c r="TFL188" s="601"/>
      <c r="TFM188" s="601"/>
      <c r="TFN188" s="601"/>
      <c r="TFO188" s="601"/>
      <c r="TFP188" s="601"/>
      <c r="TFQ188" s="601"/>
      <c r="TFR188" s="601"/>
      <c r="TFS188" s="601"/>
      <c r="TFT188" s="601"/>
      <c r="TFU188" s="600" t="s">
        <v>646</v>
      </c>
      <c r="TFV188" s="601"/>
      <c r="TFW188" s="601"/>
      <c r="TFX188" s="601"/>
      <c r="TFY188" s="601"/>
      <c r="TFZ188" s="601"/>
      <c r="TGA188" s="601"/>
      <c r="TGB188" s="601"/>
      <c r="TGC188" s="601"/>
      <c r="TGD188" s="601"/>
      <c r="TGE188" s="601"/>
      <c r="TGF188" s="601"/>
      <c r="TGG188" s="601"/>
      <c r="TGH188" s="601"/>
      <c r="TGI188" s="601"/>
      <c r="TGJ188" s="601"/>
      <c r="TGK188" s="600" t="s">
        <v>646</v>
      </c>
      <c r="TGL188" s="601"/>
      <c r="TGM188" s="601"/>
      <c r="TGN188" s="601"/>
      <c r="TGO188" s="601"/>
      <c r="TGP188" s="601"/>
      <c r="TGQ188" s="601"/>
      <c r="TGR188" s="601"/>
      <c r="TGS188" s="601"/>
      <c r="TGT188" s="601"/>
      <c r="TGU188" s="601"/>
      <c r="TGV188" s="601"/>
      <c r="TGW188" s="601"/>
      <c r="TGX188" s="601"/>
      <c r="TGY188" s="601"/>
      <c r="TGZ188" s="601"/>
      <c r="THA188" s="600" t="s">
        <v>646</v>
      </c>
      <c r="THB188" s="601"/>
      <c r="THC188" s="601"/>
      <c r="THD188" s="601"/>
      <c r="THE188" s="601"/>
      <c r="THF188" s="601"/>
      <c r="THG188" s="601"/>
      <c r="THH188" s="601"/>
      <c r="THI188" s="601"/>
      <c r="THJ188" s="601"/>
      <c r="THK188" s="601"/>
      <c r="THL188" s="601"/>
      <c r="THM188" s="601"/>
      <c r="THN188" s="601"/>
      <c r="THO188" s="601"/>
      <c r="THP188" s="601"/>
      <c r="THQ188" s="600" t="s">
        <v>646</v>
      </c>
      <c r="THR188" s="601"/>
      <c r="THS188" s="601"/>
      <c r="THT188" s="601"/>
      <c r="THU188" s="601"/>
      <c r="THV188" s="601"/>
      <c r="THW188" s="601"/>
      <c r="THX188" s="601"/>
      <c r="THY188" s="601"/>
      <c r="THZ188" s="601"/>
      <c r="TIA188" s="601"/>
      <c r="TIB188" s="601"/>
      <c r="TIC188" s="601"/>
      <c r="TID188" s="601"/>
      <c r="TIE188" s="601"/>
      <c r="TIF188" s="601"/>
      <c r="TIG188" s="600" t="s">
        <v>646</v>
      </c>
      <c r="TIH188" s="601"/>
      <c r="TII188" s="601"/>
      <c r="TIJ188" s="601"/>
      <c r="TIK188" s="601"/>
      <c r="TIL188" s="601"/>
      <c r="TIM188" s="601"/>
      <c r="TIN188" s="601"/>
      <c r="TIO188" s="601"/>
      <c r="TIP188" s="601"/>
      <c r="TIQ188" s="601"/>
      <c r="TIR188" s="601"/>
      <c r="TIS188" s="601"/>
      <c r="TIT188" s="601"/>
      <c r="TIU188" s="601"/>
      <c r="TIV188" s="601"/>
      <c r="TIW188" s="600" t="s">
        <v>646</v>
      </c>
      <c r="TIX188" s="601"/>
      <c r="TIY188" s="601"/>
      <c r="TIZ188" s="601"/>
      <c r="TJA188" s="601"/>
      <c r="TJB188" s="601"/>
      <c r="TJC188" s="601"/>
      <c r="TJD188" s="601"/>
      <c r="TJE188" s="601"/>
      <c r="TJF188" s="601"/>
      <c r="TJG188" s="601"/>
      <c r="TJH188" s="601"/>
      <c r="TJI188" s="601"/>
      <c r="TJJ188" s="601"/>
      <c r="TJK188" s="601"/>
      <c r="TJL188" s="601"/>
      <c r="TJM188" s="600" t="s">
        <v>646</v>
      </c>
      <c r="TJN188" s="601"/>
      <c r="TJO188" s="601"/>
      <c r="TJP188" s="601"/>
      <c r="TJQ188" s="601"/>
      <c r="TJR188" s="601"/>
      <c r="TJS188" s="601"/>
      <c r="TJT188" s="601"/>
      <c r="TJU188" s="601"/>
      <c r="TJV188" s="601"/>
      <c r="TJW188" s="601"/>
      <c r="TJX188" s="601"/>
      <c r="TJY188" s="601"/>
      <c r="TJZ188" s="601"/>
      <c r="TKA188" s="601"/>
      <c r="TKB188" s="601"/>
      <c r="TKC188" s="600" t="s">
        <v>646</v>
      </c>
      <c r="TKD188" s="601"/>
      <c r="TKE188" s="601"/>
      <c r="TKF188" s="601"/>
      <c r="TKG188" s="601"/>
      <c r="TKH188" s="601"/>
      <c r="TKI188" s="601"/>
      <c r="TKJ188" s="601"/>
      <c r="TKK188" s="601"/>
      <c r="TKL188" s="601"/>
      <c r="TKM188" s="601"/>
      <c r="TKN188" s="601"/>
      <c r="TKO188" s="601"/>
      <c r="TKP188" s="601"/>
      <c r="TKQ188" s="601"/>
      <c r="TKR188" s="601"/>
      <c r="TKS188" s="600" t="s">
        <v>646</v>
      </c>
      <c r="TKT188" s="601"/>
      <c r="TKU188" s="601"/>
      <c r="TKV188" s="601"/>
      <c r="TKW188" s="601"/>
      <c r="TKX188" s="601"/>
      <c r="TKY188" s="601"/>
      <c r="TKZ188" s="601"/>
      <c r="TLA188" s="601"/>
      <c r="TLB188" s="601"/>
      <c r="TLC188" s="601"/>
      <c r="TLD188" s="601"/>
      <c r="TLE188" s="601"/>
      <c r="TLF188" s="601"/>
      <c r="TLG188" s="601"/>
      <c r="TLH188" s="601"/>
      <c r="TLI188" s="600" t="s">
        <v>646</v>
      </c>
      <c r="TLJ188" s="601"/>
      <c r="TLK188" s="601"/>
      <c r="TLL188" s="601"/>
      <c r="TLM188" s="601"/>
      <c r="TLN188" s="601"/>
      <c r="TLO188" s="601"/>
      <c r="TLP188" s="601"/>
      <c r="TLQ188" s="601"/>
      <c r="TLR188" s="601"/>
      <c r="TLS188" s="601"/>
      <c r="TLT188" s="601"/>
      <c r="TLU188" s="601"/>
      <c r="TLV188" s="601"/>
      <c r="TLW188" s="601"/>
      <c r="TLX188" s="601"/>
      <c r="TLY188" s="600" t="s">
        <v>646</v>
      </c>
      <c r="TLZ188" s="601"/>
      <c r="TMA188" s="601"/>
      <c r="TMB188" s="601"/>
      <c r="TMC188" s="601"/>
      <c r="TMD188" s="601"/>
      <c r="TME188" s="601"/>
      <c r="TMF188" s="601"/>
      <c r="TMG188" s="601"/>
      <c r="TMH188" s="601"/>
      <c r="TMI188" s="601"/>
      <c r="TMJ188" s="601"/>
      <c r="TMK188" s="601"/>
      <c r="TML188" s="601"/>
      <c r="TMM188" s="601"/>
      <c r="TMN188" s="601"/>
      <c r="TMO188" s="600" t="s">
        <v>646</v>
      </c>
      <c r="TMP188" s="601"/>
      <c r="TMQ188" s="601"/>
      <c r="TMR188" s="601"/>
      <c r="TMS188" s="601"/>
      <c r="TMT188" s="601"/>
      <c r="TMU188" s="601"/>
      <c r="TMV188" s="601"/>
      <c r="TMW188" s="601"/>
      <c r="TMX188" s="601"/>
      <c r="TMY188" s="601"/>
      <c r="TMZ188" s="601"/>
      <c r="TNA188" s="601"/>
      <c r="TNB188" s="601"/>
      <c r="TNC188" s="601"/>
      <c r="TND188" s="601"/>
      <c r="TNE188" s="600" t="s">
        <v>646</v>
      </c>
      <c r="TNF188" s="601"/>
      <c r="TNG188" s="601"/>
      <c r="TNH188" s="601"/>
      <c r="TNI188" s="601"/>
      <c r="TNJ188" s="601"/>
      <c r="TNK188" s="601"/>
      <c r="TNL188" s="601"/>
      <c r="TNM188" s="601"/>
      <c r="TNN188" s="601"/>
      <c r="TNO188" s="601"/>
      <c r="TNP188" s="601"/>
      <c r="TNQ188" s="601"/>
      <c r="TNR188" s="601"/>
      <c r="TNS188" s="601"/>
      <c r="TNT188" s="601"/>
      <c r="TNU188" s="600" t="s">
        <v>646</v>
      </c>
      <c r="TNV188" s="601"/>
      <c r="TNW188" s="601"/>
      <c r="TNX188" s="601"/>
      <c r="TNY188" s="601"/>
      <c r="TNZ188" s="601"/>
      <c r="TOA188" s="601"/>
      <c r="TOB188" s="601"/>
      <c r="TOC188" s="601"/>
      <c r="TOD188" s="601"/>
      <c r="TOE188" s="601"/>
      <c r="TOF188" s="601"/>
      <c r="TOG188" s="601"/>
      <c r="TOH188" s="601"/>
      <c r="TOI188" s="601"/>
      <c r="TOJ188" s="601"/>
      <c r="TOK188" s="600" t="s">
        <v>646</v>
      </c>
      <c r="TOL188" s="601"/>
      <c r="TOM188" s="601"/>
      <c r="TON188" s="601"/>
      <c r="TOO188" s="601"/>
      <c r="TOP188" s="601"/>
      <c r="TOQ188" s="601"/>
      <c r="TOR188" s="601"/>
      <c r="TOS188" s="601"/>
      <c r="TOT188" s="601"/>
      <c r="TOU188" s="601"/>
      <c r="TOV188" s="601"/>
      <c r="TOW188" s="601"/>
      <c r="TOX188" s="601"/>
      <c r="TOY188" s="601"/>
      <c r="TOZ188" s="601"/>
      <c r="TPA188" s="600" t="s">
        <v>646</v>
      </c>
      <c r="TPB188" s="601"/>
      <c r="TPC188" s="601"/>
      <c r="TPD188" s="601"/>
      <c r="TPE188" s="601"/>
      <c r="TPF188" s="601"/>
      <c r="TPG188" s="601"/>
      <c r="TPH188" s="601"/>
      <c r="TPI188" s="601"/>
      <c r="TPJ188" s="601"/>
      <c r="TPK188" s="601"/>
      <c r="TPL188" s="601"/>
      <c r="TPM188" s="601"/>
      <c r="TPN188" s="601"/>
      <c r="TPO188" s="601"/>
      <c r="TPP188" s="601"/>
      <c r="TPQ188" s="600" t="s">
        <v>646</v>
      </c>
      <c r="TPR188" s="601"/>
      <c r="TPS188" s="601"/>
      <c r="TPT188" s="601"/>
      <c r="TPU188" s="601"/>
      <c r="TPV188" s="601"/>
      <c r="TPW188" s="601"/>
      <c r="TPX188" s="601"/>
      <c r="TPY188" s="601"/>
      <c r="TPZ188" s="601"/>
      <c r="TQA188" s="601"/>
      <c r="TQB188" s="601"/>
      <c r="TQC188" s="601"/>
      <c r="TQD188" s="601"/>
      <c r="TQE188" s="601"/>
      <c r="TQF188" s="601"/>
      <c r="TQG188" s="600" t="s">
        <v>646</v>
      </c>
      <c r="TQH188" s="601"/>
      <c r="TQI188" s="601"/>
      <c r="TQJ188" s="601"/>
      <c r="TQK188" s="601"/>
      <c r="TQL188" s="601"/>
      <c r="TQM188" s="601"/>
      <c r="TQN188" s="601"/>
      <c r="TQO188" s="601"/>
      <c r="TQP188" s="601"/>
      <c r="TQQ188" s="601"/>
      <c r="TQR188" s="601"/>
      <c r="TQS188" s="601"/>
      <c r="TQT188" s="601"/>
      <c r="TQU188" s="601"/>
      <c r="TQV188" s="601"/>
      <c r="TQW188" s="600" t="s">
        <v>646</v>
      </c>
      <c r="TQX188" s="601"/>
      <c r="TQY188" s="601"/>
      <c r="TQZ188" s="601"/>
      <c r="TRA188" s="601"/>
      <c r="TRB188" s="601"/>
      <c r="TRC188" s="601"/>
      <c r="TRD188" s="601"/>
      <c r="TRE188" s="601"/>
      <c r="TRF188" s="601"/>
      <c r="TRG188" s="601"/>
      <c r="TRH188" s="601"/>
      <c r="TRI188" s="601"/>
      <c r="TRJ188" s="601"/>
      <c r="TRK188" s="601"/>
      <c r="TRL188" s="601"/>
      <c r="TRM188" s="600" t="s">
        <v>646</v>
      </c>
      <c r="TRN188" s="601"/>
      <c r="TRO188" s="601"/>
      <c r="TRP188" s="601"/>
      <c r="TRQ188" s="601"/>
      <c r="TRR188" s="601"/>
      <c r="TRS188" s="601"/>
      <c r="TRT188" s="601"/>
      <c r="TRU188" s="601"/>
      <c r="TRV188" s="601"/>
      <c r="TRW188" s="601"/>
      <c r="TRX188" s="601"/>
      <c r="TRY188" s="601"/>
      <c r="TRZ188" s="601"/>
      <c r="TSA188" s="601"/>
      <c r="TSB188" s="601"/>
      <c r="TSC188" s="600" t="s">
        <v>646</v>
      </c>
      <c r="TSD188" s="601"/>
      <c r="TSE188" s="601"/>
      <c r="TSF188" s="601"/>
      <c r="TSG188" s="601"/>
      <c r="TSH188" s="601"/>
      <c r="TSI188" s="601"/>
      <c r="TSJ188" s="601"/>
      <c r="TSK188" s="601"/>
      <c r="TSL188" s="601"/>
      <c r="TSM188" s="601"/>
      <c r="TSN188" s="601"/>
      <c r="TSO188" s="601"/>
      <c r="TSP188" s="601"/>
      <c r="TSQ188" s="601"/>
      <c r="TSR188" s="601"/>
      <c r="TSS188" s="600" t="s">
        <v>646</v>
      </c>
      <c r="TST188" s="601"/>
      <c r="TSU188" s="601"/>
      <c r="TSV188" s="601"/>
      <c r="TSW188" s="601"/>
      <c r="TSX188" s="601"/>
      <c r="TSY188" s="601"/>
      <c r="TSZ188" s="601"/>
      <c r="TTA188" s="601"/>
      <c r="TTB188" s="601"/>
      <c r="TTC188" s="601"/>
      <c r="TTD188" s="601"/>
      <c r="TTE188" s="601"/>
      <c r="TTF188" s="601"/>
      <c r="TTG188" s="601"/>
      <c r="TTH188" s="601"/>
      <c r="TTI188" s="600" t="s">
        <v>646</v>
      </c>
      <c r="TTJ188" s="601"/>
      <c r="TTK188" s="601"/>
      <c r="TTL188" s="601"/>
      <c r="TTM188" s="601"/>
      <c r="TTN188" s="601"/>
      <c r="TTO188" s="601"/>
      <c r="TTP188" s="601"/>
      <c r="TTQ188" s="601"/>
      <c r="TTR188" s="601"/>
      <c r="TTS188" s="601"/>
      <c r="TTT188" s="601"/>
      <c r="TTU188" s="601"/>
      <c r="TTV188" s="601"/>
      <c r="TTW188" s="601"/>
      <c r="TTX188" s="601"/>
      <c r="TTY188" s="600" t="s">
        <v>646</v>
      </c>
      <c r="TTZ188" s="601"/>
      <c r="TUA188" s="601"/>
      <c r="TUB188" s="601"/>
      <c r="TUC188" s="601"/>
      <c r="TUD188" s="601"/>
      <c r="TUE188" s="601"/>
      <c r="TUF188" s="601"/>
      <c r="TUG188" s="601"/>
      <c r="TUH188" s="601"/>
      <c r="TUI188" s="601"/>
      <c r="TUJ188" s="601"/>
      <c r="TUK188" s="601"/>
      <c r="TUL188" s="601"/>
      <c r="TUM188" s="601"/>
      <c r="TUN188" s="601"/>
      <c r="TUO188" s="600" t="s">
        <v>646</v>
      </c>
      <c r="TUP188" s="601"/>
      <c r="TUQ188" s="601"/>
      <c r="TUR188" s="601"/>
      <c r="TUS188" s="601"/>
      <c r="TUT188" s="601"/>
      <c r="TUU188" s="601"/>
      <c r="TUV188" s="601"/>
      <c r="TUW188" s="601"/>
      <c r="TUX188" s="601"/>
      <c r="TUY188" s="601"/>
      <c r="TUZ188" s="601"/>
      <c r="TVA188" s="601"/>
      <c r="TVB188" s="601"/>
      <c r="TVC188" s="601"/>
      <c r="TVD188" s="601"/>
      <c r="TVE188" s="600" t="s">
        <v>646</v>
      </c>
      <c r="TVF188" s="601"/>
      <c r="TVG188" s="601"/>
      <c r="TVH188" s="601"/>
      <c r="TVI188" s="601"/>
      <c r="TVJ188" s="601"/>
      <c r="TVK188" s="601"/>
      <c r="TVL188" s="601"/>
      <c r="TVM188" s="601"/>
      <c r="TVN188" s="601"/>
      <c r="TVO188" s="601"/>
      <c r="TVP188" s="601"/>
      <c r="TVQ188" s="601"/>
      <c r="TVR188" s="601"/>
      <c r="TVS188" s="601"/>
      <c r="TVT188" s="601"/>
      <c r="TVU188" s="600" t="s">
        <v>646</v>
      </c>
      <c r="TVV188" s="601"/>
      <c r="TVW188" s="601"/>
      <c r="TVX188" s="601"/>
      <c r="TVY188" s="601"/>
      <c r="TVZ188" s="601"/>
      <c r="TWA188" s="601"/>
      <c r="TWB188" s="601"/>
      <c r="TWC188" s="601"/>
      <c r="TWD188" s="601"/>
      <c r="TWE188" s="601"/>
      <c r="TWF188" s="601"/>
      <c r="TWG188" s="601"/>
      <c r="TWH188" s="601"/>
      <c r="TWI188" s="601"/>
      <c r="TWJ188" s="601"/>
      <c r="TWK188" s="600" t="s">
        <v>646</v>
      </c>
      <c r="TWL188" s="601"/>
      <c r="TWM188" s="601"/>
      <c r="TWN188" s="601"/>
      <c r="TWO188" s="601"/>
      <c r="TWP188" s="601"/>
      <c r="TWQ188" s="601"/>
      <c r="TWR188" s="601"/>
      <c r="TWS188" s="601"/>
      <c r="TWT188" s="601"/>
      <c r="TWU188" s="601"/>
      <c r="TWV188" s="601"/>
      <c r="TWW188" s="601"/>
      <c r="TWX188" s="601"/>
      <c r="TWY188" s="601"/>
      <c r="TWZ188" s="601"/>
      <c r="TXA188" s="600" t="s">
        <v>646</v>
      </c>
      <c r="TXB188" s="601"/>
      <c r="TXC188" s="601"/>
      <c r="TXD188" s="601"/>
      <c r="TXE188" s="601"/>
      <c r="TXF188" s="601"/>
      <c r="TXG188" s="601"/>
      <c r="TXH188" s="601"/>
      <c r="TXI188" s="601"/>
      <c r="TXJ188" s="601"/>
      <c r="TXK188" s="601"/>
      <c r="TXL188" s="601"/>
      <c r="TXM188" s="601"/>
      <c r="TXN188" s="601"/>
      <c r="TXO188" s="601"/>
      <c r="TXP188" s="601"/>
      <c r="TXQ188" s="600" t="s">
        <v>646</v>
      </c>
      <c r="TXR188" s="601"/>
      <c r="TXS188" s="601"/>
      <c r="TXT188" s="601"/>
      <c r="TXU188" s="601"/>
      <c r="TXV188" s="601"/>
      <c r="TXW188" s="601"/>
      <c r="TXX188" s="601"/>
      <c r="TXY188" s="601"/>
      <c r="TXZ188" s="601"/>
      <c r="TYA188" s="601"/>
      <c r="TYB188" s="601"/>
      <c r="TYC188" s="601"/>
      <c r="TYD188" s="601"/>
      <c r="TYE188" s="601"/>
      <c r="TYF188" s="601"/>
      <c r="TYG188" s="600" t="s">
        <v>646</v>
      </c>
      <c r="TYH188" s="601"/>
      <c r="TYI188" s="601"/>
      <c r="TYJ188" s="601"/>
      <c r="TYK188" s="601"/>
      <c r="TYL188" s="601"/>
      <c r="TYM188" s="601"/>
      <c r="TYN188" s="601"/>
      <c r="TYO188" s="601"/>
      <c r="TYP188" s="601"/>
      <c r="TYQ188" s="601"/>
      <c r="TYR188" s="601"/>
      <c r="TYS188" s="601"/>
      <c r="TYT188" s="601"/>
      <c r="TYU188" s="601"/>
      <c r="TYV188" s="601"/>
      <c r="TYW188" s="600" t="s">
        <v>646</v>
      </c>
      <c r="TYX188" s="601"/>
      <c r="TYY188" s="601"/>
      <c r="TYZ188" s="601"/>
      <c r="TZA188" s="601"/>
      <c r="TZB188" s="601"/>
      <c r="TZC188" s="601"/>
      <c r="TZD188" s="601"/>
      <c r="TZE188" s="601"/>
      <c r="TZF188" s="601"/>
      <c r="TZG188" s="601"/>
      <c r="TZH188" s="601"/>
      <c r="TZI188" s="601"/>
      <c r="TZJ188" s="601"/>
      <c r="TZK188" s="601"/>
      <c r="TZL188" s="601"/>
      <c r="TZM188" s="600" t="s">
        <v>646</v>
      </c>
      <c r="TZN188" s="601"/>
      <c r="TZO188" s="601"/>
      <c r="TZP188" s="601"/>
      <c r="TZQ188" s="601"/>
      <c r="TZR188" s="601"/>
      <c r="TZS188" s="601"/>
      <c r="TZT188" s="601"/>
      <c r="TZU188" s="601"/>
      <c r="TZV188" s="601"/>
      <c r="TZW188" s="601"/>
      <c r="TZX188" s="601"/>
      <c r="TZY188" s="601"/>
      <c r="TZZ188" s="601"/>
      <c r="UAA188" s="601"/>
      <c r="UAB188" s="601"/>
      <c r="UAC188" s="600" t="s">
        <v>646</v>
      </c>
      <c r="UAD188" s="601"/>
      <c r="UAE188" s="601"/>
      <c r="UAF188" s="601"/>
      <c r="UAG188" s="601"/>
      <c r="UAH188" s="601"/>
      <c r="UAI188" s="601"/>
      <c r="UAJ188" s="601"/>
      <c r="UAK188" s="601"/>
      <c r="UAL188" s="601"/>
      <c r="UAM188" s="601"/>
      <c r="UAN188" s="601"/>
      <c r="UAO188" s="601"/>
      <c r="UAP188" s="601"/>
      <c r="UAQ188" s="601"/>
      <c r="UAR188" s="601"/>
      <c r="UAS188" s="600" t="s">
        <v>646</v>
      </c>
      <c r="UAT188" s="601"/>
      <c r="UAU188" s="601"/>
      <c r="UAV188" s="601"/>
      <c r="UAW188" s="601"/>
      <c r="UAX188" s="601"/>
      <c r="UAY188" s="601"/>
      <c r="UAZ188" s="601"/>
      <c r="UBA188" s="601"/>
      <c r="UBB188" s="601"/>
      <c r="UBC188" s="601"/>
      <c r="UBD188" s="601"/>
      <c r="UBE188" s="601"/>
      <c r="UBF188" s="601"/>
      <c r="UBG188" s="601"/>
      <c r="UBH188" s="601"/>
      <c r="UBI188" s="600" t="s">
        <v>646</v>
      </c>
      <c r="UBJ188" s="601"/>
      <c r="UBK188" s="601"/>
      <c r="UBL188" s="601"/>
      <c r="UBM188" s="601"/>
      <c r="UBN188" s="601"/>
      <c r="UBO188" s="601"/>
      <c r="UBP188" s="601"/>
      <c r="UBQ188" s="601"/>
      <c r="UBR188" s="601"/>
      <c r="UBS188" s="601"/>
      <c r="UBT188" s="601"/>
      <c r="UBU188" s="601"/>
      <c r="UBV188" s="601"/>
      <c r="UBW188" s="601"/>
      <c r="UBX188" s="601"/>
      <c r="UBY188" s="600" t="s">
        <v>646</v>
      </c>
      <c r="UBZ188" s="601"/>
      <c r="UCA188" s="601"/>
      <c r="UCB188" s="601"/>
      <c r="UCC188" s="601"/>
      <c r="UCD188" s="601"/>
      <c r="UCE188" s="601"/>
      <c r="UCF188" s="601"/>
      <c r="UCG188" s="601"/>
      <c r="UCH188" s="601"/>
      <c r="UCI188" s="601"/>
      <c r="UCJ188" s="601"/>
      <c r="UCK188" s="601"/>
      <c r="UCL188" s="601"/>
      <c r="UCM188" s="601"/>
      <c r="UCN188" s="601"/>
      <c r="UCO188" s="600" t="s">
        <v>646</v>
      </c>
      <c r="UCP188" s="601"/>
      <c r="UCQ188" s="601"/>
      <c r="UCR188" s="601"/>
      <c r="UCS188" s="601"/>
      <c r="UCT188" s="601"/>
      <c r="UCU188" s="601"/>
      <c r="UCV188" s="601"/>
      <c r="UCW188" s="601"/>
      <c r="UCX188" s="601"/>
      <c r="UCY188" s="601"/>
      <c r="UCZ188" s="601"/>
      <c r="UDA188" s="601"/>
      <c r="UDB188" s="601"/>
      <c r="UDC188" s="601"/>
      <c r="UDD188" s="601"/>
      <c r="UDE188" s="600" t="s">
        <v>646</v>
      </c>
      <c r="UDF188" s="601"/>
      <c r="UDG188" s="601"/>
      <c r="UDH188" s="601"/>
      <c r="UDI188" s="601"/>
      <c r="UDJ188" s="601"/>
      <c r="UDK188" s="601"/>
      <c r="UDL188" s="601"/>
      <c r="UDM188" s="601"/>
      <c r="UDN188" s="601"/>
      <c r="UDO188" s="601"/>
      <c r="UDP188" s="601"/>
      <c r="UDQ188" s="601"/>
      <c r="UDR188" s="601"/>
      <c r="UDS188" s="601"/>
      <c r="UDT188" s="601"/>
      <c r="UDU188" s="600" t="s">
        <v>646</v>
      </c>
      <c r="UDV188" s="601"/>
      <c r="UDW188" s="601"/>
      <c r="UDX188" s="601"/>
      <c r="UDY188" s="601"/>
      <c r="UDZ188" s="601"/>
      <c r="UEA188" s="601"/>
      <c r="UEB188" s="601"/>
      <c r="UEC188" s="601"/>
      <c r="UED188" s="601"/>
      <c r="UEE188" s="601"/>
      <c r="UEF188" s="601"/>
      <c r="UEG188" s="601"/>
      <c r="UEH188" s="601"/>
      <c r="UEI188" s="601"/>
      <c r="UEJ188" s="601"/>
      <c r="UEK188" s="600" t="s">
        <v>646</v>
      </c>
      <c r="UEL188" s="601"/>
      <c r="UEM188" s="601"/>
      <c r="UEN188" s="601"/>
      <c r="UEO188" s="601"/>
      <c r="UEP188" s="601"/>
      <c r="UEQ188" s="601"/>
      <c r="UER188" s="601"/>
      <c r="UES188" s="601"/>
      <c r="UET188" s="601"/>
      <c r="UEU188" s="601"/>
      <c r="UEV188" s="601"/>
      <c r="UEW188" s="601"/>
      <c r="UEX188" s="601"/>
      <c r="UEY188" s="601"/>
      <c r="UEZ188" s="601"/>
      <c r="UFA188" s="600" t="s">
        <v>646</v>
      </c>
      <c r="UFB188" s="601"/>
      <c r="UFC188" s="601"/>
      <c r="UFD188" s="601"/>
      <c r="UFE188" s="601"/>
      <c r="UFF188" s="601"/>
      <c r="UFG188" s="601"/>
      <c r="UFH188" s="601"/>
      <c r="UFI188" s="601"/>
      <c r="UFJ188" s="601"/>
      <c r="UFK188" s="601"/>
      <c r="UFL188" s="601"/>
      <c r="UFM188" s="601"/>
      <c r="UFN188" s="601"/>
      <c r="UFO188" s="601"/>
      <c r="UFP188" s="601"/>
      <c r="UFQ188" s="600" t="s">
        <v>646</v>
      </c>
      <c r="UFR188" s="601"/>
      <c r="UFS188" s="601"/>
      <c r="UFT188" s="601"/>
      <c r="UFU188" s="601"/>
      <c r="UFV188" s="601"/>
      <c r="UFW188" s="601"/>
      <c r="UFX188" s="601"/>
      <c r="UFY188" s="601"/>
      <c r="UFZ188" s="601"/>
      <c r="UGA188" s="601"/>
      <c r="UGB188" s="601"/>
      <c r="UGC188" s="601"/>
      <c r="UGD188" s="601"/>
      <c r="UGE188" s="601"/>
      <c r="UGF188" s="601"/>
      <c r="UGG188" s="600" t="s">
        <v>646</v>
      </c>
      <c r="UGH188" s="601"/>
      <c r="UGI188" s="601"/>
      <c r="UGJ188" s="601"/>
      <c r="UGK188" s="601"/>
      <c r="UGL188" s="601"/>
      <c r="UGM188" s="601"/>
      <c r="UGN188" s="601"/>
      <c r="UGO188" s="601"/>
      <c r="UGP188" s="601"/>
      <c r="UGQ188" s="601"/>
      <c r="UGR188" s="601"/>
      <c r="UGS188" s="601"/>
      <c r="UGT188" s="601"/>
      <c r="UGU188" s="601"/>
      <c r="UGV188" s="601"/>
      <c r="UGW188" s="600" t="s">
        <v>646</v>
      </c>
      <c r="UGX188" s="601"/>
      <c r="UGY188" s="601"/>
      <c r="UGZ188" s="601"/>
      <c r="UHA188" s="601"/>
      <c r="UHB188" s="601"/>
      <c r="UHC188" s="601"/>
      <c r="UHD188" s="601"/>
      <c r="UHE188" s="601"/>
      <c r="UHF188" s="601"/>
      <c r="UHG188" s="601"/>
      <c r="UHH188" s="601"/>
      <c r="UHI188" s="601"/>
      <c r="UHJ188" s="601"/>
      <c r="UHK188" s="601"/>
      <c r="UHL188" s="601"/>
      <c r="UHM188" s="600" t="s">
        <v>646</v>
      </c>
      <c r="UHN188" s="601"/>
      <c r="UHO188" s="601"/>
      <c r="UHP188" s="601"/>
      <c r="UHQ188" s="601"/>
      <c r="UHR188" s="601"/>
      <c r="UHS188" s="601"/>
      <c r="UHT188" s="601"/>
      <c r="UHU188" s="601"/>
      <c r="UHV188" s="601"/>
      <c r="UHW188" s="601"/>
      <c r="UHX188" s="601"/>
      <c r="UHY188" s="601"/>
      <c r="UHZ188" s="601"/>
      <c r="UIA188" s="601"/>
      <c r="UIB188" s="601"/>
      <c r="UIC188" s="600" t="s">
        <v>646</v>
      </c>
      <c r="UID188" s="601"/>
      <c r="UIE188" s="601"/>
      <c r="UIF188" s="601"/>
      <c r="UIG188" s="601"/>
      <c r="UIH188" s="601"/>
      <c r="UII188" s="601"/>
      <c r="UIJ188" s="601"/>
      <c r="UIK188" s="601"/>
      <c r="UIL188" s="601"/>
      <c r="UIM188" s="601"/>
      <c r="UIN188" s="601"/>
      <c r="UIO188" s="601"/>
      <c r="UIP188" s="601"/>
      <c r="UIQ188" s="601"/>
      <c r="UIR188" s="601"/>
      <c r="UIS188" s="600" t="s">
        <v>646</v>
      </c>
      <c r="UIT188" s="601"/>
      <c r="UIU188" s="601"/>
      <c r="UIV188" s="601"/>
      <c r="UIW188" s="601"/>
      <c r="UIX188" s="601"/>
      <c r="UIY188" s="601"/>
      <c r="UIZ188" s="601"/>
      <c r="UJA188" s="601"/>
      <c r="UJB188" s="601"/>
      <c r="UJC188" s="601"/>
      <c r="UJD188" s="601"/>
      <c r="UJE188" s="601"/>
      <c r="UJF188" s="601"/>
      <c r="UJG188" s="601"/>
      <c r="UJH188" s="601"/>
      <c r="UJI188" s="600" t="s">
        <v>646</v>
      </c>
      <c r="UJJ188" s="601"/>
      <c r="UJK188" s="601"/>
      <c r="UJL188" s="601"/>
      <c r="UJM188" s="601"/>
      <c r="UJN188" s="601"/>
      <c r="UJO188" s="601"/>
      <c r="UJP188" s="601"/>
      <c r="UJQ188" s="601"/>
      <c r="UJR188" s="601"/>
      <c r="UJS188" s="601"/>
      <c r="UJT188" s="601"/>
      <c r="UJU188" s="601"/>
      <c r="UJV188" s="601"/>
      <c r="UJW188" s="601"/>
      <c r="UJX188" s="601"/>
      <c r="UJY188" s="600" t="s">
        <v>646</v>
      </c>
      <c r="UJZ188" s="601"/>
      <c r="UKA188" s="601"/>
      <c r="UKB188" s="601"/>
      <c r="UKC188" s="601"/>
      <c r="UKD188" s="601"/>
      <c r="UKE188" s="601"/>
      <c r="UKF188" s="601"/>
      <c r="UKG188" s="601"/>
      <c r="UKH188" s="601"/>
      <c r="UKI188" s="601"/>
      <c r="UKJ188" s="601"/>
      <c r="UKK188" s="601"/>
      <c r="UKL188" s="601"/>
      <c r="UKM188" s="601"/>
      <c r="UKN188" s="601"/>
      <c r="UKO188" s="600" t="s">
        <v>646</v>
      </c>
      <c r="UKP188" s="601"/>
      <c r="UKQ188" s="601"/>
      <c r="UKR188" s="601"/>
      <c r="UKS188" s="601"/>
      <c r="UKT188" s="601"/>
      <c r="UKU188" s="601"/>
      <c r="UKV188" s="601"/>
      <c r="UKW188" s="601"/>
      <c r="UKX188" s="601"/>
      <c r="UKY188" s="601"/>
      <c r="UKZ188" s="601"/>
      <c r="ULA188" s="601"/>
      <c r="ULB188" s="601"/>
      <c r="ULC188" s="601"/>
      <c r="ULD188" s="601"/>
      <c r="ULE188" s="600" t="s">
        <v>646</v>
      </c>
      <c r="ULF188" s="601"/>
      <c r="ULG188" s="601"/>
      <c r="ULH188" s="601"/>
      <c r="ULI188" s="601"/>
      <c r="ULJ188" s="601"/>
      <c r="ULK188" s="601"/>
      <c r="ULL188" s="601"/>
      <c r="ULM188" s="601"/>
      <c r="ULN188" s="601"/>
      <c r="ULO188" s="601"/>
      <c r="ULP188" s="601"/>
      <c r="ULQ188" s="601"/>
      <c r="ULR188" s="601"/>
      <c r="ULS188" s="601"/>
      <c r="ULT188" s="601"/>
      <c r="ULU188" s="600" t="s">
        <v>646</v>
      </c>
      <c r="ULV188" s="601"/>
      <c r="ULW188" s="601"/>
      <c r="ULX188" s="601"/>
      <c r="ULY188" s="601"/>
      <c r="ULZ188" s="601"/>
      <c r="UMA188" s="601"/>
      <c r="UMB188" s="601"/>
      <c r="UMC188" s="601"/>
      <c r="UMD188" s="601"/>
      <c r="UME188" s="601"/>
      <c r="UMF188" s="601"/>
      <c r="UMG188" s="601"/>
      <c r="UMH188" s="601"/>
      <c r="UMI188" s="601"/>
      <c r="UMJ188" s="601"/>
      <c r="UMK188" s="600" t="s">
        <v>646</v>
      </c>
      <c r="UML188" s="601"/>
      <c r="UMM188" s="601"/>
      <c r="UMN188" s="601"/>
      <c r="UMO188" s="601"/>
      <c r="UMP188" s="601"/>
      <c r="UMQ188" s="601"/>
      <c r="UMR188" s="601"/>
      <c r="UMS188" s="601"/>
      <c r="UMT188" s="601"/>
      <c r="UMU188" s="601"/>
      <c r="UMV188" s="601"/>
      <c r="UMW188" s="601"/>
      <c r="UMX188" s="601"/>
      <c r="UMY188" s="601"/>
      <c r="UMZ188" s="601"/>
      <c r="UNA188" s="600" t="s">
        <v>646</v>
      </c>
      <c r="UNB188" s="601"/>
      <c r="UNC188" s="601"/>
      <c r="UND188" s="601"/>
      <c r="UNE188" s="601"/>
      <c r="UNF188" s="601"/>
      <c r="UNG188" s="601"/>
      <c r="UNH188" s="601"/>
      <c r="UNI188" s="601"/>
      <c r="UNJ188" s="601"/>
      <c r="UNK188" s="601"/>
      <c r="UNL188" s="601"/>
      <c r="UNM188" s="601"/>
      <c r="UNN188" s="601"/>
      <c r="UNO188" s="601"/>
      <c r="UNP188" s="601"/>
      <c r="UNQ188" s="600" t="s">
        <v>646</v>
      </c>
      <c r="UNR188" s="601"/>
      <c r="UNS188" s="601"/>
      <c r="UNT188" s="601"/>
      <c r="UNU188" s="601"/>
      <c r="UNV188" s="601"/>
      <c r="UNW188" s="601"/>
      <c r="UNX188" s="601"/>
      <c r="UNY188" s="601"/>
      <c r="UNZ188" s="601"/>
      <c r="UOA188" s="601"/>
      <c r="UOB188" s="601"/>
      <c r="UOC188" s="601"/>
      <c r="UOD188" s="601"/>
      <c r="UOE188" s="601"/>
      <c r="UOF188" s="601"/>
      <c r="UOG188" s="600" t="s">
        <v>646</v>
      </c>
      <c r="UOH188" s="601"/>
      <c r="UOI188" s="601"/>
      <c r="UOJ188" s="601"/>
      <c r="UOK188" s="601"/>
      <c r="UOL188" s="601"/>
      <c r="UOM188" s="601"/>
      <c r="UON188" s="601"/>
      <c r="UOO188" s="601"/>
      <c r="UOP188" s="601"/>
      <c r="UOQ188" s="601"/>
      <c r="UOR188" s="601"/>
      <c r="UOS188" s="601"/>
      <c r="UOT188" s="601"/>
      <c r="UOU188" s="601"/>
      <c r="UOV188" s="601"/>
      <c r="UOW188" s="600" t="s">
        <v>646</v>
      </c>
      <c r="UOX188" s="601"/>
      <c r="UOY188" s="601"/>
      <c r="UOZ188" s="601"/>
      <c r="UPA188" s="601"/>
      <c r="UPB188" s="601"/>
      <c r="UPC188" s="601"/>
      <c r="UPD188" s="601"/>
      <c r="UPE188" s="601"/>
      <c r="UPF188" s="601"/>
      <c r="UPG188" s="601"/>
      <c r="UPH188" s="601"/>
      <c r="UPI188" s="601"/>
      <c r="UPJ188" s="601"/>
      <c r="UPK188" s="601"/>
      <c r="UPL188" s="601"/>
      <c r="UPM188" s="600" t="s">
        <v>646</v>
      </c>
      <c r="UPN188" s="601"/>
      <c r="UPO188" s="601"/>
      <c r="UPP188" s="601"/>
      <c r="UPQ188" s="601"/>
      <c r="UPR188" s="601"/>
      <c r="UPS188" s="601"/>
      <c r="UPT188" s="601"/>
      <c r="UPU188" s="601"/>
      <c r="UPV188" s="601"/>
      <c r="UPW188" s="601"/>
      <c r="UPX188" s="601"/>
      <c r="UPY188" s="601"/>
      <c r="UPZ188" s="601"/>
      <c r="UQA188" s="601"/>
      <c r="UQB188" s="601"/>
      <c r="UQC188" s="600" t="s">
        <v>646</v>
      </c>
      <c r="UQD188" s="601"/>
      <c r="UQE188" s="601"/>
      <c r="UQF188" s="601"/>
      <c r="UQG188" s="601"/>
      <c r="UQH188" s="601"/>
      <c r="UQI188" s="601"/>
      <c r="UQJ188" s="601"/>
      <c r="UQK188" s="601"/>
      <c r="UQL188" s="601"/>
      <c r="UQM188" s="601"/>
      <c r="UQN188" s="601"/>
      <c r="UQO188" s="601"/>
      <c r="UQP188" s="601"/>
      <c r="UQQ188" s="601"/>
      <c r="UQR188" s="601"/>
      <c r="UQS188" s="600" t="s">
        <v>646</v>
      </c>
      <c r="UQT188" s="601"/>
      <c r="UQU188" s="601"/>
      <c r="UQV188" s="601"/>
      <c r="UQW188" s="601"/>
      <c r="UQX188" s="601"/>
      <c r="UQY188" s="601"/>
      <c r="UQZ188" s="601"/>
      <c r="URA188" s="601"/>
      <c r="URB188" s="601"/>
      <c r="URC188" s="601"/>
      <c r="URD188" s="601"/>
      <c r="URE188" s="601"/>
      <c r="URF188" s="601"/>
      <c r="URG188" s="601"/>
      <c r="URH188" s="601"/>
      <c r="URI188" s="600" t="s">
        <v>646</v>
      </c>
      <c r="URJ188" s="601"/>
      <c r="URK188" s="601"/>
      <c r="URL188" s="601"/>
      <c r="URM188" s="601"/>
      <c r="URN188" s="601"/>
      <c r="URO188" s="601"/>
      <c r="URP188" s="601"/>
      <c r="URQ188" s="601"/>
      <c r="URR188" s="601"/>
      <c r="URS188" s="601"/>
      <c r="URT188" s="601"/>
      <c r="URU188" s="601"/>
      <c r="URV188" s="601"/>
      <c r="URW188" s="601"/>
      <c r="URX188" s="601"/>
      <c r="URY188" s="600" t="s">
        <v>646</v>
      </c>
      <c r="URZ188" s="601"/>
      <c r="USA188" s="601"/>
      <c r="USB188" s="601"/>
      <c r="USC188" s="601"/>
      <c r="USD188" s="601"/>
      <c r="USE188" s="601"/>
      <c r="USF188" s="601"/>
      <c r="USG188" s="601"/>
      <c r="USH188" s="601"/>
      <c r="USI188" s="601"/>
      <c r="USJ188" s="601"/>
      <c r="USK188" s="601"/>
      <c r="USL188" s="601"/>
      <c r="USM188" s="601"/>
      <c r="USN188" s="601"/>
      <c r="USO188" s="600" t="s">
        <v>646</v>
      </c>
      <c r="USP188" s="601"/>
      <c r="USQ188" s="601"/>
      <c r="USR188" s="601"/>
      <c r="USS188" s="601"/>
      <c r="UST188" s="601"/>
      <c r="USU188" s="601"/>
      <c r="USV188" s="601"/>
      <c r="USW188" s="601"/>
      <c r="USX188" s="601"/>
      <c r="USY188" s="601"/>
      <c r="USZ188" s="601"/>
      <c r="UTA188" s="601"/>
      <c r="UTB188" s="601"/>
      <c r="UTC188" s="601"/>
      <c r="UTD188" s="601"/>
      <c r="UTE188" s="600" t="s">
        <v>646</v>
      </c>
      <c r="UTF188" s="601"/>
      <c r="UTG188" s="601"/>
      <c r="UTH188" s="601"/>
      <c r="UTI188" s="601"/>
      <c r="UTJ188" s="601"/>
      <c r="UTK188" s="601"/>
      <c r="UTL188" s="601"/>
      <c r="UTM188" s="601"/>
      <c r="UTN188" s="601"/>
      <c r="UTO188" s="601"/>
      <c r="UTP188" s="601"/>
      <c r="UTQ188" s="601"/>
      <c r="UTR188" s="601"/>
      <c r="UTS188" s="601"/>
      <c r="UTT188" s="601"/>
      <c r="UTU188" s="600" t="s">
        <v>646</v>
      </c>
      <c r="UTV188" s="601"/>
      <c r="UTW188" s="601"/>
      <c r="UTX188" s="601"/>
      <c r="UTY188" s="601"/>
      <c r="UTZ188" s="601"/>
      <c r="UUA188" s="601"/>
      <c r="UUB188" s="601"/>
      <c r="UUC188" s="601"/>
      <c r="UUD188" s="601"/>
      <c r="UUE188" s="601"/>
      <c r="UUF188" s="601"/>
      <c r="UUG188" s="601"/>
      <c r="UUH188" s="601"/>
      <c r="UUI188" s="601"/>
      <c r="UUJ188" s="601"/>
      <c r="UUK188" s="600" t="s">
        <v>646</v>
      </c>
      <c r="UUL188" s="601"/>
      <c r="UUM188" s="601"/>
      <c r="UUN188" s="601"/>
      <c r="UUO188" s="601"/>
      <c r="UUP188" s="601"/>
      <c r="UUQ188" s="601"/>
      <c r="UUR188" s="601"/>
      <c r="UUS188" s="601"/>
      <c r="UUT188" s="601"/>
      <c r="UUU188" s="601"/>
      <c r="UUV188" s="601"/>
      <c r="UUW188" s="601"/>
      <c r="UUX188" s="601"/>
      <c r="UUY188" s="601"/>
      <c r="UUZ188" s="601"/>
      <c r="UVA188" s="600" t="s">
        <v>646</v>
      </c>
      <c r="UVB188" s="601"/>
      <c r="UVC188" s="601"/>
      <c r="UVD188" s="601"/>
      <c r="UVE188" s="601"/>
      <c r="UVF188" s="601"/>
      <c r="UVG188" s="601"/>
      <c r="UVH188" s="601"/>
      <c r="UVI188" s="601"/>
      <c r="UVJ188" s="601"/>
      <c r="UVK188" s="601"/>
      <c r="UVL188" s="601"/>
      <c r="UVM188" s="601"/>
      <c r="UVN188" s="601"/>
      <c r="UVO188" s="601"/>
      <c r="UVP188" s="601"/>
      <c r="UVQ188" s="600" t="s">
        <v>646</v>
      </c>
      <c r="UVR188" s="601"/>
      <c r="UVS188" s="601"/>
      <c r="UVT188" s="601"/>
      <c r="UVU188" s="601"/>
      <c r="UVV188" s="601"/>
      <c r="UVW188" s="601"/>
      <c r="UVX188" s="601"/>
      <c r="UVY188" s="601"/>
      <c r="UVZ188" s="601"/>
      <c r="UWA188" s="601"/>
      <c r="UWB188" s="601"/>
      <c r="UWC188" s="601"/>
      <c r="UWD188" s="601"/>
      <c r="UWE188" s="601"/>
      <c r="UWF188" s="601"/>
      <c r="UWG188" s="600" t="s">
        <v>646</v>
      </c>
      <c r="UWH188" s="601"/>
      <c r="UWI188" s="601"/>
      <c r="UWJ188" s="601"/>
      <c r="UWK188" s="601"/>
      <c r="UWL188" s="601"/>
      <c r="UWM188" s="601"/>
      <c r="UWN188" s="601"/>
      <c r="UWO188" s="601"/>
      <c r="UWP188" s="601"/>
      <c r="UWQ188" s="601"/>
      <c r="UWR188" s="601"/>
      <c r="UWS188" s="601"/>
      <c r="UWT188" s="601"/>
      <c r="UWU188" s="601"/>
      <c r="UWV188" s="601"/>
      <c r="UWW188" s="600" t="s">
        <v>646</v>
      </c>
      <c r="UWX188" s="601"/>
      <c r="UWY188" s="601"/>
      <c r="UWZ188" s="601"/>
      <c r="UXA188" s="601"/>
      <c r="UXB188" s="601"/>
      <c r="UXC188" s="601"/>
      <c r="UXD188" s="601"/>
      <c r="UXE188" s="601"/>
      <c r="UXF188" s="601"/>
      <c r="UXG188" s="601"/>
      <c r="UXH188" s="601"/>
      <c r="UXI188" s="601"/>
      <c r="UXJ188" s="601"/>
      <c r="UXK188" s="601"/>
      <c r="UXL188" s="601"/>
      <c r="UXM188" s="600" t="s">
        <v>646</v>
      </c>
      <c r="UXN188" s="601"/>
      <c r="UXO188" s="601"/>
      <c r="UXP188" s="601"/>
      <c r="UXQ188" s="601"/>
      <c r="UXR188" s="601"/>
      <c r="UXS188" s="601"/>
      <c r="UXT188" s="601"/>
      <c r="UXU188" s="601"/>
      <c r="UXV188" s="601"/>
      <c r="UXW188" s="601"/>
      <c r="UXX188" s="601"/>
      <c r="UXY188" s="601"/>
      <c r="UXZ188" s="601"/>
      <c r="UYA188" s="601"/>
      <c r="UYB188" s="601"/>
      <c r="UYC188" s="600" t="s">
        <v>646</v>
      </c>
      <c r="UYD188" s="601"/>
      <c r="UYE188" s="601"/>
      <c r="UYF188" s="601"/>
      <c r="UYG188" s="601"/>
      <c r="UYH188" s="601"/>
      <c r="UYI188" s="601"/>
      <c r="UYJ188" s="601"/>
      <c r="UYK188" s="601"/>
      <c r="UYL188" s="601"/>
      <c r="UYM188" s="601"/>
      <c r="UYN188" s="601"/>
      <c r="UYO188" s="601"/>
      <c r="UYP188" s="601"/>
      <c r="UYQ188" s="601"/>
      <c r="UYR188" s="601"/>
      <c r="UYS188" s="600" t="s">
        <v>646</v>
      </c>
      <c r="UYT188" s="601"/>
      <c r="UYU188" s="601"/>
      <c r="UYV188" s="601"/>
      <c r="UYW188" s="601"/>
      <c r="UYX188" s="601"/>
      <c r="UYY188" s="601"/>
      <c r="UYZ188" s="601"/>
      <c r="UZA188" s="601"/>
      <c r="UZB188" s="601"/>
      <c r="UZC188" s="601"/>
      <c r="UZD188" s="601"/>
      <c r="UZE188" s="601"/>
      <c r="UZF188" s="601"/>
      <c r="UZG188" s="601"/>
      <c r="UZH188" s="601"/>
      <c r="UZI188" s="600" t="s">
        <v>646</v>
      </c>
      <c r="UZJ188" s="601"/>
      <c r="UZK188" s="601"/>
      <c r="UZL188" s="601"/>
      <c r="UZM188" s="601"/>
      <c r="UZN188" s="601"/>
      <c r="UZO188" s="601"/>
      <c r="UZP188" s="601"/>
      <c r="UZQ188" s="601"/>
      <c r="UZR188" s="601"/>
      <c r="UZS188" s="601"/>
      <c r="UZT188" s="601"/>
      <c r="UZU188" s="601"/>
      <c r="UZV188" s="601"/>
      <c r="UZW188" s="601"/>
      <c r="UZX188" s="601"/>
      <c r="UZY188" s="600" t="s">
        <v>646</v>
      </c>
      <c r="UZZ188" s="601"/>
      <c r="VAA188" s="601"/>
      <c r="VAB188" s="601"/>
      <c r="VAC188" s="601"/>
      <c r="VAD188" s="601"/>
      <c r="VAE188" s="601"/>
      <c r="VAF188" s="601"/>
      <c r="VAG188" s="601"/>
      <c r="VAH188" s="601"/>
      <c r="VAI188" s="601"/>
      <c r="VAJ188" s="601"/>
      <c r="VAK188" s="601"/>
      <c r="VAL188" s="601"/>
      <c r="VAM188" s="601"/>
      <c r="VAN188" s="601"/>
      <c r="VAO188" s="600" t="s">
        <v>646</v>
      </c>
      <c r="VAP188" s="601"/>
      <c r="VAQ188" s="601"/>
      <c r="VAR188" s="601"/>
      <c r="VAS188" s="601"/>
      <c r="VAT188" s="601"/>
      <c r="VAU188" s="601"/>
      <c r="VAV188" s="601"/>
      <c r="VAW188" s="601"/>
      <c r="VAX188" s="601"/>
      <c r="VAY188" s="601"/>
      <c r="VAZ188" s="601"/>
      <c r="VBA188" s="601"/>
      <c r="VBB188" s="601"/>
      <c r="VBC188" s="601"/>
      <c r="VBD188" s="601"/>
      <c r="VBE188" s="600" t="s">
        <v>646</v>
      </c>
      <c r="VBF188" s="601"/>
      <c r="VBG188" s="601"/>
      <c r="VBH188" s="601"/>
      <c r="VBI188" s="601"/>
      <c r="VBJ188" s="601"/>
      <c r="VBK188" s="601"/>
      <c r="VBL188" s="601"/>
      <c r="VBM188" s="601"/>
      <c r="VBN188" s="601"/>
      <c r="VBO188" s="601"/>
      <c r="VBP188" s="601"/>
      <c r="VBQ188" s="601"/>
      <c r="VBR188" s="601"/>
      <c r="VBS188" s="601"/>
      <c r="VBT188" s="601"/>
      <c r="VBU188" s="600" t="s">
        <v>646</v>
      </c>
      <c r="VBV188" s="601"/>
      <c r="VBW188" s="601"/>
      <c r="VBX188" s="601"/>
      <c r="VBY188" s="601"/>
      <c r="VBZ188" s="601"/>
      <c r="VCA188" s="601"/>
      <c r="VCB188" s="601"/>
      <c r="VCC188" s="601"/>
      <c r="VCD188" s="601"/>
      <c r="VCE188" s="601"/>
      <c r="VCF188" s="601"/>
      <c r="VCG188" s="601"/>
      <c r="VCH188" s="601"/>
      <c r="VCI188" s="601"/>
      <c r="VCJ188" s="601"/>
      <c r="VCK188" s="600" t="s">
        <v>646</v>
      </c>
      <c r="VCL188" s="601"/>
      <c r="VCM188" s="601"/>
      <c r="VCN188" s="601"/>
      <c r="VCO188" s="601"/>
      <c r="VCP188" s="601"/>
      <c r="VCQ188" s="601"/>
      <c r="VCR188" s="601"/>
      <c r="VCS188" s="601"/>
      <c r="VCT188" s="601"/>
      <c r="VCU188" s="601"/>
      <c r="VCV188" s="601"/>
      <c r="VCW188" s="601"/>
      <c r="VCX188" s="601"/>
      <c r="VCY188" s="601"/>
      <c r="VCZ188" s="601"/>
      <c r="VDA188" s="600" t="s">
        <v>646</v>
      </c>
      <c r="VDB188" s="601"/>
      <c r="VDC188" s="601"/>
      <c r="VDD188" s="601"/>
      <c r="VDE188" s="601"/>
      <c r="VDF188" s="601"/>
      <c r="VDG188" s="601"/>
      <c r="VDH188" s="601"/>
      <c r="VDI188" s="601"/>
      <c r="VDJ188" s="601"/>
      <c r="VDK188" s="601"/>
      <c r="VDL188" s="601"/>
      <c r="VDM188" s="601"/>
      <c r="VDN188" s="601"/>
      <c r="VDO188" s="601"/>
      <c r="VDP188" s="601"/>
      <c r="VDQ188" s="600" t="s">
        <v>646</v>
      </c>
      <c r="VDR188" s="601"/>
      <c r="VDS188" s="601"/>
      <c r="VDT188" s="601"/>
      <c r="VDU188" s="601"/>
      <c r="VDV188" s="601"/>
      <c r="VDW188" s="601"/>
      <c r="VDX188" s="601"/>
      <c r="VDY188" s="601"/>
      <c r="VDZ188" s="601"/>
      <c r="VEA188" s="601"/>
      <c r="VEB188" s="601"/>
      <c r="VEC188" s="601"/>
      <c r="VED188" s="601"/>
      <c r="VEE188" s="601"/>
      <c r="VEF188" s="601"/>
      <c r="VEG188" s="600" t="s">
        <v>646</v>
      </c>
      <c r="VEH188" s="601"/>
      <c r="VEI188" s="601"/>
      <c r="VEJ188" s="601"/>
      <c r="VEK188" s="601"/>
      <c r="VEL188" s="601"/>
      <c r="VEM188" s="601"/>
      <c r="VEN188" s="601"/>
      <c r="VEO188" s="601"/>
      <c r="VEP188" s="601"/>
      <c r="VEQ188" s="601"/>
      <c r="VER188" s="601"/>
      <c r="VES188" s="601"/>
      <c r="VET188" s="601"/>
      <c r="VEU188" s="601"/>
      <c r="VEV188" s="601"/>
      <c r="VEW188" s="600" t="s">
        <v>646</v>
      </c>
      <c r="VEX188" s="601"/>
      <c r="VEY188" s="601"/>
      <c r="VEZ188" s="601"/>
      <c r="VFA188" s="601"/>
      <c r="VFB188" s="601"/>
      <c r="VFC188" s="601"/>
      <c r="VFD188" s="601"/>
      <c r="VFE188" s="601"/>
      <c r="VFF188" s="601"/>
      <c r="VFG188" s="601"/>
      <c r="VFH188" s="601"/>
      <c r="VFI188" s="601"/>
      <c r="VFJ188" s="601"/>
      <c r="VFK188" s="601"/>
      <c r="VFL188" s="601"/>
      <c r="VFM188" s="600" t="s">
        <v>646</v>
      </c>
      <c r="VFN188" s="601"/>
      <c r="VFO188" s="601"/>
      <c r="VFP188" s="601"/>
      <c r="VFQ188" s="601"/>
      <c r="VFR188" s="601"/>
      <c r="VFS188" s="601"/>
      <c r="VFT188" s="601"/>
      <c r="VFU188" s="601"/>
      <c r="VFV188" s="601"/>
      <c r="VFW188" s="601"/>
      <c r="VFX188" s="601"/>
      <c r="VFY188" s="601"/>
      <c r="VFZ188" s="601"/>
      <c r="VGA188" s="601"/>
      <c r="VGB188" s="601"/>
      <c r="VGC188" s="600" t="s">
        <v>646</v>
      </c>
      <c r="VGD188" s="601"/>
      <c r="VGE188" s="601"/>
      <c r="VGF188" s="601"/>
      <c r="VGG188" s="601"/>
      <c r="VGH188" s="601"/>
      <c r="VGI188" s="601"/>
      <c r="VGJ188" s="601"/>
      <c r="VGK188" s="601"/>
      <c r="VGL188" s="601"/>
      <c r="VGM188" s="601"/>
      <c r="VGN188" s="601"/>
      <c r="VGO188" s="601"/>
      <c r="VGP188" s="601"/>
      <c r="VGQ188" s="601"/>
      <c r="VGR188" s="601"/>
      <c r="VGS188" s="600" t="s">
        <v>646</v>
      </c>
      <c r="VGT188" s="601"/>
      <c r="VGU188" s="601"/>
      <c r="VGV188" s="601"/>
      <c r="VGW188" s="601"/>
      <c r="VGX188" s="601"/>
      <c r="VGY188" s="601"/>
      <c r="VGZ188" s="601"/>
      <c r="VHA188" s="601"/>
      <c r="VHB188" s="601"/>
      <c r="VHC188" s="601"/>
      <c r="VHD188" s="601"/>
      <c r="VHE188" s="601"/>
      <c r="VHF188" s="601"/>
      <c r="VHG188" s="601"/>
      <c r="VHH188" s="601"/>
      <c r="VHI188" s="600" t="s">
        <v>646</v>
      </c>
      <c r="VHJ188" s="601"/>
      <c r="VHK188" s="601"/>
      <c r="VHL188" s="601"/>
      <c r="VHM188" s="601"/>
      <c r="VHN188" s="601"/>
      <c r="VHO188" s="601"/>
      <c r="VHP188" s="601"/>
      <c r="VHQ188" s="601"/>
      <c r="VHR188" s="601"/>
      <c r="VHS188" s="601"/>
      <c r="VHT188" s="601"/>
      <c r="VHU188" s="601"/>
      <c r="VHV188" s="601"/>
      <c r="VHW188" s="601"/>
      <c r="VHX188" s="601"/>
      <c r="VHY188" s="600" t="s">
        <v>646</v>
      </c>
      <c r="VHZ188" s="601"/>
      <c r="VIA188" s="601"/>
      <c r="VIB188" s="601"/>
      <c r="VIC188" s="601"/>
      <c r="VID188" s="601"/>
      <c r="VIE188" s="601"/>
      <c r="VIF188" s="601"/>
      <c r="VIG188" s="601"/>
      <c r="VIH188" s="601"/>
      <c r="VII188" s="601"/>
      <c r="VIJ188" s="601"/>
      <c r="VIK188" s="601"/>
      <c r="VIL188" s="601"/>
      <c r="VIM188" s="601"/>
      <c r="VIN188" s="601"/>
      <c r="VIO188" s="600" t="s">
        <v>646</v>
      </c>
      <c r="VIP188" s="601"/>
      <c r="VIQ188" s="601"/>
      <c r="VIR188" s="601"/>
      <c r="VIS188" s="601"/>
      <c r="VIT188" s="601"/>
      <c r="VIU188" s="601"/>
      <c r="VIV188" s="601"/>
      <c r="VIW188" s="601"/>
      <c r="VIX188" s="601"/>
      <c r="VIY188" s="601"/>
      <c r="VIZ188" s="601"/>
      <c r="VJA188" s="601"/>
      <c r="VJB188" s="601"/>
      <c r="VJC188" s="601"/>
      <c r="VJD188" s="601"/>
      <c r="VJE188" s="600" t="s">
        <v>646</v>
      </c>
      <c r="VJF188" s="601"/>
      <c r="VJG188" s="601"/>
      <c r="VJH188" s="601"/>
      <c r="VJI188" s="601"/>
      <c r="VJJ188" s="601"/>
      <c r="VJK188" s="601"/>
      <c r="VJL188" s="601"/>
      <c r="VJM188" s="601"/>
      <c r="VJN188" s="601"/>
      <c r="VJO188" s="601"/>
      <c r="VJP188" s="601"/>
      <c r="VJQ188" s="601"/>
      <c r="VJR188" s="601"/>
      <c r="VJS188" s="601"/>
      <c r="VJT188" s="601"/>
      <c r="VJU188" s="600" t="s">
        <v>646</v>
      </c>
      <c r="VJV188" s="601"/>
      <c r="VJW188" s="601"/>
      <c r="VJX188" s="601"/>
      <c r="VJY188" s="601"/>
      <c r="VJZ188" s="601"/>
      <c r="VKA188" s="601"/>
      <c r="VKB188" s="601"/>
      <c r="VKC188" s="601"/>
      <c r="VKD188" s="601"/>
      <c r="VKE188" s="601"/>
      <c r="VKF188" s="601"/>
      <c r="VKG188" s="601"/>
      <c r="VKH188" s="601"/>
      <c r="VKI188" s="601"/>
      <c r="VKJ188" s="601"/>
      <c r="VKK188" s="600" t="s">
        <v>646</v>
      </c>
      <c r="VKL188" s="601"/>
      <c r="VKM188" s="601"/>
      <c r="VKN188" s="601"/>
      <c r="VKO188" s="601"/>
      <c r="VKP188" s="601"/>
      <c r="VKQ188" s="601"/>
      <c r="VKR188" s="601"/>
      <c r="VKS188" s="601"/>
      <c r="VKT188" s="601"/>
      <c r="VKU188" s="601"/>
      <c r="VKV188" s="601"/>
      <c r="VKW188" s="601"/>
      <c r="VKX188" s="601"/>
      <c r="VKY188" s="601"/>
      <c r="VKZ188" s="601"/>
      <c r="VLA188" s="600" t="s">
        <v>646</v>
      </c>
      <c r="VLB188" s="601"/>
      <c r="VLC188" s="601"/>
      <c r="VLD188" s="601"/>
      <c r="VLE188" s="601"/>
      <c r="VLF188" s="601"/>
      <c r="VLG188" s="601"/>
      <c r="VLH188" s="601"/>
      <c r="VLI188" s="601"/>
      <c r="VLJ188" s="601"/>
      <c r="VLK188" s="601"/>
      <c r="VLL188" s="601"/>
      <c r="VLM188" s="601"/>
      <c r="VLN188" s="601"/>
      <c r="VLO188" s="601"/>
      <c r="VLP188" s="601"/>
      <c r="VLQ188" s="600" t="s">
        <v>646</v>
      </c>
      <c r="VLR188" s="601"/>
      <c r="VLS188" s="601"/>
      <c r="VLT188" s="601"/>
      <c r="VLU188" s="601"/>
      <c r="VLV188" s="601"/>
      <c r="VLW188" s="601"/>
      <c r="VLX188" s="601"/>
      <c r="VLY188" s="601"/>
      <c r="VLZ188" s="601"/>
      <c r="VMA188" s="601"/>
      <c r="VMB188" s="601"/>
      <c r="VMC188" s="601"/>
      <c r="VMD188" s="601"/>
      <c r="VME188" s="601"/>
      <c r="VMF188" s="601"/>
      <c r="VMG188" s="600" t="s">
        <v>646</v>
      </c>
      <c r="VMH188" s="601"/>
      <c r="VMI188" s="601"/>
      <c r="VMJ188" s="601"/>
      <c r="VMK188" s="601"/>
      <c r="VML188" s="601"/>
      <c r="VMM188" s="601"/>
      <c r="VMN188" s="601"/>
      <c r="VMO188" s="601"/>
      <c r="VMP188" s="601"/>
      <c r="VMQ188" s="601"/>
      <c r="VMR188" s="601"/>
      <c r="VMS188" s="601"/>
      <c r="VMT188" s="601"/>
      <c r="VMU188" s="601"/>
      <c r="VMV188" s="601"/>
      <c r="VMW188" s="600" t="s">
        <v>646</v>
      </c>
      <c r="VMX188" s="601"/>
      <c r="VMY188" s="601"/>
      <c r="VMZ188" s="601"/>
      <c r="VNA188" s="601"/>
      <c r="VNB188" s="601"/>
      <c r="VNC188" s="601"/>
      <c r="VND188" s="601"/>
      <c r="VNE188" s="601"/>
      <c r="VNF188" s="601"/>
      <c r="VNG188" s="601"/>
      <c r="VNH188" s="601"/>
      <c r="VNI188" s="601"/>
      <c r="VNJ188" s="601"/>
      <c r="VNK188" s="601"/>
      <c r="VNL188" s="601"/>
      <c r="VNM188" s="600" t="s">
        <v>646</v>
      </c>
      <c r="VNN188" s="601"/>
      <c r="VNO188" s="601"/>
      <c r="VNP188" s="601"/>
      <c r="VNQ188" s="601"/>
      <c r="VNR188" s="601"/>
      <c r="VNS188" s="601"/>
      <c r="VNT188" s="601"/>
      <c r="VNU188" s="601"/>
      <c r="VNV188" s="601"/>
      <c r="VNW188" s="601"/>
      <c r="VNX188" s="601"/>
      <c r="VNY188" s="601"/>
      <c r="VNZ188" s="601"/>
      <c r="VOA188" s="601"/>
      <c r="VOB188" s="601"/>
      <c r="VOC188" s="600" t="s">
        <v>646</v>
      </c>
      <c r="VOD188" s="601"/>
      <c r="VOE188" s="601"/>
      <c r="VOF188" s="601"/>
      <c r="VOG188" s="601"/>
      <c r="VOH188" s="601"/>
      <c r="VOI188" s="601"/>
      <c r="VOJ188" s="601"/>
      <c r="VOK188" s="601"/>
      <c r="VOL188" s="601"/>
      <c r="VOM188" s="601"/>
      <c r="VON188" s="601"/>
      <c r="VOO188" s="601"/>
      <c r="VOP188" s="601"/>
      <c r="VOQ188" s="601"/>
      <c r="VOR188" s="601"/>
      <c r="VOS188" s="600" t="s">
        <v>646</v>
      </c>
      <c r="VOT188" s="601"/>
      <c r="VOU188" s="601"/>
      <c r="VOV188" s="601"/>
      <c r="VOW188" s="601"/>
      <c r="VOX188" s="601"/>
      <c r="VOY188" s="601"/>
      <c r="VOZ188" s="601"/>
      <c r="VPA188" s="601"/>
      <c r="VPB188" s="601"/>
      <c r="VPC188" s="601"/>
      <c r="VPD188" s="601"/>
      <c r="VPE188" s="601"/>
      <c r="VPF188" s="601"/>
      <c r="VPG188" s="601"/>
      <c r="VPH188" s="601"/>
      <c r="VPI188" s="600" t="s">
        <v>646</v>
      </c>
      <c r="VPJ188" s="601"/>
      <c r="VPK188" s="601"/>
      <c r="VPL188" s="601"/>
      <c r="VPM188" s="601"/>
      <c r="VPN188" s="601"/>
      <c r="VPO188" s="601"/>
      <c r="VPP188" s="601"/>
      <c r="VPQ188" s="601"/>
      <c r="VPR188" s="601"/>
      <c r="VPS188" s="601"/>
      <c r="VPT188" s="601"/>
      <c r="VPU188" s="601"/>
      <c r="VPV188" s="601"/>
      <c r="VPW188" s="601"/>
      <c r="VPX188" s="601"/>
      <c r="VPY188" s="600" t="s">
        <v>646</v>
      </c>
      <c r="VPZ188" s="601"/>
      <c r="VQA188" s="601"/>
      <c r="VQB188" s="601"/>
      <c r="VQC188" s="601"/>
      <c r="VQD188" s="601"/>
      <c r="VQE188" s="601"/>
      <c r="VQF188" s="601"/>
      <c r="VQG188" s="601"/>
      <c r="VQH188" s="601"/>
      <c r="VQI188" s="601"/>
      <c r="VQJ188" s="601"/>
      <c r="VQK188" s="601"/>
      <c r="VQL188" s="601"/>
      <c r="VQM188" s="601"/>
      <c r="VQN188" s="601"/>
      <c r="VQO188" s="600" t="s">
        <v>646</v>
      </c>
      <c r="VQP188" s="601"/>
      <c r="VQQ188" s="601"/>
      <c r="VQR188" s="601"/>
      <c r="VQS188" s="601"/>
      <c r="VQT188" s="601"/>
      <c r="VQU188" s="601"/>
      <c r="VQV188" s="601"/>
      <c r="VQW188" s="601"/>
      <c r="VQX188" s="601"/>
      <c r="VQY188" s="601"/>
      <c r="VQZ188" s="601"/>
      <c r="VRA188" s="601"/>
      <c r="VRB188" s="601"/>
      <c r="VRC188" s="601"/>
      <c r="VRD188" s="601"/>
      <c r="VRE188" s="600" t="s">
        <v>646</v>
      </c>
      <c r="VRF188" s="601"/>
      <c r="VRG188" s="601"/>
      <c r="VRH188" s="601"/>
      <c r="VRI188" s="601"/>
      <c r="VRJ188" s="601"/>
      <c r="VRK188" s="601"/>
      <c r="VRL188" s="601"/>
      <c r="VRM188" s="601"/>
      <c r="VRN188" s="601"/>
      <c r="VRO188" s="601"/>
      <c r="VRP188" s="601"/>
      <c r="VRQ188" s="601"/>
      <c r="VRR188" s="601"/>
      <c r="VRS188" s="601"/>
      <c r="VRT188" s="601"/>
      <c r="VRU188" s="600" t="s">
        <v>646</v>
      </c>
      <c r="VRV188" s="601"/>
      <c r="VRW188" s="601"/>
      <c r="VRX188" s="601"/>
      <c r="VRY188" s="601"/>
      <c r="VRZ188" s="601"/>
      <c r="VSA188" s="601"/>
      <c r="VSB188" s="601"/>
      <c r="VSC188" s="601"/>
      <c r="VSD188" s="601"/>
      <c r="VSE188" s="601"/>
      <c r="VSF188" s="601"/>
      <c r="VSG188" s="601"/>
      <c r="VSH188" s="601"/>
      <c r="VSI188" s="601"/>
      <c r="VSJ188" s="601"/>
      <c r="VSK188" s="600" t="s">
        <v>646</v>
      </c>
      <c r="VSL188" s="601"/>
      <c r="VSM188" s="601"/>
      <c r="VSN188" s="601"/>
      <c r="VSO188" s="601"/>
      <c r="VSP188" s="601"/>
      <c r="VSQ188" s="601"/>
      <c r="VSR188" s="601"/>
      <c r="VSS188" s="601"/>
      <c r="VST188" s="601"/>
      <c r="VSU188" s="601"/>
      <c r="VSV188" s="601"/>
      <c r="VSW188" s="601"/>
      <c r="VSX188" s="601"/>
      <c r="VSY188" s="601"/>
      <c r="VSZ188" s="601"/>
      <c r="VTA188" s="600" t="s">
        <v>646</v>
      </c>
      <c r="VTB188" s="601"/>
      <c r="VTC188" s="601"/>
      <c r="VTD188" s="601"/>
      <c r="VTE188" s="601"/>
      <c r="VTF188" s="601"/>
      <c r="VTG188" s="601"/>
      <c r="VTH188" s="601"/>
      <c r="VTI188" s="601"/>
      <c r="VTJ188" s="601"/>
      <c r="VTK188" s="601"/>
      <c r="VTL188" s="601"/>
      <c r="VTM188" s="601"/>
      <c r="VTN188" s="601"/>
      <c r="VTO188" s="601"/>
      <c r="VTP188" s="601"/>
      <c r="VTQ188" s="600" t="s">
        <v>646</v>
      </c>
      <c r="VTR188" s="601"/>
      <c r="VTS188" s="601"/>
      <c r="VTT188" s="601"/>
      <c r="VTU188" s="601"/>
      <c r="VTV188" s="601"/>
      <c r="VTW188" s="601"/>
      <c r="VTX188" s="601"/>
      <c r="VTY188" s="601"/>
      <c r="VTZ188" s="601"/>
      <c r="VUA188" s="601"/>
      <c r="VUB188" s="601"/>
      <c r="VUC188" s="601"/>
      <c r="VUD188" s="601"/>
      <c r="VUE188" s="601"/>
      <c r="VUF188" s="601"/>
      <c r="VUG188" s="600" t="s">
        <v>646</v>
      </c>
      <c r="VUH188" s="601"/>
      <c r="VUI188" s="601"/>
      <c r="VUJ188" s="601"/>
      <c r="VUK188" s="601"/>
      <c r="VUL188" s="601"/>
      <c r="VUM188" s="601"/>
      <c r="VUN188" s="601"/>
      <c r="VUO188" s="601"/>
      <c r="VUP188" s="601"/>
      <c r="VUQ188" s="601"/>
      <c r="VUR188" s="601"/>
      <c r="VUS188" s="601"/>
      <c r="VUT188" s="601"/>
      <c r="VUU188" s="601"/>
      <c r="VUV188" s="601"/>
      <c r="VUW188" s="600" t="s">
        <v>646</v>
      </c>
      <c r="VUX188" s="601"/>
      <c r="VUY188" s="601"/>
      <c r="VUZ188" s="601"/>
      <c r="VVA188" s="601"/>
      <c r="VVB188" s="601"/>
      <c r="VVC188" s="601"/>
      <c r="VVD188" s="601"/>
      <c r="VVE188" s="601"/>
      <c r="VVF188" s="601"/>
      <c r="VVG188" s="601"/>
      <c r="VVH188" s="601"/>
      <c r="VVI188" s="601"/>
      <c r="VVJ188" s="601"/>
      <c r="VVK188" s="601"/>
      <c r="VVL188" s="601"/>
      <c r="VVM188" s="600" t="s">
        <v>646</v>
      </c>
      <c r="VVN188" s="601"/>
      <c r="VVO188" s="601"/>
      <c r="VVP188" s="601"/>
      <c r="VVQ188" s="601"/>
      <c r="VVR188" s="601"/>
      <c r="VVS188" s="601"/>
      <c r="VVT188" s="601"/>
      <c r="VVU188" s="601"/>
      <c r="VVV188" s="601"/>
      <c r="VVW188" s="601"/>
      <c r="VVX188" s="601"/>
      <c r="VVY188" s="601"/>
      <c r="VVZ188" s="601"/>
      <c r="VWA188" s="601"/>
      <c r="VWB188" s="601"/>
      <c r="VWC188" s="600" t="s">
        <v>646</v>
      </c>
      <c r="VWD188" s="601"/>
      <c r="VWE188" s="601"/>
      <c r="VWF188" s="601"/>
      <c r="VWG188" s="601"/>
      <c r="VWH188" s="601"/>
      <c r="VWI188" s="601"/>
      <c r="VWJ188" s="601"/>
      <c r="VWK188" s="601"/>
      <c r="VWL188" s="601"/>
      <c r="VWM188" s="601"/>
      <c r="VWN188" s="601"/>
      <c r="VWO188" s="601"/>
      <c r="VWP188" s="601"/>
      <c r="VWQ188" s="601"/>
      <c r="VWR188" s="601"/>
      <c r="VWS188" s="600" t="s">
        <v>646</v>
      </c>
      <c r="VWT188" s="601"/>
      <c r="VWU188" s="601"/>
      <c r="VWV188" s="601"/>
      <c r="VWW188" s="601"/>
      <c r="VWX188" s="601"/>
      <c r="VWY188" s="601"/>
      <c r="VWZ188" s="601"/>
      <c r="VXA188" s="601"/>
      <c r="VXB188" s="601"/>
      <c r="VXC188" s="601"/>
      <c r="VXD188" s="601"/>
      <c r="VXE188" s="601"/>
      <c r="VXF188" s="601"/>
      <c r="VXG188" s="601"/>
      <c r="VXH188" s="601"/>
      <c r="VXI188" s="600" t="s">
        <v>646</v>
      </c>
      <c r="VXJ188" s="601"/>
      <c r="VXK188" s="601"/>
      <c r="VXL188" s="601"/>
      <c r="VXM188" s="601"/>
      <c r="VXN188" s="601"/>
      <c r="VXO188" s="601"/>
      <c r="VXP188" s="601"/>
      <c r="VXQ188" s="601"/>
      <c r="VXR188" s="601"/>
      <c r="VXS188" s="601"/>
      <c r="VXT188" s="601"/>
      <c r="VXU188" s="601"/>
      <c r="VXV188" s="601"/>
      <c r="VXW188" s="601"/>
      <c r="VXX188" s="601"/>
      <c r="VXY188" s="600" t="s">
        <v>646</v>
      </c>
      <c r="VXZ188" s="601"/>
      <c r="VYA188" s="601"/>
      <c r="VYB188" s="601"/>
      <c r="VYC188" s="601"/>
      <c r="VYD188" s="601"/>
      <c r="VYE188" s="601"/>
      <c r="VYF188" s="601"/>
      <c r="VYG188" s="601"/>
      <c r="VYH188" s="601"/>
      <c r="VYI188" s="601"/>
      <c r="VYJ188" s="601"/>
      <c r="VYK188" s="601"/>
      <c r="VYL188" s="601"/>
      <c r="VYM188" s="601"/>
      <c r="VYN188" s="601"/>
      <c r="VYO188" s="600" t="s">
        <v>646</v>
      </c>
      <c r="VYP188" s="601"/>
      <c r="VYQ188" s="601"/>
      <c r="VYR188" s="601"/>
      <c r="VYS188" s="601"/>
      <c r="VYT188" s="601"/>
      <c r="VYU188" s="601"/>
      <c r="VYV188" s="601"/>
      <c r="VYW188" s="601"/>
      <c r="VYX188" s="601"/>
      <c r="VYY188" s="601"/>
      <c r="VYZ188" s="601"/>
      <c r="VZA188" s="601"/>
      <c r="VZB188" s="601"/>
      <c r="VZC188" s="601"/>
      <c r="VZD188" s="601"/>
      <c r="VZE188" s="600" t="s">
        <v>646</v>
      </c>
      <c r="VZF188" s="601"/>
      <c r="VZG188" s="601"/>
      <c r="VZH188" s="601"/>
      <c r="VZI188" s="601"/>
      <c r="VZJ188" s="601"/>
      <c r="VZK188" s="601"/>
      <c r="VZL188" s="601"/>
      <c r="VZM188" s="601"/>
      <c r="VZN188" s="601"/>
      <c r="VZO188" s="601"/>
      <c r="VZP188" s="601"/>
      <c r="VZQ188" s="601"/>
      <c r="VZR188" s="601"/>
      <c r="VZS188" s="601"/>
      <c r="VZT188" s="601"/>
      <c r="VZU188" s="600" t="s">
        <v>646</v>
      </c>
      <c r="VZV188" s="601"/>
      <c r="VZW188" s="601"/>
      <c r="VZX188" s="601"/>
      <c r="VZY188" s="601"/>
      <c r="VZZ188" s="601"/>
      <c r="WAA188" s="601"/>
      <c r="WAB188" s="601"/>
      <c r="WAC188" s="601"/>
      <c r="WAD188" s="601"/>
      <c r="WAE188" s="601"/>
      <c r="WAF188" s="601"/>
      <c r="WAG188" s="601"/>
      <c r="WAH188" s="601"/>
      <c r="WAI188" s="601"/>
      <c r="WAJ188" s="601"/>
      <c r="WAK188" s="600" t="s">
        <v>646</v>
      </c>
      <c r="WAL188" s="601"/>
      <c r="WAM188" s="601"/>
      <c r="WAN188" s="601"/>
      <c r="WAO188" s="601"/>
      <c r="WAP188" s="601"/>
      <c r="WAQ188" s="601"/>
      <c r="WAR188" s="601"/>
      <c r="WAS188" s="601"/>
      <c r="WAT188" s="601"/>
      <c r="WAU188" s="601"/>
      <c r="WAV188" s="601"/>
      <c r="WAW188" s="601"/>
      <c r="WAX188" s="601"/>
      <c r="WAY188" s="601"/>
      <c r="WAZ188" s="601"/>
      <c r="WBA188" s="600" t="s">
        <v>646</v>
      </c>
      <c r="WBB188" s="601"/>
      <c r="WBC188" s="601"/>
      <c r="WBD188" s="601"/>
      <c r="WBE188" s="601"/>
      <c r="WBF188" s="601"/>
      <c r="WBG188" s="601"/>
      <c r="WBH188" s="601"/>
      <c r="WBI188" s="601"/>
      <c r="WBJ188" s="601"/>
      <c r="WBK188" s="601"/>
      <c r="WBL188" s="601"/>
      <c r="WBM188" s="601"/>
      <c r="WBN188" s="601"/>
      <c r="WBO188" s="601"/>
      <c r="WBP188" s="601"/>
      <c r="WBQ188" s="600" t="s">
        <v>646</v>
      </c>
      <c r="WBR188" s="601"/>
      <c r="WBS188" s="601"/>
      <c r="WBT188" s="601"/>
      <c r="WBU188" s="601"/>
      <c r="WBV188" s="601"/>
      <c r="WBW188" s="601"/>
      <c r="WBX188" s="601"/>
      <c r="WBY188" s="601"/>
      <c r="WBZ188" s="601"/>
      <c r="WCA188" s="601"/>
      <c r="WCB188" s="601"/>
      <c r="WCC188" s="601"/>
      <c r="WCD188" s="601"/>
      <c r="WCE188" s="601"/>
      <c r="WCF188" s="601"/>
      <c r="WCG188" s="600" t="s">
        <v>646</v>
      </c>
      <c r="WCH188" s="601"/>
      <c r="WCI188" s="601"/>
      <c r="WCJ188" s="601"/>
      <c r="WCK188" s="601"/>
      <c r="WCL188" s="601"/>
      <c r="WCM188" s="601"/>
      <c r="WCN188" s="601"/>
      <c r="WCO188" s="601"/>
      <c r="WCP188" s="601"/>
      <c r="WCQ188" s="601"/>
      <c r="WCR188" s="601"/>
      <c r="WCS188" s="601"/>
      <c r="WCT188" s="601"/>
      <c r="WCU188" s="601"/>
      <c r="WCV188" s="601"/>
      <c r="WCW188" s="600" t="s">
        <v>646</v>
      </c>
      <c r="WCX188" s="601"/>
      <c r="WCY188" s="601"/>
      <c r="WCZ188" s="601"/>
      <c r="WDA188" s="601"/>
      <c r="WDB188" s="601"/>
      <c r="WDC188" s="601"/>
      <c r="WDD188" s="601"/>
      <c r="WDE188" s="601"/>
      <c r="WDF188" s="601"/>
      <c r="WDG188" s="601"/>
      <c r="WDH188" s="601"/>
      <c r="WDI188" s="601"/>
      <c r="WDJ188" s="601"/>
      <c r="WDK188" s="601"/>
      <c r="WDL188" s="601"/>
      <c r="WDM188" s="600" t="s">
        <v>646</v>
      </c>
      <c r="WDN188" s="601"/>
      <c r="WDO188" s="601"/>
      <c r="WDP188" s="601"/>
      <c r="WDQ188" s="601"/>
      <c r="WDR188" s="601"/>
      <c r="WDS188" s="601"/>
      <c r="WDT188" s="601"/>
      <c r="WDU188" s="601"/>
      <c r="WDV188" s="601"/>
      <c r="WDW188" s="601"/>
      <c r="WDX188" s="601"/>
      <c r="WDY188" s="601"/>
      <c r="WDZ188" s="601"/>
      <c r="WEA188" s="601"/>
      <c r="WEB188" s="601"/>
      <c r="WEC188" s="600" t="s">
        <v>646</v>
      </c>
      <c r="WED188" s="601"/>
      <c r="WEE188" s="601"/>
      <c r="WEF188" s="601"/>
      <c r="WEG188" s="601"/>
      <c r="WEH188" s="601"/>
      <c r="WEI188" s="601"/>
      <c r="WEJ188" s="601"/>
      <c r="WEK188" s="601"/>
      <c r="WEL188" s="601"/>
      <c r="WEM188" s="601"/>
      <c r="WEN188" s="601"/>
      <c r="WEO188" s="601"/>
      <c r="WEP188" s="601"/>
      <c r="WEQ188" s="601"/>
      <c r="WER188" s="601"/>
      <c r="WES188" s="600" t="s">
        <v>646</v>
      </c>
      <c r="WET188" s="601"/>
      <c r="WEU188" s="601"/>
      <c r="WEV188" s="601"/>
      <c r="WEW188" s="601"/>
      <c r="WEX188" s="601"/>
      <c r="WEY188" s="601"/>
      <c r="WEZ188" s="601"/>
      <c r="WFA188" s="601"/>
      <c r="WFB188" s="601"/>
      <c r="WFC188" s="601"/>
      <c r="WFD188" s="601"/>
      <c r="WFE188" s="601"/>
      <c r="WFF188" s="601"/>
      <c r="WFG188" s="601"/>
      <c r="WFH188" s="601"/>
      <c r="WFI188" s="600" t="s">
        <v>646</v>
      </c>
      <c r="WFJ188" s="601"/>
      <c r="WFK188" s="601"/>
      <c r="WFL188" s="601"/>
      <c r="WFM188" s="601"/>
      <c r="WFN188" s="601"/>
      <c r="WFO188" s="601"/>
      <c r="WFP188" s="601"/>
      <c r="WFQ188" s="601"/>
      <c r="WFR188" s="601"/>
      <c r="WFS188" s="601"/>
      <c r="WFT188" s="601"/>
      <c r="WFU188" s="601"/>
      <c r="WFV188" s="601"/>
      <c r="WFW188" s="601"/>
      <c r="WFX188" s="601"/>
      <c r="WFY188" s="600" t="s">
        <v>646</v>
      </c>
      <c r="WFZ188" s="601"/>
      <c r="WGA188" s="601"/>
      <c r="WGB188" s="601"/>
      <c r="WGC188" s="601"/>
      <c r="WGD188" s="601"/>
      <c r="WGE188" s="601"/>
      <c r="WGF188" s="601"/>
      <c r="WGG188" s="601"/>
      <c r="WGH188" s="601"/>
      <c r="WGI188" s="601"/>
      <c r="WGJ188" s="601"/>
      <c r="WGK188" s="601"/>
      <c r="WGL188" s="601"/>
      <c r="WGM188" s="601"/>
      <c r="WGN188" s="601"/>
      <c r="WGO188" s="600" t="s">
        <v>646</v>
      </c>
      <c r="WGP188" s="601"/>
      <c r="WGQ188" s="601"/>
      <c r="WGR188" s="601"/>
      <c r="WGS188" s="601"/>
      <c r="WGT188" s="601"/>
      <c r="WGU188" s="601"/>
      <c r="WGV188" s="601"/>
      <c r="WGW188" s="601"/>
      <c r="WGX188" s="601"/>
      <c r="WGY188" s="601"/>
      <c r="WGZ188" s="601"/>
      <c r="WHA188" s="601"/>
      <c r="WHB188" s="601"/>
      <c r="WHC188" s="601"/>
      <c r="WHD188" s="601"/>
      <c r="WHE188" s="600" t="s">
        <v>646</v>
      </c>
      <c r="WHF188" s="601"/>
      <c r="WHG188" s="601"/>
      <c r="WHH188" s="601"/>
      <c r="WHI188" s="601"/>
      <c r="WHJ188" s="601"/>
      <c r="WHK188" s="601"/>
      <c r="WHL188" s="601"/>
      <c r="WHM188" s="601"/>
      <c r="WHN188" s="601"/>
      <c r="WHO188" s="601"/>
      <c r="WHP188" s="601"/>
      <c r="WHQ188" s="601"/>
      <c r="WHR188" s="601"/>
      <c r="WHS188" s="601"/>
      <c r="WHT188" s="601"/>
      <c r="WHU188" s="600" t="s">
        <v>646</v>
      </c>
      <c r="WHV188" s="601"/>
      <c r="WHW188" s="601"/>
      <c r="WHX188" s="601"/>
      <c r="WHY188" s="601"/>
      <c r="WHZ188" s="601"/>
      <c r="WIA188" s="601"/>
      <c r="WIB188" s="601"/>
      <c r="WIC188" s="601"/>
      <c r="WID188" s="601"/>
      <c r="WIE188" s="601"/>
      <c r="WIF188" s="601"/>
      <c r="WIG188" s="601"/>
      <c r="WIH188" s="601"/>
      <c r="WII188" s="601"/>
      <c r="WIJ188" s="601"/>
      <c r="WIK188" s="600" t="s">
        <v>646</v>
      </c>
      <c r="WIL188" s="601"/>
      <c r="WIM188" s="601"/>
      <c r="WIN188" s="601"/>
      <c r="WIO188" s="601"/>
      <c r="WIP188" s="601"/>
      <c r="WIQ188" s="601"/>
      <c r="WIR188" s="601"/>
      <c r="WIS188" s="601"/>
      <c r="WIT188" s="601"/>
      <c r="WIU188" s="601"/>
      <c r="WIV188" s="601"/>
      <c r="WIW188" s="601"/>
      <c r="WIX188" s="601"/>
      <c r="WIY188" s="601"/>
      <c r="WIZ188" s="601"/>
      <c r="WJA188" s="600" t="s">
        <v>646</v>
      </c>
      <c r="WJB188" s="601"/>
      <c r="WJC188" s="601"/>
      <c r="WJD188" s="601"/>
      <c r="WJE188" s="601"/>
      <c r="WJF188" s="601"/>
      <c r="WJG188" s="601"/>
      <c r="WJH188" s="601"/>
      <c r="WJI188" s="601"/>
      <c r="WJJ188" s="601"/>
      <c r="WJK188" s="601"/>
      <c r="WJL188" s="601"/>
      <c r="WJM188" s="601"/>
      <c r="WJN188" s="601"/>
      <c r="WJO188" s="601"/>
      <c r="WJP188" s="601"/>
      <c r="WJQ188" s="600" t="s">
        <v>646</v>
      </c>
      <c r="WJR188" s="601"/>
      <c r="WJS188" s="601"/>
      <c r="WJT188" s="601"/>
      <c r="WJU188" s="601"/>
      <c r="WJV188" s="601"/>
      <c r="WJW188" s="601"/>
      <c r="WJX188" s="601"/>
      <c r="WJY188" s="601"/>
      <c r="WJZ188" s="601"/>
      <c r="WKA188" s="601"/>
      <c r="WKB188" s="601"/>
      <c r="WKC188" s="601"/>
      <c r="WKD188" s="601"/>
      <c r="WKE188" s="601"/>
      <c r="WKF188" s="601"/>
      <c r="WKG188" s="600" t="s">
        <v>646</v>
      </c>
      <c r="WKH188" s="601"/>
      <c r="WKI188" s="601"/>
      <c r="WKJ188" s="601"/>
      <c r="WKK188" s="601"/>
      <c r="WKL188" s="601"/>
      <c r="WKM188" s="601"/>
      <c r="WKN188" s="601"/>
      <c r="WKO188" s="601"/>
      <c r="WKP188" s="601"/>
      <c r="WKQ188" s="601"/>
      <c r="WKR188" s="601"/>
      <c r="WKS188" s="601"/>
      <c r="WKT188" s="601"/>
      <c r="WKU188" s="601"/>
      <c r="WKV188" s="601"/>
      <c r="WKW188" s="600" t="s">
        <v>646</v>
      </c>
      <c r="WKX188" s="601"/>
      <c r="WKY188" s="601"/>
      <c r="WKZ188" s="601"/>
      <c r="WLA188" s="601"/>
      <c r="WLB188" s="601"/>
      <c r="WLC188" s="601"/>
      <c r="WLD188" s="601"/>
      <c r="WLE188" s="601"/>
      <c r="WLF188" s="601"/>
      <c r="WLG188" s="601"/>
      <c r="WLH188" s="601"/>
      <c r="WLI188" s="601"/>
      <c r="WLJ188" s="601"/>
      <c r="WLK188" s="601"/>
      <c r="WLL188" s="601"/>
      <c r="WLM188" s="600" t="s">
        <v>646</v>
      </c>
      <c r="WLN188" s="601"/>
      <c r="WLO188" s="601"/>
      <c r="WLP188" s="601"/>
      <c r="WLQ188" s="601"/>
      <c r="WLR188" s="601"/>
      <c r="WLS188" s="601"/>
      <c r="WLT188" s="601"/>
      <c r="WLU188" s="601"/>
      <c r="WLV188" s="601"/>
      <c r="WLW188" s="601"/>
      <c r="WLX188" s="601"/>
      <c r="WLY188" s="601"/>
      <c r="WLZ188" s="601"/>
      <c r="WMA188" s="601"/>
      <c r="WMB188" s="601"/>
      <c r="WMC188" s="600" t="s">
        <v>646</v>
      </c>
      <c r="WMD188" s="601"/>
      <c r="WME188" s="601"/>
      <c r="WMF188" s="601"/>
      <c r="WMG188" s="601"/>
      <c r="WMH188" s="601"/>
      <c r="WMI188" s="601"/>
      <c r="WMJ188" s="601"/>
      <c r="WMK188" s="601"/>
      <c r="WML188" s="601"/>
      <c r="WMM188" s="601"/>
      <c r="WMN188" s="601"/>
      <c r="WMO188" s="601"/>
      <c r="WMP188" s="601"/>
      <c r="WMQ188" s="601"/>
      <c r="WMR188" s="601"/>
      <c r="WMS188" s="600" t="s">
        <v>646</v>
      </c>
      <c r="WMT188" s="601"/>
      <c r="WMU188" s="601"/>
      <c r="WMV188" s="601"/>
      <c r="WMW188" s="601"/>
      <c r="WMX188" s="601"/>
      <c r="WMY188" s="601"/>
      <c r="WMZ188" s="601"/>
      <c r="WNA188" s="601"/>
      <c r="WNB188" s="601"/>
      <c r="WNC188" s="601"/>
      <c r="WND188" s="601"/>
      <c r="WNE188" s="601"/>
      <c r="WNF188" s="601"/>
      <c r="WNG188" s="601"/>
      <c r="WNH188" s="601"/>
      <c r="WNI188" s="600" t="s">
        <v>646</v>
      </c>
      <c r="WNJ188" s="601"/>
      <c r="WNK188" s="601"/>
      <c r="WNL188" s="601"/>
      <c r="WNM188" s="601"/>
      <c r="WNN188" s="601"/>
      <c r="WNO188" s="601"/>
      <c r="WNP188" s="601"/>
      <c r="WNQ188" s="601"/>
      <c r="WNR188" s="601"/>
      <c r="WNS188" s="601"/>
      <c r="WNT188" s="601"/>
      <c r="WNU188" s="601"/>
      <c r="WNV188" s="601"/>
      <c r="WNW188" s="601"/>
      <c r="WNX188" s="601"/>
      <c r="WNY188" s="600" t="s">
        <v>646</v>
      </c>
      <c r="WNZ188" s="601"/>
      <c r="WOA188" s="601"/>
      <c r="WOB188" s="601"/>
      <c r="WOC188" s="601"/>
      <c r="WOD188" s="601"/>
      <c r="WOE188" s="601"/>
      <c r="WOF188" s="601"/>
      <c r="WOG188" s="601"/>
      <c r="WOH188" s="601"/>
      <c r="WOI188" s="601"/>
      <c r="WOJ188" s="601"/>
      <c r="WOK188" s="601"/>
      <c r="WOL188" s="601"/>
      <c r="WOM188" s="601"/>
      <c r="WON188" s="601"/>
      <c r="WOO188" s="600" t="s">
        <v>646</v>
      </c>
      <c r="WOP188" s="601"/>
      <c r="WOQ188" s="601"/>
      <c r="WOR188" s="601"/>
      <c r="WOS188" s="601"/>
      <c r="WOT188" s="601"/>
      <c r="WOU188" s="601"/>
      <c r="WOV188" s="601"/>
      <c r="WOW188" s="601"/>
      <c r="WOX188" s="601"/>
      <c r="WOY188" s="601"/>
      <c r="WOZ188" s="601"/>
      <c r="WPA188" s="601"/>
      <c r="WPB188" s="601"/>
      <c r="WPC188" s="601"/>
      <c r="WPD188" s="601"/>
      <c r="WPE188" s="600" t="s">
        <v>646</v>
      </c>
      <c r="WPF188" s="601"/>
      <c r="WPG188" s="601"/>
      <c r="WPH188" s="601"/>
      <c r="WPI188" s="601"/>
      <c r="WPJ188" s="601"/>
      <c r="WPK188" s="601"/>
      <c r="WPL188" s="601"/>
      <c r="WPM188" s="601"/>
      <c r="WPN188" s="601"/>
      <c r="WPO188" s="601"/>
      <c r="WPP188" s="601"/>
      <c r="WPQ188" s="601"/>
      <c r="WPR188" s="601"/>
      <c r="WPS188" s="601"/>
      <c r="WPT188" s="601"/>
      <c r="WPU188" s="600" t="s">
        <v>646</v>
      </c>
      <c r="WPV188" s="601"/>
      <c r="WPW188" s="601"/>
      <c r="WPX188" s="601"/>
      <c r="WPY188" s="601"/>
      <c r="WPZ188" s="601"/>
      <c r="WQA188" s="601"/>
      <c r="WQB188" s="601"/>
      <c r="WQC188" s="601"/>
      <c r="WQD188" s="601"/>
      <c r="WQE188" s="601"/>
      <c r="WQF188" s="601"/>
      <c r="WQG188" s="601"/>
      <c r="WQH188" s="601"/>
      <c r="WQI188" s="601"/>
      <c r="WQJ188" s="601"/>
      <c r="WQK188" s="600" t="s">
        <v>646</v>
      </c>
      <c r="WQL188" s="601"/>
      <c r="WQM188" s="601"/>
      <c r="WQN188" s="601"/>
      <c r="WQO188" s="601"/>
      <c r="WQP188" s="601"/>
      <c r="WQQ188" s="601"/>
      <c r="WQR188" s="601"/>
      <c r="WQS188" s="601"/>
      <c r="WQT188" s="601"/>
      <c r="WQU188" s="601"/>
      <c r="WQV188" s="601"/>
      <c r="WQW188" s="601"/>
      <c r="WQX188" s="601"/>
      <c r="WQY188" s="601"/>
      <c r="WQZ188" s="601"/>
      <c r="WRA188" s="600" t="s">
        <v>646</v>
      </c>
      <c r="WRB188" s="601"/>
      <c r="WRC188" s="601"/>
      <c r="WRD188" s="601"/>
      <c r="WRE188" s="601"/>
      <c r="WRF188" s="601"/>
      <c r="WRG188" s="601"/>
      <c r="WRH188" s="601"/>
      <c r="WRI188" s="601"/>
      <c r="WRJ188" s="601"/>
      <c r="WRK188" s="601"/>
      <c r="WRL188" s="601"/>
      <c r="WRM188" s="601"/>
      <c r="WRN188" s="601"/>
      <c r="WRO188" s="601"/>
      <c r="WRP188" s="601"/>
      <c r="WRQ188" s="600" t="s">
        <v>646</v>
      </c>
      <c r="WRR188" s="601"/>
      <c r="WRS188" s="601"/>
      <c r="WRT188" s="601"/>
      <c r="WRU188" s="601"/>
      <c r="WRV188" s="601"/>
      <c r="WRW188" s="601"/>
      <c r="WRX188" s="601"/>
      <c r="WRY188" s="601"/>
      <c r="WRZ188" s="601"/>
      <c r="WSA188" s="601"/>
      <c r="WSB188" s="601"/>
      <c r="WSC188" s="601"/>
      <c r="WSD188" s="601"/>
      <c r="WSE188" s="601"/>
      <c r="WSF188" s="601"/>
      <c r="WSG188" s="600" t="s">
        <v>646</v>
      </c>
      <c r="WSH188" s="601"/>
      <c r="WSI188" s="601"/>
      <c r="WSJ188" s="601"/>
      <c r="WSK188" s="601"/>
      <c r="WSL188" s="601"/>
      <c r="WSM188" s="601"/>
      <c r="WSN188" s="601"/>
      <c r="WSO188" s="601"/>
      <c r="WSP188" s="601"/>
      <c r="WSQ188" s="601"/>
      <c r="WSR188" s="601"/>
      <c r="WSS188" s="601"/>
      <c r="WST188" s="601"/>
      <c r="WSU188" s="601"/>
      <c r="WSV188" s="601"/>
      <c r="WSW188" s="600" t="s">
        <v>646</v>
      </c>
      <c r="WSX188" s="601"/>
      <c r="WSY188" s="601"/>
      <c r="WSZ188" s="601"/>
      <c r="WTA188" s="601"/>
      <c r="WTB188" s="601"/>
      <c r="WTC188" s="601"/>
      <c r="WTD188" s="601"/>
      <c r="WTE188" s="601"/>
      <c r="WTF188" s="601"/>
      <c r="WTG188" s="601"/>
      <c r="WTH188" s="601"/>
      <c r="WTI188" s="601"/>
      <c r="WTJ188" s="601"/>
      <c r="WTK188" s="601"/>
      <c r="WTL188" s="601"/>
      <c r="WTM188" s="600" t="s">
        <v>646</v>
      </c>
      <c r="WTN188" s="601"/>
      <c r="WTO188" s="601"/>
      <c r="WTP188" s="601"/>
      <c r="WTQ188" s="601"/>
      <c r="WTR188" s="601"/>
      <c r="WTS188" s="601"/>
      <c r="WTT188" s="601"/>
      <c r="WTU188" s="601"/>
      <c r="WTV188" s="601"/>
      <c r="WTW188" s="601"/>
      <c r="WTX188" s="601"/>
      <c r="WTY188" s="601"/>
      <c r="WTZ188" s="601"/>
      <c r="WUA188" s="601"/>
      <c r="WUB188" s="601"/>
      <c r="WUC188" s="600" t="s">
        <v>646</v>
      </c>
      <c r="WUD188" s="601"/>
      <c r="WUE188" s="601"/>
      <c r="WUF188" s="601"/>
      <c r="WUG188" s="601"/>
      <c r="WUH188" s="601"/>
      <c r="WUI188" s="601"/>
      <c r="WUJ188" s="601"/>
      <c r="WUK188" s="601"/>
      <c r="WUL188" s="601"/>
      <c r="WUM188" s="601"/>
      <c r="WUN188" s="601"/>
      <c r="WUO188" s="601"/>
      <c r="WUP188" s="601"/>
      <c r="WUQ188" s="601"/>
      <c r="WUR188" s="601"/>
      <c r="WUS188" s="600" t="s">
        <v>646</v>
      </c>
      <c r="WUT188" s="601"/>
      <c r="WUU188" s="601"/>
      <c r="WUV188" s="601"/>
      <c r="WUW188" s="601"/>
      <c r="WUX188" s="601"/>
      <c r="WUY188" s="601"/>
      <c r="WUZ188" s="601"/>
      <c r="WVA188" s="601"/>
      <c r="WVB188" s="601"/>
      <c r="WVC188" s="601"/>
      <c r="WVD188" s="601"/>
      <c r="WVE188" s="601"/>
      <c r="WVF188" s="601"/>
      <c r="WVG188" s="601"/>
      <c r="WVH188" s="601"/>
      <c r="WVI188" s="600" t="s">
        <v>646</v>
      </c>
      <c r="WVJ188" s="601"/>
      <c r="WVK188" s="601"/>
      <c r="WVL188" s="601"/>
      <c r="WVM188" s="601"/>
      <c r="WVN188" s="601"/>
      <c r="WVO188" s="601"/>
      <c r="WVP188" s="601"/>
      <c r="WVQ188" s="601"/>
      <c r="WVR188" s="601"/>
      <c r="WVS188" s="601"/>
      <c r="WVT188" s="601"/>
      <c r="WVU188" s="601"/>
      <c r="WVV188" s="601"/>
      <c r="WVW188" s="601"/>
      <c r="WVX188" s="601"/>
      <c r="WVY188" s="600" t="s">
        <v>646</v>
      </c>
      <c r="WVZ188" s="601"/>
      <c r="WWA188" s="601"/>
      <c r="WWB188" s="601"/>
      <c r="WWC188" s="601"/>
      <c r="WWD188" s="601"/>
      <c r="WWE188" s="601"/>
      <c r="WWF188" s="601"/>
      <c r="WWG188" s="601"/>
      <c r="WWH188" s="601"/>
      <c r="WWI188" s="601"/>
      <c r="WWJ188" s="601"/>
      <c r="WWK188" s="601"/>
      <c r="WWL188" s="601"/>
      <c r="WWM188" s="601"/>
      <c r="WWN188" s="601"/>
      <c r="WWO188" s="600" t="s">
        <v>646</v>
      </c>
      <c r="WWP188" s="601"/>
      <c r="WWQ188" s="601"/>
      <c r="WWR188" s="601"/>
      <c r="WWS188" s="601"/>
      <c r="WWT188" s="601"/>
      <c r="WWU188" s="601"/>
      <c r="WWV188" s="601"/>
      <c r="WWW188" s="601"/>
      <c r="WWX188" s="601"/>
      <c r="WWY188" s="601"/>
      <c r="WWZ188" s="601"/>
      <c r="WXA188" s="601"/>
      <c r="WXB188" s="601"/>
      <c r="WXC188" s="601"/>
      <c r="WXD188" s="601"/>
      <c r="WXE188" s="600" t="s">
        <v>646</v>
      </c>
      <c r="WXF188" s="601"/>
      <c r="WXG188" s="601"/>
      <c r="WXH188" s="601"/>
      <c r="WXI188" s="601"/>
      <c r="WXJ188" s="601"/>
      <c r="WXK188" s="601"/>
      <c r="WXL188" s="601"/>
      <c r="WXM188" s="601"/>
      <c r="WXN188" s="601"/>
      <c r="WXO188" s="601"/>
      <c r="WXP188" s="601"/>
      <c r="WXQ188" s="601"/>
      <c r="WXR188" s="601"/>
      <c r="WXS188" s="601"/>
      <c r="WXT188" s="601"/>
      <c r="WXU188" s="600" t="s">
        <v>646</v>
      </c>
      <c r="WXV188" s="601"/>
      <c r="WXW188" s="601"/>
      <c r="WXX188" s="601"/>
      <c r="WXY188" s="601"/>
      <c r="WXZ188" s="601"/>
      <c r="WYA188" s="601"/>
      <c r="WYB188" s="601"/>
      <c r="WYC188" s="601"/>
      <c r="WYD188" s="601"/>
      <c r="WYE188" s="601"/>
      <c r="WYF188" s="601"/>
      <c r="WYG188" s="601"/>
      <c r="WYH188" s="601"/>
      <c r="WYI188" s="601"/>
      <c r="WYJ188" s="601"/>
      <c r="WYK188" s="600" t="s">
        <v>646</v>
      </c>
      <c r="WYL188" s="601"/>
      <c r="WYM188" s="601"/>
      <c r="WYN188" s="601"/>
      <c r="WYO188" s="601"/>
      <c r="WYP188" s="601"/>
      <c r="WYQ188" s="601"/>
      <c r="WYR188" s="601"/>
      <c r="WYS188" s="601"/>
      <c r="WYT188" s="601"/>
      <c r="WYU188" s="601"/>
      <c r="WYV188" s="601"/>
      <c r="WYW188" s="601"/>
      <c r="WYX188" s="601"/>
      <c r="WYY188" s="601"/>
      <c r="WYZ188" s="601"/>
      <c r="WZA188" s="600" t="s">
        <v>646</v>
      </c>
      <c r="WZB188" s="601"/>
      <c r="WZC188" s="601"/>
      <c r="WZD188" s="601"/>
      <c r="WZE188" s="601"/>
      <c r="WZF188" s="601"/>
      <c r="WZG188" s="601"/>
      <c r="WZH188" s="601"/>
      <c r="WZI188" s="601"/>
      <c r="WZJ188" s="601"/>
      <c r="WZK188" s="601"/>
      <c r="WZL188" s="601"/>
      <c r="WZM188" s="601"/>
      <c r="WZN188" s="601"/>
      <c r="WZO188" s="601"/>
      <c r="WZP188" s="601"/>
      <c r="WZQ188" s="600" t="s">
        <v>646</v>
      </c>
      <c r="WZR188" s="601"/>
      <c r="WZS188" s="601"/>
      <c r="WZT188" s="601"/>
      <c r="WZU188" s="601"/>
      <c r="WZV188" s="601"/>
      <c r="WZW188" s="601"/>
      <c r="WZX188" s="601"/>
      <c r="WZY188" s="601"/>
      <c r="WZZ188" s="601"/>
      <c r="XAA188" s="601"/>
      <c r="XAB188" s="601"/>
      <c r="XAC188" s="601"/>
      <c r="XAD188" s="601"/>
      <c r="XAE188" s="601"/>
      <c r="XAF188" s="601"/>
      <c r="XAG188" s="600" t="s">
        <v>646</v>
      </c>
      <c r="XAH188" s="601"/>
      <c r="XAI188" s="601"/>
      <c r="XAJ188" s="601"/>
      <c r="XAK188" s="601"/>
      <c r="XAL188" s="601"/>
      <c r="XAM188" s="601"/>
      <c r="XAN188" s="601"/>
      <c r="XAO188" s="601"/>
      <c r="XAP188" s="601"/>
      <c r="XAQ188" s="601"/>
      <c r="XAR188" s="601"/>
      <c r="XAS188" s="601"/>
      <c r="XAT188" s="601"/>
      <c r="XAU188" s="601"/>
      <c r="XAV188" s="601"/>
      <c r="XAW188" s="600" t="s">
        <v>646</v>
      </c>
      <c r="XAX188" s="601"/>
      <c r="XAY188" s="601"/>
      <c r="XAZ188" s="601"/>
      <c r="XBA188" s="601"/>
      <c r="XBB188" s="601"/>
      <c r="XBC188" s="601"/>
      <c r="XBD188" s="601"/>
      <c r="XBE188" s="601"/>
      <c r="XBF188" s="601"/>
      <c r="XBG188" s="601"/>
      <c r="XBH188" s="601"/>
      <c r="XBI188" s="601"/>
      <c r="XBJ188" s="601"/>
      <c r="XBK188" s="601"/>
      <c r="XBL188" s="601"/>
      <c r="XBM188" s="600" t="s">
        <v>646</v>
      </c>
      <c r="XBN188" s="601"/>
      <c r="XBO188" s="601"/>
      <c r="XBP188" s="601"/>
      <c r="XBQ188" s="601"/>
      <c r="XBR188" s="601"/>
      <c r="XBS188" s="601"/>
      <c r="XBT188" s="601"/>
      <c r="XBU188" s="601"/>
      <c r="XBV188" s="601"/>
      <c r="XBW188" s="601"/>
      <c r="XBX188" s="601"/>
      <c r="XBY188" s="601"/>
      <c r="XBZ188" s="601"/>
      <c r="XCA188" s="601"/>
      <c r="XCB188" s="601"/>
      <c r="XCC188" s="600" t="s">
        <v>646</v>
      </c>
      <c r="XCD188" s="601"/>
      <c r="XCE188" s="601"/>
      <c r="XCF188" s="601"/>
      <c r="XCG188" s="601"/>
      <c r="XCH188" s="601"/>
      <c r="XCI188" s="601"/>
      <c r="XCJ188" s="601"/>
      <c r="XCK188" s="601"/>
      <c r="XCL188" s="601"/>
      <c r="XCM188" s="601"/>
      <c r="XCN188" s="601"/>
      <c r="XCO188" s="601"/>
      <c r="XCP188" s="601"/>
      <c r="XCQ188" s="601"/>
      <c r="XCR188" s="601"/>
      <c r="XCS188" s="600" t="s">
        <v>646</v>
      </c>
      <c r="XCT188" s="601"/>
      <c r="XCU188" s="601"/>
      <c r="XCV188" s="601"/>
      <c r="XCW188" s="601"/>
      <c r="XCX188" s="601"/>
      <c r="XCY188" s="601"/>
      <c r="XCZ188" s="601"/>
      <c r="XDA188" s="601"/>
      <c r="XDB188" s="601"/>
      <c r="XDC188" s="601"/>
      <c r="XDD188" s="601"/>
      <c r="XDE188" s="601"/>
      <c r="XDF188" s="601"/>
      <c r="XDG188" s="601"/>
      <c r="XDH188" s="601"/>
      <c r="XDI188" s="600" t="s">
        <v>646</v>
      </c>
      <c r="XDJ188" s="601"/>
      <c r="XDK188" s="601"/>
      <c r="XDL188" s="601"/>
      <c r="XDM188" s="601"/>
      <c r="XDN188" s="601"/>
      <c r="XDO188" s="601"/>
      <c r="XDP188" s="601"/>
      <c r="XDQ188" s="601"/>
      <c r="XDR188" s="601"/>
      <c r="XDS188" s="601"/>
      <c r="XDT188" s="601"/>
      <c r="XDU188" s="601"/>
      <c r="XDV188" s="601"/>
      <c r="XDW188" s="601"/>
      <c r="XDX188" s="601"/>
      <c r="XDY188" s="600" t="s">
        <v>646</v>
      </c>
      <c r="XDZ188" s="601"/>
      <c r="XEA188" s="601"/>
      <c r="XEB188" s="601"/>
      <c r="XEC188" s="601"/>
      <c r="XED188" s="601"/>
      <c r="XEE188" s="601"/>
      <c r="XEF188" s="601"/>
      <c r="XEG188" s="601"/>
      <c r="XEH188" s="601"/>
      <c r="XEI188" s="601"/>
      <c r="XEJ188" s="601"/>
      <c r="XEK188" s="601"/>
      <c r="XEL188" s="601"/>
      <c r="XEM188" s="601"/>
      <c r="XEN188" s="601"/>
      <c r="XEO188" s="600" t="s">
        <v>646</v>
      </c>
      <c r="XEP188" s="601"/>
      <c r="XEQ188" s="601"/>
      <c r="XER188" s="601"/>
      <c r="XES188" s="601"/>
      <c r="XET188" s="601"/>
      <c r="XEU188" s="601"/>
      <c r="XEV188" s="601"/>
      <c r="XEW188" s="601"/>
      <c r="XEX188" s="601"/>
      <c r="XEY188" s="601"/>
      <c r="XEZ188" s="601"/>
      <c r="XFA188" s="601"/>
      <c r="XFB188" s="601"/>
      <c r="XFC188" s="601"/>
      <c r="XFD188" s="601"/>
    </row>
    <row r="189" spans="1:16384" ht="51" customHeight="1">
      <c r="A189" s="34"/>
      <c r="B189" s="624" t="s">
        <v>298</v>
      </c>
      <c r="C189" s="624"/>
      <c r="D189" s="624"/>
      <c r="E189" s="624"/>
      <c r="F189" s="624"/>
      <c r="G189" s="624"/>
      <c r="H189" s="624"/>
      <c r="I189" s="624"/>
      <c r="J189" s="624"/>
      <c r="K189" s="624"/>
      <c r="L189" s="624"/>
      <c r="M189" s="624"/>
      <c r="N189" s="624"/>
      <c r="AW189" s="375"/>
      <c r="AX189" s="375"/>
      <c r="AY189" s="375"/>
      <c r="AZ189" s="375"/>
      <c r="BA189" s="375"/>
      <c r="BB189" s="375"/>
      <c r="BC189" s="375"/>
      <c r="BD189" s="375"/>
      <c r="BE189" s="375"/>
      <c r="BF189" s="375"/>
      <c r="BG189" s="375"/>
      <c r="BH189" s="375"/>
      <c r="BI189" s="375"/>
      <c r="BJ189" s="375"/>
      <c r="BK189" s="375"/>
      <c r="BL189" s="375"/>
      <c r="BM189" s="375"/>
      <c r="BN189" s="375"/>
      <c r="BO189" s="375"/>
      <c r="BP189" s="375"/>
      <c r="BQ189" s="375"/>
      <c r="BR189" s="375"/>
      <c r="BS189" s="375"/>
      <c r="BT189" s="375"/>
      <c r="BU189" s="375"/>
      <c r="BV189" s="375"/>
      <c r="BW189" s="375"/>
      <c r="BX189" s="375"/>
      <c r="BY189" s="375"/>
      <c r="BZ189" s="375"/>
      <c r="CA189" s="375"/>
      <c r="CB189" s="375"/>
      <c r="CC189" s="375"/>
      <c r="CD189" s="375"/>
      <c r="CE189" s="375"/>
      <c r="CF189" s="375"/>
      <c r="CG189" s="375"/>
      <c r="CH189" s="375"/>
      <c r="CI189" s="375"/>
      <c r="CJ189" s="375"/>
      <c r="CK189" s="375"/>
      <c r="CL189" s="375"/>
      <c r="CM189" s="375"/>
      <c r="CN189" s="375"/>
      <c r="CO189" s="375"/>
      <c r="CP189" s="375"/>
      <c r="CQ189" s="375"/>
      <c r="CR189" s="375"/>
      <c r="CS189" s="375"/>
      <c r="CT189" s="375"/>
      <c r="CU189" s="375"/>
      <c r="CV189" s="375"/>
      <c r="CW189" s="375"/>
      <c r="CX189" s="375"/>
      <c r="CY189" s="375"/>
      <c r="CZ189" s="375"/>
      <c r="DA189" s="375"/>
      <c r="DB189" s="375"/>
      <c r="DC189" s="375"/>
      <c r="DD189" s="375"/>
      <c r="DE189" s="375"/>
      <c r="DF189" s="375"/>
      <c r="DG189" s="375"/>
      <c r="DH189" s="375"/>
      <c r="DI189" s="375"/>
      <c r="DJ189" s="375"/>
      <c r="DK189" s="375"/>
      <c r="DL189" s="375"/>
      <c r="DM189" s="375"/>
      <c r="DN189" s="375"/>
      <c r="DO189" s="375"/>
      <c r="DP189" s="375"/>
      <c r="DQ189" s="375"/>
      <c r="DR189" s="375"/>
      <c r="DS189" s="375"/>
      <c r="DT189" s="375"/>
      <c r="DU189" s="375"/>
      <c r="DV189" s="375"/>
      <c r="DW189" s="375"/>
      <c r="DX189" s="375"/>
      <c r="DY189" s="375"/>
      <c r="DZ189" s="375"/>
      <c r="EA189" s="375"/>
      <c r="EB189" s="375"/>
      <c r="EC189" s="375"/>
      <c r="ED189" s="375"/>
      <c r="EE189" s="375"/>
      <c r="EF189" s="375"/>
      <c r="EG189" s="375"/>
      <c r="EH189" s="375"/>
      <c r="EI189" s="375"/>
      <c r="EJ189" s="375"/>
      <c r="EK189" s="375"/>
      <c r="EL189" s="375"/>
      <c r="EM189" s="375"/>
      <c r="EN189" s="375"/>
      <c r="EO189" s="375"/>
      <c r="EP189" s="375"/>
      <c r="EQ189" s="375"/>
      <c r="ER189" s="375"/>
      <c r="ES189" s="375"/>
      <c r="ET189" s="375"/>
      <c r="EU189" s="375"/>
      <c r="EV189" s="375"/>
      <c r="EW189" s="375"/>
      <c r="EX189" s="375"/>
      <c r="EY189" s="375"/>
      <c r="EZ189" s="375"/>
      <c r="FA189" s="375"/>
      <c r="FB189" s="375"/>
      <c r="FC189" s="375"/>
      <c r="FD189" s="375"/>
      <c r="FE189" s="375"/>
      <c r="FF189" s="375"/>
      <c r="FG189" s="375"/>
      <c r="FH189" s="375"/>
      <c r="FI189" s="375"/>
      <c r="FJ189" s="375"/>
      <c r="FK189" s="375"/>
      <c r="FL189" s="375"/>
      <c r="FM189" s="375"/>
      <c r="FN189" s="375"/>
      <c r="FO189" s="375"/>
      <c r="FP189" s="375"/>
      <c r="FQ189" s="375"/>
      <c r="FR189" s="375"/>
      <c r="FS189" s="375"/>
      <c r="FT189" s="375"/>
      <c r="FU189" s="375"/>
      <c r="FV189" s="375"/>
      <c r="FW189" s="375"/>
      <c r="FX189" s="375"/>
      <c r="FY189" s="375"/>
      <c r="FZ189" s="375"/>
      <c r="GA189" s="375"/>
      <c r="GB189" s="375"/>
      <c r="GC189" s="375"/>
      <c r="GD189" s="375"/>
      <c r="GE189" s="375"/>
      <c r="GF189" s="375"/>
      <c r="GG189" s="375"/>
      <c r="GH189" s="375"/>
      <c r="GI189" s="375"/>
      <c r="GJ189" s="375"/>
    </row>
    <row r="190" spans="1:16384" ht="15">
      <c r="I190" s="87"/>
      <c r="AW190" s="375"/>
      <c r="AX190" s="375"/>
      <c r="AY190" s="375"/>
      <c r="AZ190" s="375"/>
      <c r="BA190" s="375"/>
      <c r="BB190" s="375"/>
      <c r="BC190" s="375"/>
      <c r="BD190" s="375"/>
      <c r="BE190" s="375"/>
      <c r="BF190" s="375"/>
      <c r="BG190" s="375"/>
      <c r="BH190" s="375"/>
      <c r="BI190" s="375"/>
      <c r="BJ190" s="375"/>
      <c r="BK190" s="375"/>
      <c r="BL190" s="375"/>
      <c r="BM190" s="375"/>
      <c r="BN190" s="375"/>
      <c r="BO190" s="375"/>
      <c r="BP190" s="375"/>
      <c r="BQ190" s="375"/>
      <c r="BR190" s="375"/>
      <c r="BS190" s="375"/>
      <c r="BT190" s="375"/>
      <c r="BU190" s="375"/>
      <c r="BV190" s="375"/>
      <c r="BW190" s="375"/>
      <c r="BX190" s="375"/>
      <c r="BY190" s="375"/>
      <c r="BZ190" s="375"/>
      <c r="CA190" s="375"/>
      <c r="CB190" s="375"/>
      <c r="CC190" s="375"/>
      <c r="CD190" s="375"/>
      <c r="CE190" s="375"/>
      <c r="CF190" s="375"/>
      <c r="CG190" s="375"/>
      <c r="CH190" s="375"/>
      <c r="CI190" s="375"/>
      <c r="CJ190" s="375"/>
      <c r="CK190" s="375"/>
      <c r="CL190" s="375"/>
      <c r="CM190" s="375"/>
      <c r="CN190" s="375"/>
      <c r="CO190" s="375"/>
      <c r="CP190" s="375"/>
      <c r="CQ190" s="375"/>
      <c r="CR190" s="375"/>
      <c r="CS190" s="375"/>
      <c r="CT190" s="375"/>
      <c r="CU190" s="375"/>
      <c r="CV190" s="375"/>
      <c r="CW190" s="375"/>
      <c r="CX190" s="375"/>
      <c r="CY190" s="375"/>
      <c r="CZ190" s="375"/>
      <c r="DA190" s="375"/>
      <c r="DB190" s="375"/>
      <c r="DC190" s="375"/>
      <c r="DD190" s="375"/>
      <c r="DE190" s="375"/>
      <c r="DF190" s="375"/>
      <c r="DG190" s="375"/>
      <c r="DH190" s="375"/>
      <c r="DI190" s="375"/>
      <c r="DJ190" s="375"/>
      <c r="DK190" s="375"/>
      <c r="DL190" s="375"/>
      <c r="DM190" s="375"/>
      <c r="DN190" s="375"/>
      <c r="DO190" s="375"/>
      <c r="DP190" s="375"/>
      <c r="DQ190" s="375"/>
      <c r="DR190" s="375"/>
      <c r="DS190" s="375"/>
      <c r="DT190" s="375"/>
      <c r="DU190" s="375"/>
      <c r="DV190" s="375"/>
      <c r="DW190" s="375"/>
      <c r="DX190" s="375"/>
      <c r="DY190" s="375"/>
      <c r="DZ190" s="375"/>
      <c r="EA190" s="375"/>
      <c r="EB190" s="375"/>
      <c r="EC190" s="375"/>
      <c r="ED190" s="375"/>
      <c r="EE190" s="375"/>
      <c r="EF190" s="375"/>
      <c r="EG190" s="375"/>
      <c r="EH190" s="375"/>
      <c r="EI190" s="375"/>
      <c r="EJ190" s="375"/>
      <c r="EK190" s="375"/>
      <c r="EL190" s="375"/>
      <c r="EM190" s="375"/>
      <c r="EN190" s="375"/>
      <c r="EO190" s="375"/>
      <c r="EP190" s="375"/>
      <c r="EQ190" s="375"/>
      <c r="ER190" s="375"/>
      <c r="ES190" s="375"/>
      <c r="ET190" s="375"/>
      <c r="EU190" s="375"/>
      <c r="EV190" s="375"/>
      <c r="EW190" s="375"/>
      <c r="EX190" s="375"/>
      <c r="EY190" s="375"/>
      <c r="EZ190" s="375"/>
      <c r="FA190" s="375"/>
      <c r="FB190" s="375"/>
      <c r="FC190" s="375"/>
      <c r="FD190" s="375"/>
      <c r="FE190" s="375"/>
      <c r="FF190" s="375"/>
      <c r="FG190" s="375"/>
      <c r="FH190" s="375"/>
      <c r="FI190" s="375"/>
      <c r="FJ190" s="375"/>
      <c r="FK190" s="375"/>
      <c r="FL190" s="375"/>
      <c r="FM190" s="375"/>
      <c r="FN190" s="375"/>
      <c r="FO190" s="375"/>
      <c r="FP190" s="375"/>
      <c r="FQ190" s="375"/>
      <c r="FR190" s="375"/>
      <c r="FS190" s="375"/>
      <c r="FT190" s="375"/>
      <c r="FU190" s="375"/>
      <c r="FV190" s="375"/>
      <c r="FW190" s="375"/>
      <c r="FX190" s="375"/>
      <c r="FY190" s="375"/>
      <c r="FZ190" s="375"/>
      <c r="GA190" s="375"/>
      <c r="GB190" s="375"/>
      <c r="GC190" s="375"/>
      <c r="GD190" s="375"/>
      <c r="GE190" s="375"/>
      <c r="GF190" s="375"/>
      <c r="GG190" s="375"/>
      <c r="GH190" s="375"/>
      <c r="GI190" s="375"/>
      <c r="GJ190" s="375"/>
    </row>
    <row r="191" spans="1:16384">
      <c r="AW191" s="375"/>
      <c r="AX191" s="375"/>
      <c r="AY191" s="375"/>
      <c r="AZ191" s="375"/>
      <c r="BA191" s="375"/>
      <c r="BB191" s="375"/>
      <c r="BC191" s="375"/>
      <c r="BD191" s="375"/>
      <c r="BE191" s="375"/>
      <c r="BF191" s="375"/>
      <c r="BG191" s="375"/>
      <c r="BH191" s="375"/>
      <c r="BI191" s="375"/>
      <c r="BJ191" s="375"/>
      <c r="BK191" s="375"/>
      <c r="BL191" s="375"/>
      <c r="BM191" s="375"/>
      <c r="BN191" s="375"/>
      <c r="BO191" s="375"/>
      <c r="BP191" s="375"/>
      <c r="BQ191" s="375"/>
      <c r="BR191" s="375"/>
      <c r="BS191" s="375"/>
      <c r="BT191" s="375"/>
      <c r="BU191" s="375"/>
      <c r="BV191" s="375"/>
      <c r="BW191" s="375"/>
      <c r="BX191" s="375"/>
      <c r="BY191" s="375"/>
      <c r="BZ191" s="375"/>
      <c r="CA191" s="375"/>
      <c r="CB191" s="375"/>
      <c r="CC191" s="375"/>
      <c r="CD191" s="375"/>
      <c r="CE191" s="375"/>
      <c r="CF191" s="375"/>
      <c r="CG191" s="375"/>
      <c r="CH191" s="375"/>
      <c r="CI191" s="375"/>
      <c r="CJ191" s="375"/>
      <c r="CK191" s="375"/>
      <c r="CL191" s="375"/>
      <c r="CM191" s="375"/>
      <c r="CN191" s="375"/>
      <c r="CO191" s="375"/>
      <c r="CP191" s="375"/>
      <c r="CQ191" s="375"/>
      <c r="CR191" s="375"/>
      <c r="CS191" s="375"/>
      <c r="CT191" s="375"/>
      <c r="CU191" s="375"/>
      <c r="CV191" s="375"/>
      <c r="CW191" s="375"/>
      <c r="CX191" s="375"/>
      <c r="CY191" s="375"/>
      <c r="CZ191" s="375"/>
      <c r="DA191" s="375"/>
      <c r="DB191" s="375"/>
      <c r="DC191" s="375"/>
      <c r="DD191" s="375"/>
      <c r="DE191" s="375"/>
      <c r="DF191" s="375"/>
      <c r="DG191" s="375"/>
      <c r="DH191" s="375"/>
      <c r="DI191" s="375"/>
      <c r="DJ191" s="375"/>
      <c r="DK191" s="375"/>
      <c r="DL191" s="375"/>
      <c r="DM191" s="375"/>
      <c r="DN191" s="375"/>
      <c r="DO191" s="375"/>
      <c r="DP191" s="375"/>
      <c r="DQ191" s="375"/>
      <c r="DR191" s="375"/>
      <c r="DS191" s="375"/>
      <c r="DT191" s="375"/>
      <c r="DU191" s="375"/>
      <c r="DV191" s="375"/>
      <c r="DW191" s="375"/>
      <c r="DX191" s="375"/>
      <c r="DY191" s="375"/>
      <c r="DZ191" s="375"/>
      <c r="EA191" s="375"/>
      <c r="EB191" s="375"/>
      <c r="EC191" s="375"/>
      <c r="ED191" s="375"/>
      <c r="EE191" s="375"/>
      <c r="EF191" s="375"/>
      <c r="EG191" s="375"/>
      <c r="EH191" s="375"/>
      <c r="EI191" s="375"/>
      <c r="EJ191" s="375"/>
      <c r="EK191" s="375"/>
      <c r="EL191" s="375"/>
      <c r="EM191" s="375"/>
      <c r="EN191" s="375"/>
      <c r="EO191" s="375"/>
      <c r="EP191" s="375"/>
      <c r="EQ191" s="375"/>
      <c r="ER191" s="375"/>
      <c r="ES191" s="375"/>
      <c r="ET191" s="375"/>
      <c r="EU191" s="375"/>
      <c r="EV191" s="375"/>
      <c r="EW191" s="375"/>
      <c r="EX191" s="375"/>
      <c r="EY191" s="375"/>
      <c r="EZ191" s="375"/>
      <c r="FA191" s="375"/>
      <c r="FB191" s="375"/>
      <c r="FC191" s="375"/>
      <c r="FD191" s="375"/>
      <c r="FE191" s="375"/>
      <c r="FF191" s="375"/>
      <c r="FG191" s="375"/>
      <c r="FH191" s="375"/>
      <c r="FI191" s="375"/>
      <c r="FJ191" s="375"/>
      <c r="FK191" s="375"/>
      <c r="FL191" s="375"/>
      <c r="FM191" s="375"/>
      <c r="FN191" s="375"/>
      <c r="FO191" s="375"/>
      <c r="FP191" s="375"/>
      <c r="FQ191" s="375"/>
      <c r="FR191" s="375"/>
      <c r="FS191" s="375"/>
      <c r="FT191" s="375"/>
      <c r="FU191" s="375"/>
      <c r="FV191" s="375"/>
      <c r="FW191" s="375"/>
      <c r="FX191" s="375"/>
      <c r="FY191" s="375"/>
      <c r="FZ191" s="375"/>
      <c r="GA191" s="375"/>
      <c r="GB191" s="375"/>
      <c r="GC191" s="375"/>
      <c r="GD191" s="375"/>
      <c r="GE191" s="375"/>
      <c r="GF191" s="375"/>
      <c r="GG191" s="375"/>
      <c r="GH191" s="375"/>
      <c r="GI191" s="375"/>
      <c r="GJ191" s="375"/>
    </row>
    <row r="192" spans="1:16384">
      <c r="AW192" s="375"/>
      <c r="AX192" s="375"/>
      <c r="AY192" s="375"/>
      <c r="AZ192" s="375"/>
      <c r="BA192" s="375"/>
      <c r="BB192" s="375"/>
      <c r="BC192" s="375"/>
      <c r="BD192" s="375"/>
      <c r="BE192" s="375"/>
      <c r="BF192" s="375"/>
      <c r="BG192" s="375"/>
      <c r="BH192" s="375"/>
      <c r="BI192" s="375"/>
      <c r="BJ192" s="375"/>
      <c r="BK192" s="375"/>
      <c r="BL192" s="375"/>
      <c r="BM192" s="375"/>
      <c r="BN192" s="375"/>
      <c r="BO192" s="375"/>
      <c r="BP192" s="375"/>
      <c r="BQ192" s="375"/>
      <c r="BR192" s="375"/>
      <c r="BS192" s="375"/>
      <c r="BT192" s="375"/>
      <c r="BU192" s="375"/>
      <c r="BV192" s="375"/>
      <c r="BW192" s="375"/>
      <c r="BX192" s="375"/>
      <c r="BY192" s="375"/>
      <c r="BZ192" s="375"/>
      <c r="CA192" s="375"/>
      <c r="CB192" s="375"/>
      <c r="CC192" s="375"/>
      <c r="CD192" s="375"/>
      <c r="CE192" s="375"/>
      <c r="CF192" s="375"/>
      <c r="CG192" s="375"/>
      <c r="CH192" s="375"/>
      <c r="CI192" s="375"/>
      <c r="CJ192" s="375"/>
      <c r="CK192" s="375"/>
      <c r="CL192" s="375"/>
      <c r="CM192" s="375"/>
      <c r="CN192" s="375"/>
      <c r="CO192" s="375"/>
      <c r="CP192" s="375"/>
      <c r="CQ192" s="375"/>
      <c r="CR192" s="375"/>
      <c r="CS192" s="375"/>
      <c r="CT192" s="375"/>
      <c r="CU192" s="375"/>
      <c r="CV192" s="375"/>
      <c r="CW192" s="375"/>
      <c r="CX192" s="375"/>
      <c r="CY192" s="375"/>
      <c r="CZ192" s="375"/>
      <c r="DA192" s="375"/>
      <c r="DB192" s="375"/>
      <c r="DC192" s="375"/>
      <c r="DD192" s="375"/>
      <c r="DE192" s="375"/>
      <c r="DF192" s="375"/>
      <c r="DG192" s="375"/>
      <c r="DH192" s="375"/>
      <c r="DI192" s="375"/>
      <c r="DJ192" s="375"/>
      <c r="DK192" s="375"/>
      <c r="DL192" s="375"/>
      <c r="DM192" s="375"/>
      <c r="DN192" s="375"/>
      <c r="DO192" s="375"/>
      <c r="DP192" s="375"/>
      <c r="DQ192" s="375"/>
      <c r="DR192" s="375"/>
      <c r="DS192" s="375"/>
      <c r="DT192" s="375"/>
      <c r="DU192" s="375"/>
      <c r="DV192" s="375"/>
      <c r="DW192" s="375"/>
      <c r="DX192" s="375"/>
      <c r="DY192" s="375"/>
      <c r="DZ192" s="375"/>
      <c r="EA192" s="375"/>
      <c r="EB192" s="375"/>
      <c r="EC192" s="375"/>
      <c r="ED192" s="375"/>
      <c r="EE192" s="375"/>
      <c r="EF192" s="375"/>
      <c r="EG192" s="375"/>
      <c r="EH192" s="375"/>
      <c r="EI192" s="375"/>
      <c r="EJ192" s="375"/>
      <c r="EK192" s="375"/>
      <c r="EL192" s="375"/>
      <c r="EM192" s="375"/>
      <c r="EN192" s="375"/>
      <c r="EO192" s="375"/>
      <c r="EP192" s="375"/>
      <c r="EQ192" s="375"/>
      <c r="ER192" s="375"/>
      <c r="ES192" s="375"/>
      <c r="ET192" s="375"/>
      <c r="EU192" s="375"/>
      <c r="EV192" s="375"/>
      <c r="EW192" s="375"/>
      <c r="EX192" s="375"/>
      <c r="EY192" s="375"/>
      <c r="EZ192" s="375"/>
      <c r="FA192" s="375"/>
      <c r="FB192" s="375"/>
      <c r="FC192" s="375"/>
      <c r="FD192" s="375"/>
      <c r="FE192" s="375"/>
      <c r="FF192" s="375"/>
      <c r="FG192" s="375"/>
      <c r="FH192" s="375"/>
      <c r="FI192" s="375"/>
      <c r="FJ192" s="375"/>
      <c r="FK192" s="375"/>
      <c r="FL192" s="375"/>
      <c r="FM192" s="375"/>
      <c r="FN192" s="375"/>
      <c r="FO192" s="375"/>
      <c r="FP192" s="375"/>
      <c r="FQ192" s="375"/>
      <c r="FR192" s="375"/>
      <c r="FS192" s="375"/>
      <c r="FT192" s="375"/>
      <c r="FU192" s="375"/>
      <c r="FV192" s="375"/>
      <c r="FW192" s="375"/>
      <c r="FX192" s="375"/>
      <c r="FY192" s="375"/>
      <c r="FZ192" s="375"/>
      <c r="GA192" s="375"/>
      <c r="GB192" s="375"/>
      <c r="GC192" s="375"/>
      <c r="GD192" s="375"/>
      <c r="GE192" s="375"/>
      <c r="GF192" s="375"/>
      <c r="GG192" s="375"/>
      <c r="GH192" s="375"/>
      <c r="GI192" s="375"/>
      <c r="GJ192" s="375"/>
    </row>
    <row r="193" spans="49:192">
      <c r="AW193" s="375"/>
      <c r="AX193" s="375"/>
      <c r="AY193" s="375"/>
      <c r="AZ193" s="375"/>
      <c r="BA193" s="375"/>
      <c r="BB193" s="375"/>
      <c r="BC193" s="375"/>
      <c r="BD193" s="375"/>
      <c r="BE193" s="375"/>
      <c r="BF193" s="375"/>
      <c r="BG193" s="375"/>
      <c r="BH193" s="375"/>
      <c r="BI193" s="375"/>
      <c r="BJ193" s="375"/>
      <c r="BK193" s="375"/>
      <c r="BL193" s="375"/>
      <c r="BM193" s="375"/>
      <c r="BN193" s="375"/>
      <c r="BO193" s="375"/>
      <c r="BP193" s="375"/>
      <c r="BQ193" s="375"/>
      <c r="BR193" s="375"/>
      <c r="BS193" s="375"/>
      <c r="BT193" s="375"/>
      <c r="BU193" s="375"/>
      <c r="BV193" s="375"/>
      <c r="BW193" s="375"/>
      <c r="BX193" s="375"/>
      <c r="BY193" s="375"/>
      <c r="BZ193" s="375"/>
      <c r="CA193" s="375"/>
      <c r="CB193" s="375"/>
      <c r="CC193" s="375"/>
      <c r="CD193" s="375"/>
      <c r="CE193" s="375"/>
      <c r="CF193" s="375"/>
      <c r="CG193" s="375"/>
      <c r="CH193" s="375"/>
      <c r="CI193" s="375"/>
      <c r="CJ193" s="375"/>
      <c r="CK193" s="375"/>
      <c r="CL193" s="375"/>
      <c r="CM193" s="375"/>
      <c r="CN193" s="375"/>
      <c r="CO193" s="375"/>
      <c r="CP193" s="375"/>
      <c r="CQ193" s="375"/>
      <c r="CR193" s="375"/>
      <c r="CS193" s="375"/>
      <c r="CT193" s="375"/>
      <c r="CU193" s="375"/>
      <c r="CV193" s="375"/>
      <c r="CW193" s="375"/>
      <c r="CX193" s="375"/>
      <c r="CY193" s="375"/>
      <c r="CZ193" s="375"/>
      <c r="DA193" s="375"/>
      <c r="DB193" s="375"/>
      <c r="DC193" s="375"/>
      <c r="DD193" s="375"/>
      <c r="DE193" s="375"/>
      <c r="DF193" s="375"/>
      <c r="DG193" s="375"/>
      <c r="DH193" s="375"/>
      <c r="DI193" s="375"/>
      <c r="DJ193" s="375"/>
      <c r="DK193" s="375"/>
      <c r="DL193" s="375"/>
      <c r="DM193" s="375"/>
      <c r="DN193" s="375"/>
      <c r="DO193" s="375"/>
      <c r="DP193" s="375"/>
      <c r="DQ193" s="375"/>
      <c r="DR193" s="375"/>
      <c r="DS193" s="375"/>
      <c r="DT193" s="375"/>
      <c r="DU193" s="375"/>
      <c r="DV193" s="375"/>
      <c r="DW193" s="375"/>
      <c r="DX193" s="375"/>
      <c r="DY193" s="375"/>
      <c r="DZ193" s="375"/>
      <c r="EA193" s="375"/>
      <c r="EB193" s="375"/>
      <c r="EC193" s="375"/>
      <c r="ED193" s="375"/>
      <c r="EE193" s="375"/>
      <c r="EF193" s="375"/>
      <c r="EG193" s="375"/>
      <c r="EH193" s="375"/>
      <c r="EI193" s="375"/>
      <c r="EJ193" s="375"/>
      <c r="EK193" s="375"/>
      <c r="EL193" s="375"/>
      <c r="EM193" s="375"/>
      <c r="EN193" s="375"/>
      <c r="EO193" s="375"/>
      <c r="EP193" s="375"/>
      <c r="EQ193" s="375"/>
      <c r="ER193" s="375"/>
      <c r="ES193" s="375"/>
      <c r="ET193" s="375"/>
      <c r="EU193" s="375"/>
      <c r="EV193" s="375"/>
      <c r="EW193" s="375"/>
      <c r="EX193" s="375"/>
      <c r="EY193" s="375"/>
      <c r="EZ193" s="375"/>
      <c r="FA193" s="375"/>
      <c r="FB193" s="375"/>
      <c r="FC193" s="375"/>
      <c r="FD193" s="375"/>
      <c r="FE193" s="375"/>
      <c r="FF193" s="375"/>
      <c r="FG193" s="375"/>
      <c r="FH193" s="375"/>
      <c r="FI193" s="375"/>
      <c r="FJ193" s="375"/>
      <c r="FK193" s="375"/>
      <c r="FL193" s="375"/>
      <c r="FM193" s="375"/>
      <c r="FN193" s="375"/>
      <c r="FO193" s="375"/>
      <c r="FP193" s="375"/>
      <c r="FQ193" s="375"/>
      <c r="FR193" s="375"/>
      <c r="FS193" s="375"/>
      <c r="FT193" s="375"/>
      <c r="FU193" s="375"/>
      <c r="FV193" s="375"/>
      <c r="FW193" s="375"/>
      <c r="FX193" s="375"/>
      <c r="FY193" s="375"/>
      <c r="FZ193" s="375"/>
      <c r="GA193" s="375"/>
      <c r="GB193" s="375"/>
      <c r="GC193" s="375"/>
      <c r="GD193" s="375"/>
      <c r="GE193" s="375"/>
      <c r="GF193" s="375"/>
      <c r="GG193" s="375"/>
      <c r="GH193" s="375"/>
      <c r="GI193" s="375"/>
      <c r="GJ193" s="375"/>
    </row>
    <row r="194" spans="49:192">
      <c r="AW194" s="375"/>
      <c r="AX194" s="375"/>
      <c r="AY194" s="375"/>
      <c r="AZ194" s="375"/>
      <c r="BA194" s="375"/>
      <c r="BB194" s="375"/>
      <c r="BC194" s="375"/>
      <c r="BD194" s="375"/>
      <c r="BE194" s="375"/>
      <c r="BF194" s="375"/>
      <c r="BG194" s="375"/>
      <c r="BH194" s="375"/>
      <c r="BI194" s="375"/>
      <c r="BJ194" s="375"/>
      <c r="BK194" s="375"/>
      <c r="BL194" s="375"/>
      <c r="BM194" s="375"/>
      <c r="BN194" s="375"/>
      <c r="BO194" s="375"/>
      <c r="BP194" s="375"/>
      <c r="BQ194" s="375"/>
      <c r="BR194" s="375"/>
      <c r="BS194" s="375"/>
      <c r="BT194" s="375"/>
      <c r="BU194" s="375"/>
      <c r="BV194" s="375"/>
      <c r="BW194" s="375"/>
      <c r="BX194" s="375"/>
      <c r="BY194" s="375"/>
      <c r="BZ194" s="375"/>
      <c r="CA194" s="375"/>
      <c r="CB194" s="375"/>
      <c r="CC194" s="375"/>
      <c r="CD194" s="375"/>
      <c r="CE194" s="375"/>
      <c r="CF194" s="375"/>
      <c r="CG194" s="375"/>
      <c r="CH194" s="375"/>
      <c r="CI194" s="375"/>
      <c r="CJ194" s="375"/>
      <c r="CK194" s="375"/>
      <c r="CL194" s="375"/>
      <c r="CM194" s="375"/>
      <c r="CN194" s="375"/>
      <c r="CO194" s="375"/>
      <c r="CP194" s="375"/>
      <c r="CQ194" s="375"/>
      <c r="CR194" s="375"/>
      <c r="CS194" s="375"/>
      <c r="CT194" s="375"/>
      <c r="CU194" s="375"/>
      <c r="CV194" s="375"/>
      <c r="CW194" s="375"/>
      <c r="CX194" s="375"/>
      <c r="CY194" s="375"/>
      <c r="CZ194" s="375"/>
      <c r="DA194" s="375"/>
      <c r="DB194" s="375"/>
      <c r="DC194" s="375"/>
      <c r="DD194" s="375"/>
      <c r="DE194" s="375"/>
      <c r="DF194" s="375"/>
      <c r="DG194" s="375"/>
      <c r="DH194" s="375"/>
      <c r="DI194" s="375"/>
      <c r="DJ194" s="375"/>
      <c r="DK194" s="375"/>
      <c r="DL194" s="375"/>
      <c r="DM194" s="375"/>
      <c r="DN194" s="375"/>
      <c r="DO194" s="375"/>
      <c r="DP194" s="375"/>
      <c r="DQ194" s="375"/>
      <c r="DR194" s="375"/>
      <c r="DS194" s="375"/>
      <c r="DT194" s="375"/>
      <c r="DU194" s="375"/>
      <c r="DV194" s="375"/>
      <c r="DW194" s="375"/>
      <c r="DX194" s="375"/>
      <c r="DY194" s="375"/>
      <c r="DZ194" s="375"/>
      <c r="EA194" s="375"/>
      <c r="EB194" s="375"/>
      <c r="EC194" s="375"/>
      <c r="ED194" s="375"/>
      <c r="EE194" s="375"/>
      <c r="EF194" s="375"/>
      <c r="EG194" s="375"/>
      <c r="EH194" s="375"/>
      <c r="EI194" s="375"/>
      <c r="EJ194" s="375"/>
      <c r="EK194" s="375"/>
      <c r="EL194" s="375"/>
      <c r="EM194" s="375"/>
      <c r="EN194" s="375"/>
      <c r="EO194" s="375"/>
      <c r="EP194" s="375"/>
      <c r="EQ194" s="375"/>
      <c r="ER194" s="375"/>
      <c r="ES194" s="375"/>
      <c r="ET194" s="375"/>
      <c r="EU194" s="375"/>
      <c r="EV194" s="375"/>
      <c r="EW194" s="375"/>
      <c r="EX194" s="375"/>
      <c r="EY194" s="375"/>
      <c r="EZ194" s="375"/>
      <c r="FA194" s="375"/>
      <c r="FB194" s="375"/>
      <c r="FC194" s="375"/>
      <c r="FD194" s="375"/>
      <c r="FE194" s="375"/>
      <c r="FF194" s="375"/>
      <c r="FG194" s="375"/>
      <c r="FH194" s="375"/>
      <c r="FI194" s="375"/>
      <c r="FJ194" s="375"/>
      <c r="FK194" s="375"/>
      <c r="FL194" s="375"/>
      <c r="FM194" s="375"/>
      <c r="FN194" s="375"/>
      <c r="FO194" s="375"/>
      <c r="FP194" s="375"/>
      <c r="FQ194" s="375"/>
      <c r="FR194" s="375"/>
      <c r="FS194" s="375"/>
      <c r="FT194" s="375"/>
      <c r="FU194" s="375"/>
      <c r="FV194" s="375"/>
      <c r="FW194" s="375"/>
      <c r="FX194" s="375"/>
      <c r="FY194" s="375"/>
      <c r="FZ194" s="375"/>
      <c r="GA194" s="375"/>
      <c r="GB194" s="375"/>
      <c r="GC194" s="375"/>
      <c r="GD194" s="375"/>
      <c r="GE194" s="375"/>
      <c r="GF194" s="375"/>
      <c r="GG194" s="375"/>
      <c r="GH194" s="375"/>
      <c r="GI194" s="375"/>
      <c r="GJ194" s="375"/>
    </row>
    <row r="195" spans="49:192">
      <c r="AW195" s="375"/>
      <c r="AX195" s="375"/>
      <c r="AY195" s="375"/>
      <c r="AZ195" s="375"/>
      <c r="BA195" s="375"/>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5"/>
      <c r="BY195" s="375"/>
      <c r="BZ195" s="375"/>
      <c r="CA195" s="375"/>
      <c r="CB195" s="375"/>
      <c r="CC195" s="375"/>
      <c r="CD195" s="375"/>
      <c r="CE195" s="375"/>
      <c r="CF195" s="375"/>
      <c r="CG195" s="375"/>
      <c r="CH195" s="375"/>
      <c r="CI195" s="375"/>
      <c r="CJ195" s="375"/>
      <c r="CK195" s="375"/>
      <c r="CL195" s="375"/>
      <c r="CM195" s="375"/>
      <c r="CN195" s="375"/>
      <c r="CO195" s="375"/>
      <c r="CP195" s="375"/>
      <c r="CQ195" s="375"/>
      <c r="CR195" s="375"/>
      <c r="CS195" s="375"/>
      <c r="CT195" s="375"/>
      <c r="CU195" s="375"/>
      <c r="CV195" s="375"/>
      <c r="CW195" s="375"/>
      <c r="CX195" s="375"/>
      <c r="CY195" s="375"/>
      <c r="CZ195" s="375"/>
      <c r="DA195" s="375"/>
      <c r="DB195" s="375"/>
      <c r="DC195" s="375"/>
      <c r="DD195" s="375"/>
      <c r="DE195" s="375"/>
      <c r="DF195" s="375"/>
      <c r="DG195" s="375"/>
      <c r="DH195" s="375"/>
      <c r="DI195" s="375"/>
      <c r="DJ195" s="375"/>
      <c r="DK195" s="375"/>
      <c r="DL195" s="375"/>
      <c r="DM195" s="375"/>
      <c r="DN195" s="375"/>
      <c r="DO195" s="375"/>
      <c r="DP195" s="375"/>
      <c r="DQ195" s="375"/>
      <c r="DR195" s="375"/>
      <c r="DS195" s="375"/>
      <c r="DT195" s="375"/>
      <c r="DU195" s="375"/>
      <c r="DV195" s="375"/>
      <c r="DW195" s="375"/>
      <c r="DX195" s="375"/>
      <c r="DY195" s="375"/>
      <c r="DZ195" s="375"/>
      <c r="EA195" s="375"/>
      <c r="EB195" s="375"/>
      <c r="EC195" s="375"/>
      <c r="ED195" s="375"/>
      <c r="EE195" s="375"/>
      <c r="EF195" s="375"/>
      <c r="EG195" s="375"/>
      <c r="EH195" s="375"/>
      <c r="EI195" s="375"/>
      <c r="EJ195" s="375"/>
      <c r="EK195" s="375"/>
      <c r="EL195" s="375"/>
      <c r="EM195" s="375"/>
      <c r="EN195" s="375"/>
      <c r="EO195" s="375"/>
      <c r="EP195" s="375"/>
      <c r="EQ195" s="375"/>
      <c r="ER195" s="375"/>
      <c r="ES195" s="375"/>
      <c r="ET195" s="375"/>
      <c r="EU195" s="375"/>
      <c r="EV195" s="375"/>
      <c r="EW195" s="375"/>
      <c r="EX195" s="375"/>
      <c r="EY195" s="375"/>
      <c r="EZ195" s="375"/>
      <c r="FA195" s="375"/>
      <c r="FB195" s="375"/>
      <c r="FC195" s="375"/>
      <c r="FD195" s="375"/>
      <c r="FE195" s="375"/>
      <c r="FF195" s="375"/>
      <c r="FG195" s="375"/>
      <c r="FH195" s="375"/>
      <c r="FI195" s="375"/>
      <c r="FJ195" s="375"/>
      <c r="FK195" s="375"/>
      <c r="FL195" s="375"/>
      <c r="FM195" s="375"/>
      <c r="FN195" s="375"/>
      <c r="FO195" s="375"/>
      <c r="FP195" s="375"/>
      <c r="FQ195" s="375"/>
      <c r="FR195" s="375"/>
      <c r="FS195" s="375"/>
      <c r="FT195" s="375"/>
      <c r="FU195" s="375"/>
      <c r="FV195" s="375"/>
      <c r="FW195" s="375"/>
      <c r="FX195" s="375"/>
      <c r="FY195" s="375"/>
      <c r="FZ195" s="375"/>
      <c r="GA195" s="375"/>
      <c r="GB195" s="375"/>
      <c r="GC195" s="375"/>
      <c r="GD195" s="375"/>
      <c r="GE195" s="375"/>
      <c r="GF195" s="375"/>
      <c r="GG195" s="375"/>
      <c r="GH195" s="375"/>
      <c r="GI195" s="375"/>
      <c r="GJ195" s="375"/>
    </row>
    <row r="196" spans="49:192">
      <c r="AW196" s="375"/>
      <c r="AX196" s="375"/>
      <c r="AY196" s="375"/>
      <c r="AZ196" s="375"/>
      <c r="BA196" s="375"/>
      <c r="BB196" s="375"/>
      <c r="BC196" s="375"/>
      <c r="BD196" s="375"/>
      <c r="BE196" s="375"/>
      <c r="BF196" s="375"/>
      <c r="BG196" s="375"/>
      <c r="BH196" s="375"/>
      <c r="BI196" s="375"/>
      <c r="BJ196" s="375"/>
      <c r="BK196" s="375"/>
      <c r="BL196" s="375"/>
      <c r="BM196" s="375"/>
      <c r="BN196" s="375"/>
      <c r="BO196" s="375"/>
      <c r="BP196" s="375"/>
      <c r="BQ196" s="375"/>
      <c r="BR196" s="375"/>
      <c r="BS196" s="375"/>
      <c r="BT196" s="375"/>
      <c r="BU196" s="375"/>
      <c r="BV196" s="375"/>
      <c r="BW196" s="375"/>
      <c r="BX196" s="375"/>
      <c r="BY196" s="375"/>
      <c r="BZ196" s="375"/>
      <c r="CA196" s="375"/>
      <c r="CB196" s="375"/>
      <c r="CC196" s="375"/>
      <c r="CD196" s="375"/>
      <c r="CE196" s="375"/>
      <c r="CF196" s="375"/>
      <c r="CG196" s="375"/>
      <c r="CH196" s="375"/>
      <c r="CI196" s="375"/>
      <c r="CJ196" s="375"/>
      <c r="CK196" s="375"/>
      <c r="CL196" s="375"/>
      <c r="CM196" s="375"/>
      <c r="CN196" s="375"/>
      <c r="CO196" s="375"/>
      <c r="CP196" s="375"/>
      <c r="CQ196" s="375"/>
      <c r="CR196" s="375"/>
      <c r="CS196" s="375"/>
      <c r="CT196" s="375"/>
      <c r="CU196" s="375"/>
      <c r="CV196" s="375"/>
      <c r="CW196" s="375"/>
      <c r="CX196" s="375"/>
      <c r="CY196" s="375"/>
      <c r="CZ196" s="375"/>
      <c r="DA196" s="375"/>
      <c r="DB196" s="375"/>
      <c r="DC196" s="375"/>
      <c r="DD196" s="375"/>
      <c r="DE196" s="375"/>
      <c r="DF196" s="375"/>
      <c r="DG196" s="375"/>
      <c r="DH196" s="375"/>
      <c r="DI196" s="375"/>
      <c r="DJ196" s="375"/>
      <c r="DK196" s="375"/>
      <c r="DL196" s="375"/>
      <c r="DM196" s="375"/>
      <c r="DN196" s="375"/>
      <c r="DO196" s="375"/>
      <c r="DP196" s="375"/>
      <c r="DQ196" s="375"/>
      <c r="DR196" s="375"/>
      <c r="DS196" s="375"/>
      <c r="DT196" s="375"/>
      <c r="DU196" s="375"/>
      <c r="DV196" s="375"/>
      <c r="DW196" s="375"/>
      <c r="DX196" s="375"/>
      <c r="DY196" s="375"/>
      <c r="DZ196" s="375"/>
      <c r="EA196" s="375"/>
      <c r="EB196" s="375"/>
      <c r="EC196" s="375"/>
      <c r="ED196" s="375"/>
      <c r="EE196" s="375"/>
      <c r="EF196" s="375"/>
      <c r="EG196" s="375"/>
      <c r="EH196" s="375"/>
      <c r="EI196" s="375"/>
      <c r="EJ196" s="375"/>
      <c r="EK196" s="375"/>
      <c r="EL196" s="375"/>
      <c r="EM196" s="375"/>
      <c r="EN196" s="375"/>
      <c r="EO196" s="375"/>
      <c r="EP196" s="375"/>
      <c r="EQ196" s="375"/>
      <c r="ER196" s="375"/>
      <c r="ES196" s="375"/>
      <c r="ET196" s="375"/>
      <c r="EU196" s="375"/>
      <c r="EV196" s="375"/>
      <c r="EW196" s="375"/>
      <c r="EX196" s="375"/>
      <c r="EY196" s="375"/>
      <c r="EZ196" s="375"/>
      <c r="FA196" s="375"/>
      <c r="FB196" s="375"/>
      <c r="FC196" s="375"/>
      <c r="FD196" s="375"/>
      <c r="FE196" s="375"/>
      <c r="FF196" s="375"/>
      <c r="FG196" s="375"/>
      <c r="FH196" s="375"/>
      <c r="FI196" s="375"/>
      <c r="FJ196" s="375"/>
      <c r="FK196" s="375"/>
      <c r="FL196" s="375"/>
      <c r="FM196" s="375"/>
      <c r="FN196" s="375"/>
      <c r="FO196" s="375"/>
      <c r="FP196" s="375"/>
      <c r="FQ196" s="375"/>
      <c r="FR196" s="375"/>
      <c r="FS196" s="375"/>
      <c r="FT196" s="375"/>
      <c r="FU196" s="375"/>
      <c r="FV196" s="375"/>
      <c r="FW196" s="375"/>
      <c r="FX196" s="375"/>
      <c r="FY196" s="375"/>
      <c r="FZ196" s="375"/>
      <c r="GA196" s="375"/>
      <c r="GB196" s="375"/>
      <c r="GC196" s="375"/>
      <c r="GD196" s="375"/>
      <c r="GE196" s="375"/>
      <c r="GF196" s="375"/>
      <c r="GG196" s="375"/>
      <c r="GH196" s="375"/>
      <c r="GI196" s="375"/>
      <c r="GJ196" s="375"/>
    </row>
    <row r="197" spans="49:192">
      <c r="AW197" s="375"/>
      <c r="AX197" s="375"/>
      <c r="AY197" s="375"/>
      <c r="AZ197" s="375"/>
      <c r="BA197" s="375"/>
      <c r="BB197" s="375"/>
      <c r="BC197" s="375"/>
      <c r="BD197" s="375"/>
      <c r="BE197" s="375"/>
      <c r="BF197" s="375"/>
      <c r="BG197" s="375"/>
      <c r="BH197" s="375"/>
      <c r="BI197" s="375"/>
      <c r="BJ197" s="375"/>
      <c r="BK197" s="375"/>
      <c r="BL197" s="375"/>
      <c r="BM197" s="375"/>
      <c r="BN197" s="375"/>
      <c r="BO197" s="375"/>
      <c r="BP197" s="375"/>
      <c r="BQ197" s="375"/>
      <c r="BR197" s="375"/>
      <c r="BS197" s="375"/>
      <c r="BT197" s="375"/>
      <c r="BU197" s="375"/>
      <c r="BV197" s="375"/>
      <c r="BW197" s="375"/>
      <c r="BX197" s="375"/>
      <c r="BY197" s="375"/>
      <c r="BZ197" s="375"/>
      <c r="CA197" s="375"/>
      <c r="CB197" s="375"/>
      <c r="CC197" s="375"/>
      <c r="CD197" s="375"/>
      <c r="CE197" s="375"/>
      <c r="CF197" s="375"/>
      <c r="CG197" s="375"/>
      <c r="CH197" s="375"/>
      <c r="CI197" s="375"/>
      <c r="CJ197" s="375"/>
      <c r="CK197" s="375"/>
      <c r="CL197" s="375"/>
      <c r="CM197" s="375"/>
      <c r="CN197" s="375"/>
      <c r="CO197" s="375"/>
      <c r="CP197" s="375"/>
      <c r="CQ197" s="375"/>
      <c r="CR197" s="375"/>
      <c r="CS197" s="375"/>
      <c r="CT197" s="375"/>
      <c r="CU197" s="375"/>
      <c r="CV197" s="375"/>
      <c r="CW197" s="375"/>
      <c r="CX197" s="375"/>
      <c r="CY197" s="375"/>
      <c r="CZ197" s="375"/>
      <c r="DA197" s="375"/>
      <c r="DB197" s="375"/>
      <c r="DC197" s="375"/>
      <c r="DD197" s="375"/>
      <c r="DE197" s="375"/>
      <c r="DF197" s="375"/>
      <c r="DG197" s="375"/>
      <c r="DH197" s="375"/>
      <c r="DI197" s="375"/>
      <c r="DJ197" s="375"/>
      <c r="DK197" s="375"/>
      <c r="DL197" s="375"/>
      <c r="DM197" s="375"/>
      <c r="DN197" s="375"/>
      <c r="DO197" s="375"/>
      <c r="DP197" s="375"/>
      <c r="DQ197" s="375"/>
      <c r="DR197" s="375"/>
      <c r="DS197" s="375"/>
      <c r="DT197" s="375"/>
      <c r="DU197" s="375"/>
      <c r="DV197" s="375"/>
      <c r="DW197" s="375"/>
      <c r="DX197" s="375"/>
      <c r="DY197" s="375"/>
      <c r="DZ197" s="375"/>
      <c r="EA197" s="375"/>
      <c r="EB197" s="375"/>
      <c r="EC197" s="375"/>
      <c r="ED197" s="375"/>
      <c r="EE197" s="375"/>
      <c r="EF197" s="375"/>
      <c r="EG197" s="375"/>
      <c r="EH197" s="375"/>
      <c r="EI197" s="375"/>
      <c r="EJ197" s="375"/>
      <c r="EK197" s="375"/>
      <c r="EL197" s="375"/>
      <c r="EM197" s="375"/>
      <c r="EN197" s="375"/>
      <c r="EO197" s="375"/>
      <c r="EP197" s="375"/>
      <c r="EQ197" s="375"/>
      <c r="ER197" s="375"/>
      <c r="ES197" s="375"/>
      <c r="ET197" s="375"/>
      <c r="EU197" s="375"/>
      <c r="EV197" s="375"/>
      <c r="EW197" s="375"/>
      <c r="EX197" s="375"/>
      <c r="EY197" s="375"/>
      <c r="EZ197" s="375"/>
      <c r="FA197" s="375"/>
      <c r="FB197" s="375"/>
      <c r="FC197" s="375"/>
      <c r="FD197" s="375"/>
      <c r="FE197" s="375"/>
      <c r="FF197" s="375"/>
      <c r="FG197" s="375"/>
      <c r="FH197" s="375"/>
      <c r="FI197" s="375"/>
      <c r="FJ197" s="375"/>
      <c r="FK197" s="375"/>
      <c r="FL197" s="375"/>
      <c r="FM197" s="375"/>
      <c r="FN197" s="375"/>
      <c r="FO197" s="375"/>
      <c r="FP197" s="375"/>
      <c r="FQ197" s="375"/>
      <c r="FR197" s="375"/>
      <c r="FS197" s="375"/>
      <c r="FT197" s="375"/>
      <c r="FU197" s="375"/>
      <c r="FV197" s="375"/>
      <c r="FW197" s="375"/>
      <c r="FX197" s="375"/>
      <c r="FY197" s="375"/>
      <c r="FZ197" s="375"/>
      <c r="GA197" s="375"/>
      <c r="GB197" s="375"/>
      <c r="GC197" s="375"/>
      <c r="GD197" s="375"/>
      <c r="GE197" s="375"/>
      <c r="GF197" s="375"/>
      <c r="GG197" s="375"/>
      <c r="GH197" s="375"/>
      <c r="GI197" s="375"/>
      <c r="GJ197" s="375"/>
    </row>
    <row r="198" spans="49:192">
      <c r="AW198" s="375"/>
      <c r="AX198" s="375"/>
      <c r="AY198" s="375"/>
      <c r="AZ198" s="375"/>
      <c r="BA198" s="375"/>
      <c r="BB198" s="375"/>
      <c r="BC198" s="375"/>
      <c r="BD198" s="375"/>
      <c r="BE198" s="375"/>
      <c r="BF198" s="375"/>
      <c r="BG198" s="375"/>
      <c r="BH198" s="375"/>
      <c r="BI198" s="375"/>
      <c r="BJ198" s="375"/>
      <c r="BK198" s="375"/>
      <c r="BL198" s="375"/>
      <c r="BM198" s="375"/>
      <c r="BN198" s="375"/>
      <c r="BO198" s="375"/>
      <c r="BP198" s="375"/>
      <c r="BQ198" s="375"/>
      <c r="BR198" s="375"/>
      <c r="BS198" s="375"/>
      <c r="BT198" s="375"/>
      <c r="BU198" s="375"/>
      <c r="BV198" s="375"/>
      <c r="BW198" s="375"/>
      <c r="BX198" s="375"/>
      <c r="BY198" s="375"/>
      <c r="BZ198" s="375"/>
      <c r="CA198" s="375"/>
      <c r="CB198" s="375"/>
      <c r="CC198" s="375"/>
      <c r="CD198" s="375"/>
      <c r="CE198" s="375"/>
      <c r="CF198" s="375"/>
      <c r="CG198" s="375"/>
      <c r="CH198" s="375"/>
      <c r="CI198" s="375"/>
      <c r="CJ198" s="375"/>
      <c r="CK198" s="375"/>
      <c r="CL198" s="375"/>
      <c r="CM198" s="375"/>
      <c r="CN198" s="375"/>
      <c r="CO198" s="375"/>
      <c r="CP198" s="375"/>
      <c r="CQ198" s="375"/>
      <c r="CR198" s="375"/>
      <c r="CS198" s="375"/>
      <c r="CT198" s="375"/>
      <c r="CU198" s="375"/>
      <c r="CV198" s="375"/>
      <c r="CW198" s="375"/>
      <c r="CX198" s="375"/>
      <c r="CY198" s="375"/>
      <c r="CZ198" s="375"/>
      <c r="DA198" s="375"/>
      <c r="DB198" s="375"/>
      <c r="DC198" s="375"/>
      <c r="DD198" s="375"/>
      <c r="DE198" s="375"/>
      <c r="DF198" s="375"/>
      <c r="DG198" s="375"/>
      <c r="DH198" s="375"/>
      <c r="DI198" s="375"/>
      <c r="DJ198" s="375"/>
      <c r="DK198" s="375"/>
      <c r="DL198" s="375"/>
      <c r="DM198" s="375"/>
      <c r="DN198" s="375"/>
      <c r="DO198" s="375"/>
      <c r="DP198" s="375"/>
      <c r="DQ198" s="375"/>
      <c r="DR198" s="375"/>
      <c r="DS198" s="375"/>
      <c r="DT198" s="375"/>
      <c r="DU198" s="375"/>
      <c r="DV198" s="375"/>
      <c r="DW198" s="375"/>
      <c r="DX198" s="375"/>
      <c r="DY198" s="375"/>
      <c r="DZ198" s="375"/>
      <c r="EA198" s="375"/>
      <c r="EB198" s="375"/>
      <c r="EC198" s="375"/>
      <c r="ED198" s="375"/>
      <c r="EE198" s="375"/>
      <c r="EF198" s="375"/>
      <c r="EG198" s="375"/>
      <c r="EH198" s="375"/>
      <c r="EI198" s="375"/>
      <c r="EJ198" s="375"/>
      <c r="EK198" s="375"/>
      <c r="EL198" s="375"/>
      <c r="EM198" s="375"/>
      <c r="EN198" s="375"/>
      <c r="EO198" s="375"/>
      <c r="EP198" s="375"/>
      <c r="EQ198" s="375"/>
      <c r="ER198" s="375"/>
      <c r="ES198" s="375"/>
      <c r="ET198" s="375"/>
      <c r="EU198" s="375"/>
      <c r="EV198" s="375"/>
      <c r="EW198" s="375"/>
      <c r="EX198" s="375"/>
      <c r="EY198" s="375"/>
      <c r="EZ198" s="375"/>
      <c r="FA198" s="375"/>
      <c r="FB198" s="375"/>
      <c r="FC198" s="375"/>
      <c r="FD198" s="375"/>
      <c r="FE198" s="375"/>
      <c r="FF198" s="375"/>
      <c r="FG198" s="375"/>
      <c r="FH198" s="375"/>
      <c r="FI198" s="375"/>
      <c r="FJ198" s="375"/>
      <c r="FK198" s="375"/>
      <c r="FL198" s="375"/>
      <c r="FM198" s="375"/>
      <c r="FN198" s="375"/>
      <c r="FO198" s="375"/>
      <c r="FP198" s="375"/>
      <c r="FQ198" s="375"/>
      <c r="FR198" s="375"/>
      <c r="FS198" s="375"/>
      <c r="FT198" s="375"/>
      <c r="FU198" s="375"/>
      <c r="FV198" s="375"/>
      <c r="FW198" s="375"/>
      <c r="FX198" s="375"/>
      <c r="FY198" s="375"/>
      <c r="FZ198" s="375"/>
      <c r="GA198" s="375"/>
      <c r="GB198" s="375"/>
      <c r="GC198" s="375"/>
      <c r="GD198" s="375"/>
      <c r="GE198" s="375"/>
      <c r="GF198" s="375"/>
      <c r="GG198" s="375"/>
      <c r="GH198" s="375"/>
      <c r="GI198" s="375"/>
      <c r="GJ198" s="375"/>
    </row>
    <row r="199" spans="49:192">
      <c r="AW199" s="375"/>
      <c r="AX199" s="375"/>
      <c r="AY199" s="375"/>
      <c r="AZ199" s="375"/>
      <c r="BA199" s="375"/>
      <c r="BB199" s="375"/>
      <c r="BC199" s="375"/>
      <c r="BD199" s="375"/>
      <c r="BE199" s="375"/>
      <c r="BF199" s="375"/>
      <c r="BG199" s="375"/>
      <c r="BH199" s="375"/>
      <c r="BI199" s="375"/>
      <c r="BJ199" s="375"/>
      <c r="BK199" s="375"/>
      <c r="BL199" s="375"/>
      <c r="BM199" s="375"/>
      <c r="BN199" s="375"/>
      <c r="BO199" s="375"/>
      <c r="BP199" s="375"/>
      <c r="BQ199" s="375"/>
      <c r="BR199" s="375"/>
      <c r="BS199" s="375"/>
      <c r="BT199" s="375"/>
      <c r="BU199" s="375"/>
      <c r="BV199" s="375"/>
      <c r="BW199" s="375"/>
      <c r="BX199" s="375"/>
      <c r="BY199" s="375"/>
      <c r="BZ199" s="375"/>
      <c r="CA199" s="375"/>
      <c r="CB199" s="375"/>
      <c r="CC199" s="375"/>
      <c r="CD199" s="375"/>
      <c r="CE199" s="375"/>
      <c r="CF199" s="375"/>
      <c r="CG199" s="375"/>
      <c r="CH199" s="375"/>
      <c r="CI199" s="375"/>
      <c r="CJ199" s="375"/>
      <c r="CK199" s="375"/>
      <c r="CL199" s="375"/>
      <c r="CM199" s="375"/>
      <c r="CN199" s="375"/>
      <c r="CO199" s="375"/>
      <c r="CP199" s="375"/>
      <c r="CQ199" s="375"/>
      <c r="CR199" s="375"/>
      <c r="CS199" s="375"/>
      <c r="CT199" s="375"/>
      <c r="CU199" s="375"/>
      <c r="CV199" s="375"/>
      <c r="CW199" s="375"/>
      <c r="CX199" s="375"/>
      <c r="CY199" s="375"/>
      <c r="CZ199" s="375"/>
      <c r="DA199" s="375"/>
      <c r="DB199" s="375"/>
      <c r="DC199" s="375"/>
      <c r="DD199" s="375"/>
      <c r="DE199" s="375"/>
      <c r="DF199" s="375"/>
      <c r="DG199" s="375"/>
      <c r="DH199" s="375"/>
      <c r="DI199" s="375"/>
      <c r="DJ199" s="375"/>
      <c r="DK199" s="375"/>
      <c r="DL199" s="375"/>
      <c r="DM199" s="375"/>
      <c r="DN199" s="375"/>
      <c r="DO199" s="375"/>
      <c r="DP199" s="375"/>
      <c r="DQ199" s="375"/>
      <c r="DR199" s="375"/>
      <c r="DS199" s="375"/>
      <c r="DT199" s="375"/>
      <c r="DU199" s="375"/>
      <c r="DV199" s="375"/>
      <c r="DW199" s="375"/>
      <c r="DX199" s="375"/>
      <c r="DY199" s="375"/>
      <c r="DZ199" s="375"/>
      <c r="EA199" s="375"/>
      <c r="EB199" s="375"/>
      <c r="EC199" s="375"/>
      <c r="ED199" s="375"/>
      <c r="EE199" s="375"/>
      <c r="EF199" s="375"/>
      <c r="EG199" s="375"/>
      <c r="EH199" s="375"/>
      <c r="EI199" s="375"/>
      <c r="EJ199" s="375"/>
      <c r="EK199" s="375"/>
      <c r="EL199" s="375"/>
      <c r="EM199" s="375"/>
      <c r="EN199" s="375"/>
      <c r="EO199" s="375"/>
      <c r="EP199" s="375"/>
      <c r="EQ199" s="375"/>
      <c r="ER199" s="375"/>
      <c r="ES199" s="375"/>
      <c r="ET199" s="375"/>
      <c r="EU199" s="375"/>
      <c r="EV199" s="375"/>
      <c r="EW199" s="375"/>
      <c r="EX199" s="375"/>
      <c r="EY199" s="375"/>
      <c r="EZ199" s="375"/>
      <c r="FA199" s="375"/>
      <c r="FB199" s="375"/>
      <c r="FC199" s="375"/>
      <c r="FD199" s="375"/>
      <c r="FE199" s="375"/>
      <c r="FF199" s="375"/>
      <c r="FG199" s="375"/>
      <c r="FH199" s="375"/>
      <c r="FI199" s="375"/>
      <c r="FJ199" s="375"/>
      <c r="FK199" s="375"/>
      <c r="FL199" s="375"/>
      <c r="FM199" s="375"/>
      <c r="FN199" s="375"/>
      <c r="FO199" s="375"/>
      <c r="FP199" s="375"/>
      <c r="FQ199" s="375"/>
      <c r="FR199" s="375"/>
      <c r="FS199" s="375"/>
      <c r="FT199" s="375"/>
      <c r="FU199" s="375"/>
      <c r="FV199" s="375"/>
      <c r="FW199" s="375"/>
      <c r="FX199" s="375"/>
      <c r="FY199" s="375"/>
      <c r="FZ199" s="375"/>
      <c r="GA199" s="375"/>
      <c r="GB199" s="375"/>
      <c r="GC199" s="375"/>
      <c r="GD199" s="375"/>
      <c r="GE199" s="375"/>
      <c r="GF199" s="375"/>
      <c r="GG199" s="375"/>
      <c r="GH199" s="375"/>
      <c r="GI199" s="375"/>
      <c r="GJ199" s="375"/>
    </row>
    <row r="200" spans="49:192">
      <c r="AW200" s="375"/>
      <c r="AX200" s="375"/>
      <c r="AY200" s="375"/>
      <c r="AZ200" s="375"/>
      <c r="BA200" s="375"/>
      <c r="BB200" s="375"/>
      <c r="BC200" s="375"/>
      <c r="BD200" s="375"/>
      <c r="BE200" s="375"/>
      <c r="BF200" s="375"/>
      <c r="BG200" s="375"/>
      <c r="BH200" s="375"/>
      <c r="BI200" s="375"/>
      <c r="BJ200" s="375"/>
      <c r="BK200" s="375"/>
      <c r="BL200" s="375"/>
      <c r="BM200" s="375"/>
      <c r="BN200" s="375"/>
      <c r="BO200" s="375"/>
      <c r="BP200" s="375"/>
      <c r="BQ200" s="375"/>
      <c r="BR200" s="375"/>
      <c r="BS200" s="375"/>
      <c r="BT200" s="375"/>
      <c r="BU200" s="375"/>
      <c r="BV200" s="375"/>
      <c r="BW200" s="375"/>
      <c r="BX200" s="375"/>
      <c r="BY200" s="375"/>
      <c r="BZ200" s="375"/>
      <c r="CA200" s="375"/>
      <c r="CB200" s="375"/>
      <c r="CC200" s="375"/>
      <c r="CD200" s="375"/>
      <c r="CE200" s="375"/>
      <c r="CF200" s="375"/>
      <c r="CG200" s="375"/>
      <c r="CH200" s="375"/>
      <c r="CI200" s="375"/>
      <c r="CJ200" s="375"/>
      <c r="CK200" s="375"/>
      <c r="CL200" s="375"/>
      <c r="CM200" s="375"/>
      <c r="CN200" s="375"/>
      <c r="CO200" s="375"/>
      <c r="CP200" s="375"/>
      <c r="CQ200" s="375"/>
      <c r="CR200" s="375"/>
      <c r="CS200" s="375"/>
      <c r="CT200" s="375"/>
      <c r="CU200" s="375"/>
      <c r="CV200" s="375"/>
      <c r="CW200" s="375"/>
      <c r="CX200" s="375"/>
      <c r="CY200" s="375"/>
      <c r="CZ200" s="375"/>
      <c r="DA200" s="375"/>
      <c r="DB200" s="375"/>
      <c r="DC200" s="375"/>
      <c r="DD200" s="375"/>
      <c r="DE200" s="375"/>
      <c r="DF200" s="375"/>
      <c r="DG200" s="375"/>
      <c r="DH200" s="375"/>
      <c r="DI200" s="375"/>
      <c r="DJ200" s="375"/>
      <c r="DK200" s="375"/>
      <c r="DL200" s="375"/>
      <c r="DM200" s="375"/>
      <c r="DN200" s="375"/>
      <c r="DO200" s="375"/>
      <c r="DP200" s="375"/>
      <c r="DQ200" s="375"/>
      <c r="DR200" s="375"/>
      <c r="DS200" s="375"/>
      <c r="DT200" s="375"/>
      <c r="DU200" s="375"/>
      <c r="DV200" s="375"/>
      <c r="DW200" s="375"/>
      <c r="DX200" s="375"/>
      <c r="DY200" s="375"/>
      <c r="DZ200" s="375"/>
      <c r="EA200" s="375"/>
      <c r="EB200" s="375"/>
      <c r="EC200" s="375"/>
      <c r="ED200" s="375"/>
      <c r="EE200" s="375"/>
      <c r="EF200" s="375"/>
      <c r="EG200" s="375"/>
      <c r="EH200" s="375"/>
      <c r="EI200" s="375"/>
      <c r="EJ200" s="375"/>
      <c r="EK200" s="375"/>
      <c r="EL200" s="375"/>
      <c r="EM200" s="375"/>
      <c r="EN200" s="375"/>
      <c r="EO200" s="375"/>
      <c r="EP200" s="375"/>
      <c r="EQ200" s="375"/>
      <c r="ER200" s="375"/>
      <c r="ES200" s="375"/>
      <c r="ET200" s="375"/>
      <c r="EU200" s="375"/>
      <c r="EV200" s="375"/>
      <c r="EW200" s="375"/>
      <c r="EX200" s="375"/>
      <c r="EY200" s="375"/>
      <c r="EZ200" s="375"/>
      <c r="FA200" s="375"/>
      <c r="FB200" s="375"/>
      <c r="FC200" s="375"/>
      <c r="FD200" s="375"/>
      <c r="FE200" s="375"/>
      <c r="FF200" s="375"/>
      <c r="FG200" s="375"/>
      <c r="FH200" s="375"/>
      <c r="FI200" s="375"/>
      <c r="FJ200" s="375"/>
      <c r="FK200" s="375"/>
      <c r="FL200" s="375"/>
      <c r="FM200" s="375"/>
      <c r="FN200" s="375"/>
      <c r="FO200" s="375"/>
      <c r="FP200" s="375"/>
      <c r="FQ200" s="375"/>
      <c r="FR200" s="375"/>
      <c r="FS200" s="375"/>
      <c r="FT200" s="375"/>
      <c r="FU200" s="375"/>
      <c r="FV200" s="375"/>
      <c r="FW200" s="375"/>
      <c r="FX200" s="375"/>
      <c r="FY200" s="375"/>
      <c r="FZ200" s="375"/>
      <c r="GA200" s="375"/>
      <c r="GB200" s="375"/>
      <c r="GC200" s="375"/>
      <c r="GD200" s="375"/>
      <c r="GE200" s="375"/>
      <c r="GF200" s="375"/>
      <c r="GG200" s="375"/>
      <c r="GH200" s="375"/>
      <c r="GI200" s="375"/>
      <c r="GJ200" s="375"/>
    </row>
    <row r="201" spans="49:192">
      <c r="AW201" s="375"/>
      <c r="AX201" s="375"/>
      <c r="AY201" s="375"/>
      <c r="AZ201" s="375"/>
      <c r="BA201" s="375"/>
      <c r="BB201" s="375"/>
      <c r="BC201" s="375"/>
      <c r="BD201" s="375"/>
      <c r="BE201" s="375"/>
      <c r="BF201" s="375"/>
      <c r="BG201" s="375"/>
      <c r="BH201" s="375"/>
      <c r="BI201" s="375"/>
      <c r="BJ201" s="375"/>
      <c r="BK201" s="375"/>
      <c r="BL201" s="375"/>
      <c r="BM201" s="375"/>
      <c r="BN201" s="375"/>
      <c r="BO201" s="375"/>
      <c r="BP201" s="375"/>
      <c r="BQ201" s="375"/>
      <c r="BR201" s="375"/>
      <c r="BS201" s="375"/>
      <c r="BT201" s="375"/>
      <c r="BU201" s="375"/>
      <c r="BV201" s="375"/>
      <c r="BW201" s="375"/>
      <c r="BX201" s="375"/>
      <c r="BY201" s="375"/>
      <c r="BZ201" s="375"/>
      <c r="CA201" s="375"/>
      <c r="CB201" s="375"/>
      <c r="CC201" s="375"/>
      <c r="CD201" s="375"/>
      <c r="CE201" s="375"/>
      <c r="CF201" s="375"/>
      <c r="CG201" s="375"/>
      <c r="CH201" s="375"/>
      <c r="CI201" s="375"/>
      <c r="CJ201" s="375"/>
      <c r="CK201" s="375"/>
      <c r="CL201" s="375"/>
      <c r="CM201" s="375"/>
      <c r="CN201" s="375"/>
      <c r="CO201" s="375"/>
      <c r="CP201" s="375"/>
      <c r="CQ201" s="375"/>
      <c r="CR201" s="375"/>
      <c r="CS201" s="375"/>
      <c r="CT201" s="375"/>
      <c r="CU201" s="375"/>
      <c r="CV201" s="375"/>
      <c r="CW201" s="375"/>
      <c r="CX201" s="375"/>
      <c r="CY201" s="375"/>
      <c r="CZ201" s="375"/>
      <c r="DA201" s="375"/>
      <c r="DB201" s="375"/>
      <c r="DC201" s="375"/>
      <c r="DD201" s="375"/>
      <c r="DE201" s="375"/>
      <c r="DF201" s="375"/>
      <c r="DG201" s="375"/>
      <c r="DH201" s="375"/>
      <c r="DI201" s="375"/>
      <c r="DJ201" s="375"/>
      <c r="DK201" s="375"/>
      <c r="DL201" s="375"/>
      <c r="DM201" s="375"/>
      <c r="DN201" s="375"/>
      <c r="DO201" s="375"/>
      <c r="DP201" s="375"/>
      <c r="DQ201" s="375"/>
      <c r="DR201" s="375"/>
      <c r="DS201" s="375"/>
      <c r="DT201" s="375"/>
      <c r="DU201" s="375"/>
      <c r="DV201" s="375"/>
      <c r="DW201" s="375"/>
      <c r="DX201" s="375"/>
      <c r="DY201" s="375"/>
      <c r="DZ201" s="375"/>
      <c r="EA201" s="375"/>
      <c r="EB201" s="375"/>
      <c r="EC201" s="375"/>
      <c r="ED201" s="375"/>
      <c r="EE201" s="375"/>
      <c r="EF201" s="375"/>
      <c r="EG201" s="375"/>
      <c r="EH201" s="375"/>
      <c r="EI201" s="375"/>
      <c r="EJ201" s="375"/>
      <c r="EK201" s="375"/>
      <c r="EL201" s="375"/>
      <c r="EM201" s="375"/>
      <c r="EN201" s="375"/>
      <c r="EO201" s="375"/>
      <c r="EP201" s="375"/>
      <c r="EQ201" s="375"/>
      <c r="ER201" s="375"/>
      <c r="ES201" s="375"/>
      <c r="ET201" s="375"/>
      <c r="EU201" s="375"/>
      <c r="EV201" s="375"/>
      <c r="EW201" s="375"/>
      <c r="EX201" s="375"/>
      <c r="EY201" s="375"/>
      <c r="EZ201" s="375"/>
      <c r="FA201" s="375"/>
      <c r="FB201" s="375"/>
      <c r="FC201" s="375"/>
      <c r="FD201" s="375"/>
      <c r="FE201" s="375"/>
      <c r="FF201" s="375"/>
      <c r="FG201" s="375"/>
      <c r="FH201" s="375"/>
      <c r="FI201" s="375"/>
      <c r="FJ201" s="375"/>
      <c r="FK201" s="375"/>
      <c r="FL201" s="375"/>
      <c r="FM201" s="375"/>
      <c r="FN201" s="375"/>
      <c r="FO201" s="375"/>
      <c r="FP201" s="375"/>
      <c r="FQ201" s="375"/>
      <c r="FR201" s="375"/>
      <c r="FS201" s="375"/>
      <c r="FT201" s="375"/>
      <c r="FU201" s="375"/>
      <c r="FV201" s="375"/>
      <c r="FW201" s="375"/>
      <c r="FX201" s="375"/>
      <c r="FY201" s="375"/>
      <c r="FZ201" s="375"/>
      <c r="GA201" s="375"/>
      <c r="GB201" s="375"/>
      <c r="GC201" s="375"/>
      <c r="GD201" s="375"/>
      <c r="GE201" s="375"/>
      <c r="GF201" s="375"/>
      <c r="GG201" s="375"/>
      <c r="GH201" s="375"/>
      <c r="GI201" s="375"/>
      <c r="GJ201" s="375"/>
    </row>
    <row r="202" spans="49:192">
      <c r="AW202" s="375"/>
      <c r="AX202" s="375"/>
      <c r="AY202" s="375"/>
      <c r="AZ202" s="375"/>
      <c r="BA202" s="375"/>
      <c r="BB202" s="375"/>
      <c r="BC202" s="375"/>
      <c r="BD202" s="375"/>
      <c r="BE202" s="375"/>
      <c r="BF202" s="375"/>
      <c r="BG202" s="375"/>
      <c r="BH202" s="375"/>
      <c r="BI202" s="375"/>
      <c r="BJ202" s="375"/>
      <c r="BK202" s="375"/>
      <c r="BL202" s="375"/>
      <c r="BM202" s="375"/>
      <c r="BN202" s="375"/>
      <c r="BO202" s="375"/>
      <c r="BP202" s="375"/>
      <c r="BQ202" s="375"/>
      <c r="BR202" s="375"/>
      <c r="BS202" s="375"/>
      <c r="BT202" s="375"/>
      <c r="BU202" s="375"/>
      <c r="BV202" s="375"/>
      <c r="BW202" s="375"/>
      <c r="BX202" s="375"/>
      <c r="BY202" s="375"/>
      <c r="BZ202" s="375"/>
      <c r="CA202" s="375"/>
      <c r="CB202" s="375"/>
      <c r="CC202" s="375"/>
      <c r="CD202" s="375"/>
      <c r="CE202" s="375"/>
      <c r="CF202" s="375"/>
      <c r="CG202" s="375"/>
      <c r="CH202" s="375"/>
      <c r="CI202" s="375"/>
      <c r="CJ202" s="375"/>
      <c r="CK202" s="375"/>
      <c r="CL202" s="375"/>
      <c r="CM202" s="375"/>
      <c r="CN202" s="375"/>
      <c r="CO202" s="375"/>
      <c r="CP202" s="375"/>
      <c r="CQ202" s="375"/>
      <c r="CR202" s="375"/>
      <c r="CS202" s="375"/>
      <c r="CT202" s="375"/>
      <c r="CU202" s="375"/>
      <c r="CV202" s="375"/>
      <c r="CW202" s="375"/>
      <c r="CX202" s="375"/>
      <c r="CY202" s="375"/>
      <c r="CZ202" s="375"/>
      <c r="DA202" s="375"/>
      <c r="DB202" s="375"/>
      <c r="DC202" s="375"/>
      <c r="DD202" s="375"/>
      <c r="DE202" s="375"/>
      <c r="DF202" s="375"/>
      <c r="DG202" s="375"/>
      <c r="DH202" s="375"/>
      <c r="DI202" s="375"/>
      <c r="DJ202" s="375"/>
      <c r="DK202" s="375"/>
      <c r="DL202" s="375"/>
      <c r="DM202" s="375"/>
      <c r="DN202" s="375"/>
      <c r="DO202" s="375"/>
      <c r="DP202" s="375"/>
      <c r="DQ202" s="375"/>
      <c r="DR202" s="375"/>
      <c r="DS202" s="375"/>
      <c r="DT202" s="375"/>
      <c r="DU202" s="375"/>
      <c r="DV202" s="375"/>
      <c r="DW202" s="375"/>
      <c r="DX202" s="375"/>
      <c r="DY202" s="375"/>
      <c r="DZ202" s="375"/>
      <c r="EA202" s="375"/>
      <c r="EB202" s="375"/>
      <c r="EC202" s="375"/>
      <c r="ED202" s="375"/>
      <c r="EE202" s="375"/>
      <c r="EF202" s="375"/>
      <c r="EG202" s="375"/>
      <c r="EH202" s="375"/>
      <c r="EI202" s="375"/>
      <c r="EJ202" s="375"/>
      <c r="EK202" s="375"/>
      <c r="EL202" s="375"/>
      <c r="EM202" s="375"/>
      <c r="EN202" s="375"/>
      <c r="EO202" s="375"/>
      <c r="EP202" s="375"/>
      <c r="EQ202" s="375"/>
      <c r="ER202" s="375"/>
      <c r="ES202" s="375"/>
      <c r="ET202" s="375"/>
      <c r="EU202" s="375"/>
      <c r="EV202" s="375"/>
      <c r="EW202" s="375"/>
      <c r="EX202" s="375"/>
      <c r="EY202" s="375"/>
      <c r="EZ202" s="375"/>
      <c r="FA202" s="375"/>
      <c r="FB202" s="375"/>
      <c r="FC202" s="375"/>
      <c r="FD202" s="375"/>
      <c r="FE202" s="375"/>
      <c r="FF202" s="375"/>
      <c r="FG202" s="375"/>
      <c r="FH202" s="375"/>
      <c r="FI202" s="375"/>
      <c r="FJ202" s="375"/>
      <c r="FK202" s="375"/>
      <c r="FL202" s="375"/>
      <c r="FM202" s="375"/>
      <c r="FN202" s="375"/>
      <c r="FO202" s="375"/>
      <c r="FP202" s="375"/>
      <c r="FQ202" s="375"/>
      <c r="FR202" s="375"/>
      <c r="FS202" s="375"/>
      <c r="FT202" s="375"/>
      <c r="FU202" s="375"/>
      <c r="FV202" s="375"/>
      <c r="FW202" s="375"/>
      <c r="FX202" s="375"/>
      <c r="FY202" s="375"/>
      <c r="FZ202" s="375"/>
      <c r="GA202" s="375"/>
      <c r="GB202" s="375"/>
      <c r="GC202" s="375"/>
      <c r="GD202" s="375"/>
      <c r="GE202" s="375"/>
      <c r="GF202" s="375"/>
      <c r="GG202" s="375"/>
      <c r="GH202" s="375"/>
      <c r="GI202" s="375"/>
      <c r="GJ202" s="375"/>
    </row>
    <row r="203" spans="49:192">
      <c r="AW203" s="375"/>
      <c r="AX203" s="375"/>
      <c r="AY203" s="375"/>
      <c r="AZ203" s="375"/>
      <c r="BA203" s="375"/>
      <c r="BB203" s="375"/>
      <c r="BC203" s="375"/>
      <c r="BD203" s="375"/>
      <c r="BE203" s="375"/>
      <c r="BF203" s="375"/>
      <c r="BG203" s="375"/>
      <c r="BH203" s="375"/>
      <c r="BI203" s="375"/>
      <c r="BJ203" s="375"/>
      <c r="BK203" s="375"/>
      <c r="BL203" s="375"/>
      <c r="BM203" s="375"/>
      <c r="BN203" s="375"/>
      <c r="BO203" s="375"/>
      <c r="BP203" s="375"/>
      <c r="BQ203" s="375"/>
      <c r="BR203" s="375"/>
      <c r="BS203" s="375"/>
      <c r="BT203" s="375"/>
      <c r="BU203" s="375"/>
      <c r="BV203" s="375"/>
      <c r="BW203" s="375"/>
      <c r="BX203" s="375"/>
      <c r="BY203" s="375"/>
      <c r="BZ203" s="375"/>
      <c r="CA203" s="375"/>
      <c r="CB203" s="375"/>
      <c r="CC203" s="375"/>
      <c r="CD203" s="375"/>
      <c r="CE203" s="375"/>
      <c r="CF203" s="375"/>
      <c r="CG203" s="375"/>
      <c r="CH203" s="375"/>
      <c r="CI203" s="375"/>
      <c r="CJ203" s="375"/>
      <c r="CK203" s="375"/>
      <c r="CL203" s="375"/>
      <c r="CM203" s="375"/>
      <c r="CN203" s="375"/>
      <c r="CO203" s="375"/>
      <c r="CP203" s="375"/>
      <c r="CQ203" s="375"/>
      <c r="CR203" s="375"/>
      <c r="CS203" s="375"/>
      <c r="CT203" s="375"/>
      <c r="CU203" s="375"/>
      <c r="CV203" s="375"/>
      <c r="CW203" s="375"/>
      <c r="CX203" s="375"/>
      <c r="CY203" s="375"/>
      <c r="CZ203" s="375"/>
      <c r="DA203" s="375"/>
      <c r="DB203" s="375"/>
      <c r="DC203" s="375"/>
      <c r="DD203" s="375"/>
      <c r="DE203" s="375"/>
      <c r="DF203" s="375"/>
      <c r="DG203" s="375"/>
      <c r="DH203" s="375"/>
      <c r="DI203" s="375"/>
      <c r="DJ203" s="375"/>
      <c r="DK203" s="375"/>
      <c r="DL203" s="375"/>
      <c r="DM203" s="375"/>
      <c r="DN203" s="375"/>
      <c r="DO203" s="375"/>
      <c r="DP203" s="375"/>
      <c r="DQ203" s="375"/>
      <c r="DR203" s="375"/>
      <c r="DS203" s="375"/>
      <c r="DT203" s="375"/>
      <c r="DU203" s="375"/>
      <c r="DV203" s="375"/>
      <c r="DW203" s="375"/>
      <c r="DX203" s="375"/>
      <c r="DY203" s="375"/>
      <c r="DZ203" s="375"/>
      <c r="EA203" s="375"/>
      <c r="EB203" s="375"/>
      <c r="EC203" s="375"/>
      <c r="ED203" s="375"/>
      <c r="EE203" s="375"/>
      <c r="EF203" s="375"/>
      <c r="EG203" s="375"/>
      <c r="EH203" s="375"/>
      <c r="EI203" s="375"/>
      <c r="EJ203" s="375"/>
      <c r="EK203" s="375"/>
      <c r="EL203" s="375"/>
      <c r="EM203" s="375"/>
      <c r="EN203" s="375"/>
      <c r="EO203" s="375"/>
      <c r="EP203" s="375"/>
      <c r="EQ203" s="375"/>
      <c r="ER203" s="375"/>
      <c r="ES203" s="375"/>
      <c r="ET203" s="375"/>
      <c r="EU203" s="375"/>
      <c r="EV203" s="375"/>
      <c r="EW203" s="375"/>
      <c r="EX203" s="375"/>
      <c r="EY203" s="375"/>
      <c r="EZ203" s="375"/>
      <c r="FA203" s="375"/>
      <c r="FB203" s="375"/>
      <c r="FC203" s="375"/>
      <c r="FD203" s="375"/>
      <c r="FE203" s="375"/>
      <c r="FF203" s="375"/>
      <c r="FG203" s="375"/>
      <c r="FH203" s="375"/>
      <c r="FI203" s="375"/>
      <c r="FJ203" s="375"/>
      <c r="FK203" s="375"/>
      <c r="FL203" s="375"/>
      <c r="FM203" s="375"/>
      <c r="FN203" s="375"/>
      <c r="FO203" s="375"/>
      <c r="FP203" s="375"/>
      <c r="FQ203" s="375"/>
      <c r="FR203" s="375"/>
      <c r="FS203" s="375"/>
      <c r="FT203" s="375"/>
      <c r="FU203" s="375"/>
      <c r="FV203" s="375"/>
      <c r="FW203" s="375"/>
      <c r="FX203" s="375"/>
      <c r="FY203" s="375"/>
      <c r="FZ203" s="375"/>
      <c r="GA203" s="375"/>
      <c r="GB203" s="375"/>
      <c r="GC203" s="375"/>
      <c r="GD203" s="375"/>
      <c r="GE203" s="375"/>
      <c r="GF203" s="375"/>
      <c r="GG203" s="375"/>
      <c r="GH203" s="375"/>
      <c r="GI203" s="375"/>
      <c r="GJ203" s="375"/>
    </row>
    <row r="204" spans="49:192">
      <c r="AW204" s="375"/>
      <c r="AX204" s="375"/>
      <c r="AY204" s="375"/>
      <c r="AZ204" s="375"/>
      <c r="BA204" s="375"/>
      <c r="BB204" s="375"/>
      <c r="BC204" s="375"/>
      <c r="BD204" s="375"/>
      <c r="BE204" s="375"/>
      <c r="BF204" s="375"/>
      <c r="BG204" s="375"/>
      <c r="BH204" s="375"/>
      <c r="BI204" s="375"/>
      <c r="BJ204" s="375"/>
      <c r="BK204" s="375"/>
      <c r="BL204" s="375"/>
      <c r="BM204" s="375"/>
      <c r="BN204" s="375"/>
      <c r="BO204" s="375"/>
      <c r="BP204" s="375"/>
      <c r="BQ204" s="375"/>
      <c r="BR204" s="375"/>
      <c r="BS204" s="375"/>
      <c r="BT204" s="375"/>
      <c r="BU204" s="375"/>
      <c r="BV204" s="375"/>
      <c r="BW204" s="375"/>
      <c r="BX204" s="375"/>
      <c r="BY204" s="375"/>
      <c r="BZ204" s="375"/>
      <c r="CA204" s="375"/>
      <c r="CB204" s="375"/>
      <c r="CC204" s="375"/>
      <c r="CD204" s="375"/>
      <c r="CE204" s="375"/>
      <c r="CF204" s="375"/>
      <c r="CG204" s="375"/>
      <c r="CH204" s="375"/>
      <c r="CI204" s="375"/>
      <c r="CJ204" s="375"/>
      <c r="CK204" s="375"/>
      <c r="CL204" s="375"/>
      <c r="CM204" s="375"/>
      <c r="CN204" s="375"/>
      <c r="CO204" s="375"/>
      <c r="CP204" s="375"/>
      <c r="CQ204" s="375"/>
      <c r="CR204" s="375"/>
      <c r="CS204" s="375"/>
      <c r="CT204" s="375"/>
      <c r="CU204" s="375"/>
      <c r="CV204" s="375"/>
      <c r="CW204" s="375"/>
      <c r="CX204" s="375"/>
      <c r="CY204" s="375"/>
      <c r="CZ204" s="375"/>
      <c r="DA204" s="375"/>
      <c r="DB204" s="375"/>
      <c r="DC204" s="375"/>
      <c r="DD204" s="375"/>
      <c r="DE204" s="375"/>
      <c r="DF204" s="375"/>
      <c r="DG204" s="375"/>
      <c r="DH204" s="375"/>
      <c r="DI204" s="375"/>
      <c r="DJ204" s="375"/>
      <c r="DK204" s="375"/>
      <c r="DL204" s="375"/>
      <c r="DM204" s="375"/>
      <c r="DN204" s="375"/>
      <c r="DO204" s="375"/>
      <c r="DP204" s="375"/>
      <c r="DQ204" s="375"/>
      <c r="DR204" s="375"/>
      <c r="DS204" s="375"/>
      <c r="DT204" s="375"/>
      <c r="DU204" s="375"/>
      <c r="DV204" s="375"/>
      <c r="DW204" s="375"/>
      <c r="DX204" s="375"/>
      <c r="DY204" s="375"/>
      <c r="DZ204" s="375"/>
      <c r="EA204" s="375"/>
      <c r="EB204" s="375"/>
      <c r="EC204" s="375"/>
      <c r="ED204" s="375"/>
      <c r="EE204" s="375"/>
      <c r="EF204" s="375"/>
      <c r="EG204" s="375"/>
      <c r="EH204" s="375"/>
      <c r="EI204" s="375"/>
      <c r="EJ204" s="375"/>
      <c r="EK204" s="375"/>
      <c r="EL204" s="375"/>
      <c r="EM204" s="375"/>
      <c r="EN204" s="375"/>
      <c r="EO204" s="375"/>
      <c r="EP204" s="375"/>
      <c r="EQ204" s="375"/>
      <c r="ER204" s="375"/>
      <c r="ES204" s="375"/>
      <c r="ET204" s="375"/>
      <c r="EU204" s="375"/>
      <c r="EV204" s="375"/>
      <c r="EW204" s="375"/>
      <c r="EX204" s="375"/>
      <c r="EY204" s="375"/>
      <c r="EZ204" s="375"/>
      <c r="FA204" s="375"/>
      <c r="FB204" s="375"/>
      <c r="FC204" s="375"/>
      <c r="FD204" s="375"/>
      <c r="FE204" s="375"/>
      <c r="FF204" s="375"/>
      <c r="FG204" s="375"/>
      <c r="FH204" s="375"/>
      <c r="FI204" s="375"/>
      <c r="FJ204" s="375"/>
      <c r="FK204" s="375"/>
      <c r="FL204" s="375"/>
      <c r="FM204" s="375"/>
      <c r="FN204" s="375"/>
      <c r="FO204" s="375"/>
      <c r="FP204" s="375"/>
      <c r="FQ204" s="375"/>
      <c r="FR204" s="375"/>
      <c r="FS204" s="375"/>
      <c r="FT204" s="375"/>
      <c r="FU204" s="375"/>
      <c r="FV204" s="375"/>
      <c r="FW204" s="375"/>
      <c r="FX204" s="375"/>
      <c r="FY204" s="375"/>
      <c r="FZ204" s="375"/>
      <c r="GA204" s="375"/>
      <c r="GB204" s="375"/>
      <c r="GC204" s="375"/>
      <c r="GD204" s="375"/>
      <c r="GE204" s="375"/>
      <c r="GF204" s="375"/>
      <c r="GG204" s="375"/>
      <c r="GH204" s="375"/>
      <c r="GI204" s="375"/>
      <c r="GJ204" s="375"/>
    </row>
    <row r="205" spans="49:192">
      <c r="AW205" s="375"/>
      <c r="AX205" s="375"/>
      <c r="AY205" s="375"/>
      <c r="AZ205" s="375"/>
      <c r="BA205" s="375"/>
      <c r="BB205" s="375"/>
      <c r="BC205" s="375"/>
      <c r="BD205" s="375"/>
      <c r="BE205" s="375"/>
      <c r="BF205" s="375"/>
      <c r="BG205" s="375"/>
      <c r="BH205" s="375"/>
      <c r="BI205" s="375"/>
      <c r="BJ205" s="375"/>
      <c r="BK205" s="375"/>
      <c r="BL205" s="375"/>
      <c r="BM205" s="375"/>
      <c r="BN205" s="375"/>
      <c r="BO205" s="375"/>
      <c r="BP205" s="375"/>
      <c r="BQ205" s="375"/>
      <c r="BR205" s="375"/>
      <c r="BS205" s="375"/>
      <c r="BT205" s="375"/>
      <c r="BU205" s="375"/>
      <c r="BV205" s="375"/>
      <c r="BW205" s="375"/>
      <c r="BX205" s="375"/>
      <c r="BY205" s="375"/>
      <c r="BZ205" s="375"/>
      <c r="CA205" s="375"/>
      <c r="CB205" s="375"/>
      <c r="CC205" s="375"/>
      <c r="CD205" s="375"/>
      <c r="CE205" s="375"/>
      <c r="CF205" s="375"/>
      <c r="CG205" s="375"/>
      <c r="CH205" s="375"/>
      <c r="CI205" s="375"/>
      <c r="CJ205" s="375"/>
      <c r="CK205" s="375"/>
      <c r="CL205" s="375"/>
      <c r="CM205" s="375"/>
      <c r="CN205" s="375"/>
      <c r="CO205" s="375"/>
      <c r="CP205" s="375"/>
      <c r="CQ205" s="375"/>
      <c r="CR205" s="375"/>
      <c r="CS205" s="375"/>
      <c r="CT205" s="375"/>
      <c r="CU205" s="375"/>
      <c r="CV205" s="375"/>
      <c r="CW205" s="375"/>
      <c r="CX205" s="375"/>
      <c r="CY205" s="375"/>
      <c r="CZ205" s="375"/>
      <c r="DA205" s="375"/>
      <c r="DB205" s="375"/>
      <c r="DC205" s="375"/>
      <c r="DD205" s="375"/>
      <c r="DE205" s="375"/>
      <c r="DF205" s="375"/>
      <c r="DG205" s="375"/>
      <c r="DH205" s="375"/>
      <c r="DI205" s="375"/>
      <c r="DJ205" s="375"/>
      <c r="DK205" s="375"/>
      <c r="DL205" s="375"/>
      <c r="DM205" s="375"/>
      <c r="DN205" s="375"/>
      <c r="DO205" s="375"/>
      <c r="DP205" s="375"/>
      <c r="DQ205" s="375"/>
      <c r="DR205" s="375"/>
      <c r="DS205" s="375"/>
      <c r="DT205" s="375"/>
      <c r="DU205" s="375"/>
      <c r="DV205" s="375"/>
      <c r="DW205" s="375"/>
      <c r="DX205" s="375"/>
      <c r="DY205" s="375"/>
      <c r="DZ205" s="375"/>
      <c r="EA205" s="375"/>
      <c r="EB205" s="375"/>
      <c r="EC205" s="375"/>
      <c r="ED205" s="375"/>
      <c r="EE205" s="375"/>
      <c r="EF205" s="375"/>
      <c r="EG205" s="375"/>
      <c r="EH205" s="375"/>
      <c r="EI205" s="375"/>
      <c r="EJ205" s="375"/>
      <c r="EK205" s="375"/>
      <c r="EL205" s="375"/>
      <c r="EM205" s="375"/>
      <c r="EN205" s="375"/>
      <c r="EO205" s="375"/>
      <c r="EP205" s="375"/>
      <c r="EQ205" s="375"/>
      <c r="ER205" s="375"/>
      <c r="ES205" s="375"/>
      <c r="ET205" s="375"/>
      <c r="EU205" s="375"/>
      <c r="EV205" s="375"/>
      <c r="EW205" s="375"/>
      <c r="EX205" s="375"/>
      <c r="EY205" s="375"/>
      <c r="EZ205" s="375"/>
      <c r="FA205" s="375"/>
      <c r="FB205" s="375"/>
      <c r="FC205" s="375"/>
      <c r="FD205" s="375"/>
      <c r="FE205" s="375"/>
      <c r="FF205" s="375"/>
      <c r="FG205" s="375"/>
      <c r="FH205" s="375"/>
      <c r="FI205" s="375"/>
      <c r="FJ205" s="375"/>
      <c r="FK205" s="375"/>
      <c r="FL205" s="375"/>
      <c r="FM205" s="375"/>
      <c r="FN205" s="375"/>
      <c r="FO205" s="375"/>
      <c r="FP205" s="375"/>
      <c r="FQ205" s="375"/>
      <c r="FR205" s="375"/>
      <c r="FS205" s="375"/>
      <c r="FT205" s="375"/>
      <c r="FU205" s="375"/>
      <c r="FV205" s="375"/>
      <c r="FW205" s="375"/>
      <c r="FX205" s="375"/>
      <c r="FY205" s="375"/>
      <c r="FZ205" s="375"/>
      <c r="GA205" s="375"/>
      <c r="GB205" s="375"/>
      <c r="GC205" s="375"/>
      <c r="GD205" s="375"/>
      <c r="GE205" s="375"/>
      <c r="GF205" s="375"/>
      <c r="GG205" s="375"/>
      <c r="GH205" s="375"/>
      <c r="GI205" s="375"/>
      <c r="GJ205" s="375"/>
    </row>
    <row r="206" spans="49:192">
      <c r="AW206" s="375"/>
      <c r="AX206" s="375"/>
      <c r="AY206" s="375"/>
      <c r="AZ206" s="375"/>
      <c r="BA206" s="375"/>
      <c r="BB206" s="375"/>
      <c r="BC206" s="375"/>
      <c r="BD206" s="375"/>
      <c r="BE206" s="375"/>
      <c r="BF206" s="375"/>
      <c r="BG206" s="375"/>
      <c r="BH206" s="375"/>
      <c r="BI206" s="375"/>
      <c r="BJ206" s="375"/>
      <c r="BK206" s="375"/>
      <c r="BL206" s="375"/>
      <c r="BM206" s="375"/>
      <c r="BN206" s="375"/>
      <c r="BO206" s="375"/>
      <c r="BP206" s="375"/>
      <c r="BQ206" s="375"/>
      <c r="BR206" s="375"/>
      <c r="BS206" s="375"/>
      <c r="BT206" s="375"/>
      <c r="BU206" s="375"/>
      <c r="BV206" s="375"/>
      <c r="BW206" s="375"/>
      <c r="BX206" s="375"/>
      <c r="BY206" s="375"/>
      <c r="BZ206" s="375"/>
      <c r="CA206" s="375"/>
      <c r="CB206" s="375"/>
      <c r="CC206" s="375"/>
      <c r="CD206" s="375"/>
      <c r="CE206" s="375"/>
      <c r="CF206" s="375"/>
      <c r="CG206" s="375"/>
      <c r="CH206" s="375"/>
      <c r="CI206" s="375"/>
      <c r="CJ206" s="375"/>
      <c r="CK206" s="375"/>
      <c r="CL206" s="375"/>
      <c r="CM206" s="375"/>
      <c r="CN206" s="375"/>
      <c r="CO206" s="375"/>
      <c r="CP206" s="375"/>
      <c r="CQ206" s="375"/>
      <c r="CR206" s="375"/>
      <c r="CS206" s="375"/>
      <c r="CT206" s="375"/>
      <c r="CU206" s="375"/>
      <c r="CV206" s="375"/>
      <c r="CW206" s="375"/>
      <c r="CX206" s="375"/>
      <c r="CY206" s="375"/>
      <c r="CZ206" s="375"/>
      <c r="DA206" s="375"/>
      <c r="DB206" s="375"/>
      <c r="DC206" s="375"/>
      <c r="DD206" s="375"/>
      <c r="DE206" s="375"/>
      <c r="DF206" s="375"/>
      <c r="DG206" s="375"/>
      <c r="DH206" s="375"/>
      <c r="DI206" s="375"/>
      <c r="DJ206" s="375"/>
      <c r="DK206" s="375"/>
      <c r="DL206" s="375"/>
      <c r="DM206" s="375"/>
      <c r="DN206" s="375"/>
      <c r="DO206" s="375"/>
      <c r="DP206" s="375"/>
      <c r="DQ206" s="375"/>
      <c r="DR206" s="375"/>
      <c r="DS206" s="375"/>
      <c r="DT206" s="375"/>
      <c r="DU206" s="375"/>
      <c r="DV206" s="375"/>
      <c r="DW206" s="375"/>
      <c r="DX206" s="375"/>
      <c r="DY206" s="375"/>
      <c r="DZ206" s="375"/>
      <c r="EA206" s="375"/>
      <c r="EB206" s="375"/>
      <c r="EC206" s="375"/>
      <c r="ED206" s="375"/>
      <c r="EE206" s="375"/>
      <c r="EF206" s="375"/>
      <c r="EG206" s="375"/>
      <c r="EH206" s="375"/>
      <c r="EI206" s="375"/>
      <c r="EJ206" s="375"/>
      <c r="EK206" s="375"/>
      <c r="EL206" s="375"/>
      <c r="EM206" s="375"/>
      <c r="EN206" s="375"/>
      <c r="EO206" s="375"/>
      <c r="EP206" s="375"/>
      <c r="EQ206" s="375"/>
      <c r="ER206" s="375"/>
      <c r="ES206" s="375"/>
      <c r="ET206" s="375"/>
      <c r="EU206" s="375"/>
      <c r="EV206" s="375"/>
      <c r="EW206" s="375"/>
      <c r="EX206" s="375"/>
      <c r="EY206" s="375"/>
      <c r="EZ206" s="375"/>
      <c r="FA206" s="375"/>
      <c r="FB206" s="375"/>
      <c r="FC206" s="375"/>
      <c r="FD206" s="375"/>
      <c r="FE206" s="375"/>
      <c r="FF206" s="375"/>
      <c r="FG206" s="375"/>
      <c r="FH206" s="375"/>
      <c r="FI206" s="375"/>
      <c r="FJ206" s="375"/>
      <c r="FK206" s="375"/>
      <c r="FL206" s="375"/>
      <c r="FM206" s="375"/>
      <c r="FN206" s="375"/>
      <c r="FO206" s="375"/>
      <c r="FP206" s="375"/>
      <c r="FQ206" s="375"/>
      <c r="FR206" s="375"/>
      <c r="FS206" s="375"/>
      <c r="FT206" s="375"/>
      <c r="FU206" s="375"/>
      <c r="FV206" s="375"/>
      <c r="FW206" s="375"/>
      <c r="FX206" s="375"/>
      <c r="FY206" s="375"/>
      <c r="FZ206" s="375"/>
      <c r="GA206" s="375"/>
      <c r="GB206" s="375"/>
      <c r="GC206" s="375"/>
      <c r="GD206" s="375"/>
      <c r="GE206" s="375"/>
      <c r="GF206" s="375"/>
      <c r="GG206" s="375"/>
      <c r="GH206" s="375"/>
      <c r="GI206" s="375"/>
      <c r="GJ206" s="375"/>
    </row>
    <row r="207" spans="49:192">
      <c r="AW207" s="375"/>
      <c r="AX207" s="375"/>
      <c r="AY207" s="375"/>
      <c r="AZ207" s="375"/>
      <c r="BA207" s="375"/>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5"/>
      <c r="BY207" s="375"/>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5"/>
      <c r="CW207" s="375"/>
      <c r="CX207" s="375"/>
      <c r="CY207" s="375"/>
      <c r="CZ207" s="375"/>
      <c r="DA207" s="375"/>
      <c r="DB207" s="375"/>
      <c r="DC207" s="375"/>
      <c r="DD207" s="375"/>
      <c r="DE207" s="375"/>
      <c r="DF207" s="375"/>
      <c r="DG207" s="375"/>
      <c r="DH207" s="375"/>
      <c r="DI207" s="375"/>
      <c r="DJ207" s="375"/>
      <c r="DK207" s="375"/>
      <c r="DL207" s="375"/>
      <c r="DM207" s="375"/>
      <c r="DN207" s="375"/>
      <c r="DO207" s="375"/>
      <c r="DP207" s="375"/>
      <c r="DQ207" s="375"/>
      <c r="DR207" s="375"/>
      <c r="DS207" s="375"/>
      <c r="DT207" s="375"/>
      <c r="DU207" s="375"/>
      <c r="DV207" s="375"/>
      <c r="DW207" s="375"/>
      <c r="DX207" s="375"/>
      <c r="DY207" s="375"/>
      <c r="DZ207" s="375"/>
      <c r="EA207" s="375"/>
      <c r="EB207" s="375"/>
      <c r="EC207" s="375"/>
      <c r="ED207" s="375"/>
      <c r="EE207" s="375"/>
      <c r="EF207" s="375"/>
      <c r="EG207" s="375"/>
      <c r="EH207" s="375"/>
      <c r="EI207" s="375"/>
      <c r="EJ207" s="375"/>
      <c r="EK207" s="375"/>
      <c r="EL207" s="375"/>
      <c r="EM207" s="375"/>
      <c r="EN207" s="375"/>
      <c r="EO207" s="375"/>
      <c r="EP207" s="375"/>
      <c r="EQ207" s="375"/>
      <c r="ER207" s="375"/>
      <c r="ES207" s="375"/>
      <c r="ET207" s="375"/>
      <c r="EU207" s="375"/>
      <c r="EV207" s="375"/>
      <c r="EW207" s="375"/>
      <c r="EX207" s="375"/>
      <c r="EY207" s="375"/>
      <c r="EZ207" s="375"/>
      <c r="FA207" s="375"/>
      <c r="FB207" s="375"/>
      <c r="FC207" s="375"/>
      <c r="FD207" s="375"/>
      <c r="FE207" s="375"/>
      <c r="FF207" s="375"/>
      <c r="FG207" s="375"/>
      <c r="FH207" s="375"/>
      <c r="FI207" s="375"/>
      <c r="FJ207" s="375"/>
      <c r="FK207" s="375"/>
      <c r="FL207" s="375"/>
      <c r="FM207" s="375"/>
      <c r="FN207" s="375"/>
      <c r="FO207" s="375"/>
      <c r="FP207" s="375"/>
      <c r="FQ207" s="375"/>
      <c r="FR207" s="375"/>
      <c r="FS207" s="375"/>
      <c r="FT207" s="375"/>
      <c r="FU207" s="375"/>
      <c r="FV207" s="375"/>
      <c r="FW207" s="375"/>
      <c r="FX207" s="375"/>
      <c r="FY207" s="375"/>
      <c r="FZ207" s="375"/>
      <c r="GA207" s="375"/>
      <c r="GB207" s="375"/>
      <c r="GC207" s="375"/>
      <c r="GD207" s="375"/>
      <c r="GE207" s="375"/>
      <c r="GF207" s="375"/>
      <c r="GG207" s="375"/>
      <c r="GH207" s="375"/>
      <c r="GI207" s="375"/>
      <c r="GJ207" s="375"/>
    </row>
    <row r="208" spans="49:192">
      <c r="AW208" s="375"/>
      <c r="AX208" s="375"/>
      <c r="AY208" s="375"/>
      <c r="AZ208" s="375"/>
      <c r="BA208" s="375"/>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5"/>
      <c r="BY208" s="375"/>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5"/>
      <c r="CW208" s="375"/>
      <c r="CX208" s="375"/>
      <c r="CY208" s="375"/>
      <c r="CZ208" s="375"/>
      <c r="DA208" s="375"/>
      <c r="DB208" s="375"/>
      <c r="DC208" s="375"/>
      <c r="DD208" s="375"/>
      <c r="DE208" s="375"/>
      <c r="DF208" s="375"/>
      <c r="DG208" s="375"/>
      <c r="DH208" s="375"/>
      <c r="DI208" s="375"/>
      <c r="DJ208" s="375"/>
      <c r="DK208" s="375"/>
      <c r="DL208" s="375"/>
      <c r="DM208" s="375"/>
      <c r="DN208" s="375"/>
      <c r="DO208" s="375"/>
      <c r="DP208" s="375"/>
      <c r="DQ208" s="375"/>
      <c r="DR208" s="375"/>
      <c r="DS208" s="375"/>
      <c r="DT208" s="375"/>
      <c r="DU208" s="375"/>
      <c r="DV208" s="375"/>
      <c r="DW208" s="375"/>
      <c r="DX208" s="375"/>
      <c r="DY208" s="375"/>
      <c r="DZ208" s="375"/>
      <c r="EA208" s="375"/>
      <c r="EB208" s="375"/>
      <c r="EC208" s="375"/>
      <c r="ED208" s="375"/>
      <c r="EE208" s="375"/>
      <c r="EF208" s="375"/>
      <c r="EG208" s="375"/>
      <c r="EH208" s="375"/>
      <c r="EI208" s="375"/>
      <c r="EJ208" s="375"/>
      <c r="EK208" s="375"/>
      <c r="EL208" s="375"/>
      <c r="EM208" s="375"/>
      <c r="EN208" s="375"/>
      <c r="EO208" s="375"/>
      <c r="EP208" s="375"/>
      <c r="EQ208" s="375"/>
      <c r="ER208" s="375"/>
      <c r="ES208" s="375"/>
      <c r="ET208" s="375"/>
      <c r="EU208" s="375"/>
      <c r="EV208" s="375"/>
      <c r="EW208" s="375"/>
      <c r="EX208" s="375"/>
      <c r="EY208" s="375"/>
      <c r="EZ208" s="375"/>
      <c r="FA208" s="375"/>
      <c r="FB208" s="375"/>
      <c r="FC208" s="375"/>
      <c r="FD208" s="375"/>
      <c r="FE208" s="375"/>
      <c r="FF208" s="375"/>
      <c r="FG208" s="375"/>
      <c r="FH208" s="375"/>
      <c r="FI208" s="375"/>
      <c r="FJ208" s="375"/>
      <c r="FK208" s="375"/>
      <c r="FL208" s="375"/>
      <c r="FM208" s="375"/>
      <c r="FN208" s="375"/>
      <c r="FO208" s="375"/>
      <c r="FP208" s="375"/>
      <c r="FQ208" s="375"/>
      <c r="FR208" s="375"/>
      <c r="FS208" s="375"/>
      <c r="FT208" s="375"/>
      <c r="FU208" s="375"/>
      <c r="FV208" s="375"/>
      <c r="FW208" s="375"/>
      <c r="FX208" s="375"/>
      <c r="FY208" s="375"/>
      <c r="FZ208" s="375"/>
      <c r="GA208" s="375"/>
      <c r="GB208" s="375"/>
      <c r="GC208" s="375"/>
      <c r="GD208" s="375"/>
      <c r="GE208" s="375"/>
      <c r="GF208" s="375"/>
      <c r="GG208" s="375"/>
      <c r="GH208" s="375"/>
      <c r="GI208" s="375"/>
      <c r="GJ208" s="375"/>
    </row>
    <row r="209" spans="49:192">
      <c r="AW209" s="375"/>
      <c r="AX209" s="375"/>
      <c r="AY209" s="375"/>
      <c r="AZ209" s="375"/>
      <c r="BA209" s="375"/>
      <c r="BB209" s="375"/>
      <c r="BC209" s="375"/>
      <c r="BD209" s="375"/>
      <c r="BE209" s="375"/>
      <c r="BF209" s="375"/>
      <c r="BG209" s="375"/>
      <c r="BH209" s="375"/>
      <c r="BI209" s="375"/>
      <c r="BJ209" s="375"/>
      <c r="BK209" s="375"/>
      <c r="BL209" s="375"/>
      <c r="BM209" s="375"/>
      <c r="BN209" s="375"/>
      <c r="BO209" s="375"/>
      <c r="BP209" s="375"/>
      <c r="BQ209" s="375"/>
      <c r="BR209" s="375"/>
      <c r="BS209" s="375"/>
      <c r="BT209" s="375"/>
      <c r="BU209" s="375"/>
      <c r="BV209" s="375"/>
      <c r="BW209" s="375"/>
      <c r="BX209" s="375"/>
      <c r="BY209" s="375"/>
      <c r="BZ209" s="375"/>
      <c r="CA209" s="375"/>
      <c r="CB209" s="375"/>
      <c r="CC209" s="375"/>
      <c r="CD209" s="375"/>
      <c r="CE209" s="375"/>
      <c r="CF209" s="375"/>
      <c r="CG209" s="375"/>
      <c r="CH209" s="375"/>
      <c r="CI209" s="375"/>
      <c r="CJ209" s="375"/>
      <c r="CK209" s="375"/>
      <c r="CL209" s="375"/>
      <c r="CM209" s="375"/>
      <c r="CN209" s="375"/>
      <c r="CO209" s="375"/>
      <c r="CP209" s="375"/>
      <c r="CQ209" s="375"/>
      <c r="CR209" s="375"/>
      <c r="CS209" s="375"/>
      <c r="CT209" s="375"/>
      <c r="CU209" s="375"/>
      <c r="CV209" s="375"/>
      <c r="CW209" s="375"/>
      <c r="CX209" s="375"/>
      <c r="CY209" s="375"/>
      <c r="CZ209" s="375"/>
      <c r="DA209" s="375"/>
      <c r="DB209" s="375"/>
      <c r="DC209" s="375"/>
      <c r="DD209" s="375"/>
      <c r="DE209" s="375"/>
      <c r="DF209" s="375"/>
      <c r="DG209" s="375"/>
      <c r="DH209" s="375"/>
      <c r="DI209" s="375"/>
      <c r="DJ209" s="375"/>
      <c r="DK209" s="375"/>
      <c r="DL209" s="375"/>
      <c r="DM209" s="375"/>
      <c r="DN209" s="375"/>
      <c r="DO209" s="375"/>
      <c r="DP209" s="375"/>
      <c r="DQ209" s="375"/>
      <c r="DR209" s="375"/>
      <c r="DS209" s="375"/>
      <c r="DT209" s="375"/>
      <c r="DU209" s="375"/>
      <c r="DV209" s="375"/>
      <c r="DW209" s="375"/>
      <c r="DX209" s="375"/>
      <c r="DY209" s="375"/>
      <c r="DZ209" s="375"/>
      <c r="EA209" s="375"/>
      <c r="EB209" s="375"/>
      <c r="EC209" s="375"/>
      <c r="ED209" s="375"/>
      <c r="EE209" s="375"/>
      <c r="EF209" s="375"/>
      <c r="EG209" s="375"/>
      <c r="EH209" s="375"/>
      <c r="EI209" s="375"/>
      <c r="EJ209" s="375"/>
      <c r="EK209" s="375"/>
      <c r="EL209" s="375"/>
      <c r="EM209" s="375"/>
      <c r="EN209" s="375"/>
      <c r="EO209" s="375"/>
      <c r="EP209" s="375"/>
      <c r="EQ209" s="375"/>
      <c r="ER209" s="375"/>
      <c r="ES209" s="375"/>
      <c r="ET209" s="375"/>
      <c r="EU209" s="375"/>
      <c r="EV209" s="375"/>
      <c r="EW209" s="375"/>
      <c r="EX209" s="375"/>
      <c r="EY209" s="375"/>
      <c r="EZ209" s="375"/>
      <c r="FA209" s="375"/>
      <c r="FB209" s="375"/>
      <c r="FC209" s="375"/>
      <c r="FD209" s="375"/>
      <c r="FE209" s="375"/>
      <c r="FF209" s="375"/>
      <c r="FG209" s="375"/>
      <c r="FH209" s="375"/>
      <c r="FI209" s="375"/>
      <c r="FJ209" s="375"/>
      <c r="FK209" s="375"/>
      <c r="FL209" s="375"/>
      <c r="FM209" s="375"/>
      <c r="FN209" s="375"/>
      <c r="FO209" s="375"/>
      <c r="FP209" s="375"/>
      <c r="FQ209" s="375"/>
      <c r="FR209" s="375"/>
      <c r="FS209" s="375"/>
      <c r="FT209" s="375"/>
      <c r="FU209" s="375"/>
      <c r="FV209" s="375"/>
      <c r="FW209" s="375"/>
      <c r="FX209" s="375"/>
      <c r="FY209" s="375"/>
      <c r="FZ209" s="375"/>
      <c r="GA209" s="375"/>
      <c r="GB209" s="375"/>
      <c r="GC209" s="375"/>
      <c r="GD209" s="375"/>
      <c r="GE209" s="375"/>
      <c r="GF209" s="375"/>
      <c r="GG209" s="375"/>
      <c r="GH209" s="375"/>
      <c r="GI209" s="375"/>
      <c r="GJ209" s="375"/>
    </row>
    <row r="210" spans="49:192">
      <c r="AW210" s="375"/>
      <c r="AX210" s="375"/>
      <c r="AY210" s="375"/>
      <c r="AZ210" s="375"/>
      <c r="BA210" s="375"/>
      <c r="BB210" s="375"/>
      <c r="BC210" s="375"/>
      <c r="BD210" s="375"/>
      <c r="BE210" s="375"/>
      <c r="BF210" s="375"/>
      <c r="BG210" s="375"/>
      <c r="BH210" s="375"/>
      <c r="BI210" s="375"/>
      <c r="BJ210" s="375"/>
      <c r="BK210" s="375"/>
      <c r="BL210" s="375"/>
      <c r="BM210" s="375"/>
      <c r="BN210" s="375"/>
      <c r="BO210" s="375"/>
      <c r="BP210" s="375"/>
      <c r="BQ210" s="375"/>
      <c r="BR210" s="375"/>
      <c r="BS210" s="375"/>
      <c r="BT210" s="375"/>
      <c r="BU210" s="375"/>
      <c r="BV210" s="375"/>
      <c r="BW210" s="375"/>
      <c r="BX210" s="375"/>
      <c r="BY210" s="375"/>
      <c r="BZ210" s="375"/>
      <c r="CA210" s="375"/>
      <c r="CB210" s="375"/>
      <c r="CC210" s="375"/>
      <c r="CD210" s="375"/>
      <c r="CE210" s="375"/>
      <c r="CF210" s="375"/>
      <c r="CG210" s="375"/>
      <c r="CH210" s="375"/>
      <c r="CI210" s="375"/>
      <c r="CJ210" s="375"/>
      <c r="CK210" s="375"/>
      <c r="CL210" s="375"/>
      <c r="CM210" s="375"/>
      <c r="CN210" s="375"/>
      <c r="CO210" s="375"/>
      <c r="CP210" s="375"/>
      <c r="CQ210" s="375"/>
      <c r="CR210" s="375"/>
      <c r="CS210" s="375"/>
      <c r="CT210" s="375"/>
      <c r="CU210" s="375"/>
      <c r="CV210" s="375"/>
      <c r="CW210" s="375"/>
      <c r="CX210" s="375"/>
      <c r="CY210" s="375"/>
      <c r="CZ210" s="375"/>
      <c r="DA210" s="375"/>
      <c r="DB210" s="375"/>
      <c r="DC210" s="375"/>
      <c r="DD210" s="375"/>
      <c r="DE210" s="375"/>
      <c r="DF210" s="375"/>
      <c r="DG210" s="375"/>
      <c r="DH210" s="375"/>
      <c r="DI210" s="375"/>
      <c r="DJ210" s="375"/>
      <c r="DK210" s="375"/>
      <c r="DL210" s="375"/>
      <c r="DM210" s="375"/>
      <c r="DN210" s="375"/>
      <c r="DO210" s="375"/>
      <c r="DP210" s="375"/>
      <c r="DQ210" s="375"/>
      <c r="DR210" s="375"/>
      <c r="DS210" s="375"/>
      <c r="DT210" s="375"/>
      <c r="DU210" s="375"/>
      <c r="DV210" s="375"/>
      <c r="DW210" s="375"/>
      <c r="DX210" s="375"/>
      <c r="DY210" s="375"/>
      <c r="DZ210" s="375"/>
      <c r="EA210" s="375"/>
      <c r="EB210" s="375"/>
      <c r="EC210" s="375"/>
      <c r="ED210" s="375"/>
      <c r="EE210" s="375"/>
      <c r="EF210" s="375"/>
      <c r="EG210" s="375"/>
      <c r="EH210" s="375"/>
      <c r="EI210" s="375"/>
      <c r="EJ210" s="375"/>
      <c r="EK210" s="375"/>
      <c r="EL210" s="375"/>
      <c r="EM210" s="375"/>
      <c r="EN210" s="375"/>
      <c r="EO210" s="375"/>
      <c r="EP210" s="375"/>
      <c r="EQ210" s="375"/>
      <c r="ER210" s="375"/>
      <c r="ES210" s="375"/>
      <c r="ET210" s="375"/>
      <c r="EU210" s="375"/>
      <c r="EV210" s="375"/>
      <c r="EW210" s="375"/>
      <c r="EX210" s="375"/>
      <c r="EY210" s="375"/>
      <c r="EZ210" s="375"/>
      <c r="FA210" s="375"/>
      <c r="FB210" s="375"/>
      <c r="FC210" s="375"/>
      <c r="FD210" s="375"/>
      <c r="FE210" s="375"/>
      <c r="FF210" s="375"/>
      <c r="FG210" s="375"/>
      <c r="FH210" s="375"/>
      <c r="FI210" s="375"/>
      <c r="FJ210" s="375"/>
      <c r="FK210" s="375"/>
      <c r="FL210" s="375"/>
      <c r="FM210" s="375"/>
      <c r="FN210" s="375"/>
      <c r="FO210" s="375"/>
      <c r="FP210" s="375"/>
      <c r="FQ210" s="375"/>
      <c r="FR210" s="375"/>
      <c r="FS210" s="375"/>
      <c r="FT210" s="375"/>
      <c r="FU210" s="375"/>
      <c r="FV210" s="375"/>
      <c r="FW210" s="375"/>
      <c r="FX210" s="375"/>
      <c r="FY210" s="375"/>
      <c r="FZ210" s="375"/>
      <c r="GA210" s="375"/>
      <c r="GB210" s="375"/>
      <c r="GC210" s="375"/>
      <c r="GD210" s="375"/>
      <c r="GE210" s="375"/>
      <c r="GF210" s="375"/>
      <c r="GG210" s="375"/>
      <c r="GH210" s="375"/>
      <c r="GI210" s="375"/>
      <c r="GJ210" s="375"/>
    </row>
  </sheetData>
  <mergeCells count="1041">
    <mergeCell ref="XCC188:XCR188"/>
    <mergeCell ref="XCS188:XDH188"/>
    <mergeCell ref="XDI188:XDX188"/>
    <mergeCell ref="XDY188:XEN188"/>
    <mergeCell ref="XEO188:XFD188"/>
    <mergeCell ref="WZA188:WZP188"/>
    <mergeCell ref="WZQ188:XAF188"/>
    <mergeCell ref="XAG188:XAV188"/>
    <mergeCell ref="XAW188:XBL188"/>
    <mergeCell ref="XBM188:XCB188"/>
    <mergeCell ref="WVY188:WWN188"/>
    <mergeCell ref="WWO188:WXD188"/>
    <mergeCell ref="WXE188:WXT188"/>
    <mergeCell ref="WXU188:WYJ188"/>
    <mergeCell ref="WYK188:WYZ188"/>
    <mergeCell ref="WSW188:WTL188"/>
    <mergeCell ref="WTM188:WUB188"/>
    <mergeCell ref="WUC188:WUR188"/>
    <mergeCell ref="WUS188:WVH188"/>
    <mergeCell ref="WVI188:WVX188"/>
    <mergeCell ref="WPU188:WQJ188"/>
    <mergeCell ref="WQK188:WQZ188"/>
    <mergeCell ref="WRA188:WRP188"/>
    <mergeCell ref="WRQ188:WSF188"/>
    <mergeCell ref="WSG188:WSV188"/>
    <mergeCell ref="WMS188:WNH188"/>
    <mergeCell ref="WNI188:WNX188"/>
    <mergeCell ref="WNY188:WON188"/>
    <mergeCell ref="WOO188:WPD188"/>
    <mergeCell ref="WPE188:WPT188"/>
    <mergeCell ref="WJQ188:WKF188"/>
    <mergeCell ref="WKG188:WKV188"/>
    <mergeCell ref="WKW188:WLL188"/>
    <mergeCell ref="WLM188:WMB188"/>
    <mergeCell ref="WMC188:WMR188"/>
    <mergeCell ref="WGO188:WHD188"/>
    <mergeCell ref="WHE188:WHT188"/>
    <mergeCell ref="WHU188:WIJ188"/>
    <mergeCell ref="WIK188:WIZ188"/>
    <mergeCell ref="WJA188:WJP188"/>
    <mergeCell ref="WDM188:WEB188"/>
    <mergeCell ref="WEC188:WER188"/>
    <mergeCell ref="WES188:WFH188"/>
    <mergeCell ref="WFI188:WFX188"/>
    <mergeCell ref="WFY188:WGN188"/>
    <mergeCell ref="WAK188:WAZ188"/>
    <mergeCell ref="WBA188:WBP188"/>
    <mergeCell ref="WBQ188:WCF188"/>
    <mergeCell ref="WCG188:WCV188"/>
    <mergeCell ref="WCW188:WDL188"/>
    <mergeCell ref="VXI188:VXX188"/>
    <mergeCell ref="VXY188:VYN188"/>
    <mergeCell ref="VYO188:VZD188"/>
    <mergeCell ref="VZE188:VZT188"/>
    <mergeCell ref="VZU188:WAJ188"/>
    <mergeCell ref="VUG188:VUV188"/>
    <mergeCell ref="VUW188:VVL188"/>
    <mergeCell ref="VVM188:VWB188"/>
    <mergeCell ref="VWC188:VWR188"/>
    <mergeCell ref="VWS188:VXH188"/>
    <mergeCell ref="VRE188:VRT188"/>
    <mergeCell ref="VRU188:VSJ188"/>
    <mergeCell ref="VSK188:VSZ188"/>
    <mergeCell ref="VTA188:VTP188"/>
    <mergeCell ref="VTQ188:VUF188"/>
    <mergeCell ref="VOC188:VOR188"/>
    <mergeCell ref="VOS188:VPH188"/>
    <mergeCell ref="VPI188:VPX188"/>
    <mergeCell ref="VPY188:VQN188"/>
    <mergeCell ref="VQO188:VRD188"/>
    <mergeCell ref="VLA188:VLP188"/>
    <mergeCell ref="VLQ188:VMF188"/>
    <mergeCell ref="VMG188:VMV188"/>
    <mergeCell ref="VMW188:VNL188"/>
    <mergeCell ref="VNM188:VOB188"/>
    <mergeCell ref="VHY188:VIN188"/>
    <mergeCell ref="VIO188:VJD188"/>
    <mergeCell ref="VJE188:VJT188"/>
    <mergeCell ref="VJU188:VKJ188"/>
    <mergeCell ref="VKK188:VKZ188"/>
    <mergeCell ref="VEW188:VFL188"/>
    <mergeCell ref="VFM188:VGB188"/>
    <mergeCell ref="VGC188:VGR188"/>
    <mergeCell ref="VGS188:VHH188"/>
    <mergeCell ref="VHI188:VHX188"/>
    <mergeCell ref="VBU188:VCJ188"/>
    <mergeCell ref="VCK188:VCZ188"/>
    <mergeCell ref="VDA188:VDP188"/>
    <mergeCell ref="VDQ188:VEF188"/>
    <mergeCell ref="VEG188:VEV188"/>
    <mergeCell ref="UYS188:UZH188"/>
    <mergeCell ref="UZI188:UZX188"/>
    <mergeCell ref="UZY188:VAN188"/>
    <mergeCell ref="VAO188:VBD188"/>
    <mergeCell ref="VBE188:VBT188"/>
    <mergeCell ref="UVQ188:UWF188"/>
    <mergeCell ref="UWG188:UWV188"/>
    <mergeCell ref="UWW188:UXL188"/>
    <mergeCell ref="UXM188:UYB188"/>
    <mergeCell ref="UYC188:UYR188"/>
    <mergeCell ref="USO188:UTD188"/>
    <mergeCell ref="UTE188:UTT188"/>
    <mergeCell ref="UTU188:UUJ188"/>
    <mergeCell ref="UUK188:UUZ188"/>
    <mergeCell ref="UVA188:UVP188"/>
    <mergeCell ref="UPM188:UQB188"/>
    <mergeCell ref="UQC188:UQR188"/>
    <mergeCell ref="UQS188:URH188"/>
    <mergeCell ref="URI188:URX188"/>
    <mergeCell ref="URY188:USN188"/>
    <mergeCell ref="UMK188:UMZ188"/>
    <mergeCell ref="UNA188:UNP188"/>
    <mergeCell ref="UNQ188:UOF188"/>
    <mergeCell ref="UOG188:UOV188"/>
    <mergeCell ref="UOW188:UPL188"/>
    <mergeCell ref="UJI188:UJX188"/>
    <mergeCell ref="UJY188:UKN188"/>
    <mergeCell ref="UKO188:ULD188"/>
    <mergeCell ref="ULE188:ULT188"/>
    <mergeCell ref="ULU188:UMJ188"/>
    <mergeCell ref="UGG188:UGV188"/>
    <mergeCell ref="UGW188:UHL188"/>
    <mergeCell ref="UHM188:UIB188"/>
    <mergeCell ref="UIC188:UIR188"/>
    <mergeCell ref="UIS188:UJH188"/>
    <mergeCell ref="UDE188:UDT188"/>
    <mergeCell ref="UDU188:UEJ188"/>
    <mergeCell ref="UEK188:UEZ188"/>
    <mergeCell ref="UFA188:UFP188"/>
    <mergeCell ref="UFQ188:UGF188"/>
    <mergeCell ref="UAC188:UAR188"/>
    <mergeCell ref="UAS188:UBH188"/>
    <mergeCell ref="UBI188:UBX188"/>
    <mergeCell ref="UBY188:UCN188"/>
    <mergeCell ref="UCO188:UDD188"/>
    <mergeCell ref="TXA188:TXP188"/>
    <mergeCell ref="TXQ188:TYF188"/>
    <mergeCell ref="TYG188:TYV188"/>
    <mergeCell ref="TYW188:TZL188"/>
    <mergeCell ref="TZM188:UAB188"/>
    <mergeCell ref="TTY188:TUN188"/>
    <mergeCell ref="TUO188:TVD188"/>
    <mergeCell ref="TVE188:TVT188"/>
    <mergeCell ref="TVU188:TWJ188"/>
    <mergeCell ref="TWK188:TWZ188"/>
    <mergeCell ref="TQW188:TRL188"/>
    <mergeCell ref="TRM188:TSB188"/>
    <mergeCell ref="TSC188:TSR188"/>
    <mergeCell ref="TSS188:TTH188"/>
    <mergeCell ref="TTI188:TTX188"/>
    <mergeCell ref="TNU188:TOJ188"/>
    <mergeCell ref="TOK188:TOZ188"/>
    <mergeCell ref="TPA188:TPP188"/>
    <mergeCell ref="TPQ188:TQF188"/>
    <mergeCell ref="TQG188:TQV188"/>
    <mergeCell ref="TKS188:TLH188"/>
    <mergeCell ref="TLI188:TLX188"/>
    <mergeCell ref="TLY188:TMN188"/>
    <mergeCell ref="TMO188:TND188"/>
    <mergeCell ref="TNE188:TNT188"/>
    <mergeCell ref="THQ188:TIF188"/>
    <mergeCell ref="TIG188:TIV188"/>
    <mergeCell ref="TIW188:TJL188"/>
    <mergeCell ref="TJM188:TKB188"/>
    <mergeCell ref="TKC188:TKR188"/>
    <mergeCell ref="TEO188:TFD188"/>
    <mergeCell ref="TFE188:TFT188"/>
    <mergeCell ref="TFU188:TGJ188"/>
    <mergeCell ref="TGK188:TGZ188"/>
    <mergeCell ref="THA188:THP188"/>
    <mergeCell ref="TBM188:TCB188"/>
    <mergeCell ref="TCC188:TCR188"/>
    <mergeCell ref="TCS188:TDH188"/>
    <mergeCell ref="TDI188:TDX188"/>
    <mergeCell ref="TDY188:TEN188"/>
    <mergeCell ref="SYK188:SYZ188"/>
    <mergeCell ref="SZA188:SZP188"/>
    <mergeCell ref="SZQ188:TAF188"/>
    <mergeCell ref="TAG188:TAV188"/>
    <mergeCell ref="TAW188:TBL188"/>
    <mergeCell ref="SVI188:SVX188"/>
    <mergeCell ref="SVY188:SWN188"/>
    <mergeCell ref="SWO188:SXD188"/>
    <mergeCell ref="SXE188:SXT188"/>
    <mergeCell ref="SXU188:SYJ188"/>
    <mergeCell ref="SSG188:SSV188"/>
    <mergeCell ref="SSW188:STL188"/>
    <mergeCell ref="STM188:SUB188"/>
    <mergeCell ref="SUC188:SUR188"/>
    <mergeCell ref="SUS188:SVH188"/>
    <mergeCell ref="SPE188:SPT188"/>
    <mergeCell ref="SPU188:SQJ188"/>
    <mergeCell ref="SQK188:SQZ188"/>
    <mergeCell ref="SRA188:SRP188"/>
    <mergeCell ref="SRQ188:SSF188"/>
    <mergeCell ref="SMC188:SMR188"/>
    <mergeCell ref="SMS188:SNH188"/>
    <mergeCell ref="SNI188:SNX188"/>
    <mergeCell ref="SNY188:SON188"/>
    <mergeCell ref="SOO188:SPD188"/>
    <mergeCell ref="SJA188:SJP188"/>
    <mergeCell ref="SJQ188:SKF188"/>
    <mergeCell ref="SKG188:SKV188"/>
    <mergeCell ref="SKW188:SLL188"/>
    <mergeCell ref="SLM188:SMB188"/>
    <mergeCell ref="SFY188:SGN188"/>
    <mergeCell ref="SGO188:SHD188"/>
    <mergeCell ref="SHE188:SHT188"/>
    <mergeCell ref="SHU188:SIJ188"/>
    <mergeCell ref="SIK188:SIZ188"/>
    <mergeCell ref="SCW188:SDL188"/>
    <mergeCell ref="SDM188:SEB188"/>
    <mergeCell ref="SEC188:SER188"/>
    <mergeCell ref="SES188:SFH188"/>
    <mergeCell ref="SFI188:SFX188"/>
    <mergeCell ref="RZU188:SAJ188"/>
    <mergeCell ref="SAK188:SAZ188"/>
    <mergeCell ref="SBA188:SBP188"/>
    <mergeCell ref="SBQ188:SCF188"/>
    <mergeCell ref="SCG188:SCV188"/>
    <mergeCell ref="RWS188:RXH188"/>
    <mergeCell ref="RXI188:RXX188"/>
    <mergeCell ref="RXY188:RYN188"/>
    <mergeCell ref="RYO188:RZD188"/>
    <mergeCell ref="RZE188:RZT188"/>
    <mergeCell ref="RTQ188:RUF188"/>
    <mergeCell ref="RUG188:RUV188"/>
    <mergeCell ref="RUW188:RVL188"/>
    <mergeCell ref="RVM188:RWB188"/>
    <mergeCell ref="RWC188:RWR188"/>
    <mergeCell ref="RQO188:RRD188"/>
    <mergeCell ref="RRE188:RRT188"/>
    <mergeCell ref="RRU188:RSJ188"/>
    <mergeCell ref="RSK188:RSZ188"/>
    <mergeCell ref="RTA188:RTP188"/>
    <mergeCell ref="RNM188:ROB188"/>
    <mergeCell ref="ROC188:ROR188"/>
    <mergeCell ref="ROS188:RPH188"/>
    <mergeCell ref="RPI188:RPX188"/>
    <mergeCell ref="RPY188:RQN188"/>
    <mergeCell ref="RKK188:RKZ188"/>
    <mergeCell ref="RLA188:RLP188"/>
    <mergeCell ref="RLQ188:RMF188"/>
    <mergeCell ref="RMG188:RMV188"/>
    <mergeCell ref="RMW188:RNL188"/>
    <mergeCell ref="RHI188:RHX188"/>
    <mergeCell ref="RHY188:RIN188"/>
    <mergeCell ref="RIO188:RJD188"/>
    <mergeCell ref="RJE188:RJT188"/>
    <mergeCell ref="RJU188:RKJ188"/>
    <mergeCell ref="REG188:REV188"/>
    <mergeCell ref="REW188:RFL188"/>
    <mergeCell ref="RFM188:RGB188"/>
    <mergeCell ref="RGC188:RGR188"/>
    <mergeCell ref="RGS188:RHH188"/>
    <mergeCell ref="RBE188:RBT188"/>
    <mergeCell ref="RBU188:RCJ188"/>
    <mergeCell ref="RCK188:RCZ188"/>
    <mergeCell ref="RDA188:RDP188"/>
    <mergeCell ref="RDQ188:REF188"/>
    <mergeCell ref="QYC188:QYR188"/>
    <mergeCell ref="QYS188:QZH188"/>
    <mergeCell ref="QZI188:QZX188"/>
    <mergeCell ref="QZY188:RAN188"/>
    <mergeCell ref="RAO188:RBD188"/>
    <mergeCell ref="QVA188:QVP188"/>
    <mergeCell ref="QVQ188:QWF188"/>
    <mergeCell ref="QWG188:QWV188"/>
    <mergeCell ref="QWW188:QXL188"/>
    <mergeCell ref="QXM188:QYB188"/>
    <mergeCell ref="QRY188:QSN188"/>
    <mergeCell ref="QSO188:QTD188"/>
    <mergeCell ref="QTE188:QTT188"/>
    <mergeCell ref="QTU188:QUJ188"/>
    <mergeCell ref="QUK188:QUZ188"/>
    <mergeCell ref="QOW188:QPL188"/>
    <mergeCell ref="QPM188:QQB188"/>
    <mergeCell ref="QQC188:QQR188"/>
    <mergeCell ref="QQS188:QRH188"/>
    <mergeCell ref="QRI188:QRX188"/>
    <mergeCell ref="QLU188:QMJ188"/>
    <mergeCell ref="QMK188:QMZ188"/>
    <mergeCell ref="QNA188:QNP188"/>
    <mergeCell ref="QNQ188:QOF188"/>
    <mergeCell ref="QOG188:QOV188"/>
    <mergeCell ref="QIS188:QJH188"/>
    <mergeCell ref="QJI188:QJX188"/>
    <mergeCell ref="QJY188:QKN188"/>
    <mergeCell ref="QKO188:QLD188"/>
    <mergeCell ref="QLE188:QLT188"/>
    <mergeCell ref="QFQ188:QGF188"/>
    <mergeCell ref="QGG188:QGV188"/>
    <mergeCell ref="QGW188:QHL188"/>
    <mergeCell ref="QHM188:QIB188"/>
    <mergeCell ref="QIC188:QIR188"/>
    <mergeCell ref="QCO188:QDD188"/>
    <mergeCell ref="QDE188:QDT188"/>
    <mergeCell ref="QDU188:QEJ188"/>
    <mergeCell ref="QEK188:QEZ188"/>
    <mergeCell ref="QFA188:QFP188"/>
    <mergeCell ref="PZM188:QAB188"/>
    <mergeCell ref="QAC188:QAR188"/>
    <mergeCell ref="QAS188:QBH188"/>
    <mergeCell ref="QBI188:QBX188"/>
    <mergeCell ref="QBY188:QCN188"/>
    <mergeCell ref="PWK188:PWZ188"/>
    <mergeCell ref="PXA188:PXP188"/>
    <mergeCell ref="PXQ188:PYF188"/>
    <mergeCell ref="PYG188:PYV188"/>
    <mergeCell ref="PYW188:PZL188"/>
    <mergeCell ref="PTI188:PTX188"/>
    <mergeCell ref="PTY188:PUN188"/>
    <mergeCell ref="PUO188:PVD188"/>
    <mergeCell ref="PVE188:PVT188"/>
    <mergeCell ref="PVU188:PWJ188"/>
    <mergeCell ref="PQG188:PQV188"/>
    <mergeCell ref="PQW188:PRL188"/>
    <mergeCell ref="PRM188:PSB188"/>
    <mergeCell ref="PSC188:PSR188"/>
    <mergeCell ref="PSS188:PTH188"/>
    <mergeCell ref="PNE188:PNT188"/>
    <mergeCell ref="PNU188:POJ188"/>
    <mergeCell ref="POK188:POZ188"/>
    <mergeCell ref="PPA188:PPP188"/>
    <mergeCell ref="PPQ188:PQF188"/>
    <mergeCell ref="PKC188:PKR188"/>
    <mergeCell ref="PKS188:PLH188"/>
    <mergeCell ref="PLI188:PLX188"/>
    <mergeCell ref="PLY188:PMN188"/>
    <mergeCell ref="PMO188:PND188"/>
    <mergeCell ref="PHA188:PHP188"/>
    <mergeCell ref="PHQ188:PIF188"/>
    <mergeCell ref="PIG188:PIV188"/>
    <mergeCell ref="PIW188:PJL188"/>
    <mergeCell ref="PJM188:PKB188"/>
    <mergeCell ref="PDY188:PEN188"/>
    <mergeCell ref="PEO188:PFD188"/>
    <mergeCell ref="PFE188:PFT188"/>
    <mergeCell ref="PFU188:PGJ188"/>
    <mergeCell ref="PGK188:PGZ188"/>
    <mergeCell ref="PAW188:PBL188"/>
    <mergeCell ref="PBM188:PCB188"/>
    <mergeCell ref="PCC188:PCR188"/>
    <mergeCell ref="PCS188:PDH188"/>
    <mergeCell ref="PDI188:PDX188"/>
    <mergeCell ref="OXU188:OYJ188"/>
    <mergeCell ref="OYK188:OYZ188"/>
    <mergeCell ref="OZA188:OZP188"/>
    <mergeCell ref="OZQ188:PAF188"/>
    <mergeCell ref="PAG188:PAV188"/>
    <mergeCell ref="OUS188:OVH188"/>
    <mergeCell ref="OVI188:OVX188"/>
    <mergeCell ref="OVY188:OWN188"/>
    <mergeCell ref="OWO188:OXD188"/>
    <mergeCell ref="OXE188:OXT188"/>
    <mergeCell ref="ORQ188:OSF188"/>
    <mergeCell ref="OSG188:OSV188"/>
    <mergeCell ref="OSW188:OTL188"/>
    <mergeCell ref="OTM188:OUB188"/>
    <mergeCell ref="OUC188:OUR188"/>
    <mergeCell ref="OOO188:OPD188"/>
    <mergeCell ref="OPE188:OPT188"/>
    <mergeCell ref="OPU188:OQJ188"/>
    <mergeCell ref="OQK188:OQZ188"/>
    <mergeCell ref="ORA188:ORP188"/>
    <mergeCell ref="OLM188:OMB188"/>
    <mergeCell ref="OMC188:OMR188"/>
    <mergeCell ref="OMS188:ONH188"/>
    <mergeCell ref="ONI188:ONX188"/>
    <mergeCell ref="ONY188:OON188"/>
    <mergeCell ref="OIK188:OIZ188"/>
    <mergeCell ref="OJA188:OJP188"/>
    <mergeCell ref="OJQ188:OKF188"/>
    <mergeCell ref="OKG188:OKV188"/>
    <mergeCell ref="OKW188:OLL188"/>
    <mergeCell ref="OFI188:OFX188"/>
    <mergeCell ref="OFY188:OGN188"/>
    <mergeCell ref="OGO188:OHD188"/>
    <mergeCell ref="OHE188:OHT188"/>
    <mergeCell ref="OHU188:OIJ188"/>
    <mergeCell ref="OCG188:OCV188"/>
    <mergeCell ref="OCW188:ODL188"/>
    <mergeCell ref="ODM188:OEB188"/>
    <mergeCell ref="OEC188:OER188"/>
    <mergeCell ref="OES188:OFH188"/>
    <mergeCell ref="NZE188:NZT188"/>
    <mergeCell ref="NZU188:OAJ188"/>
    <mergeCell ref="OAK188:OAZ188"/>
    <mergeCell ref="OBA188:OBP188"/>
    <mergeCell ref="OBQ188:OCF188"/>
    <mergeCell ref="NWC188:NWR188"/>
    <mergeCell ref="NWS188:NXH188"/>
    <mergeCell ref="NXI188:NXX188"/>
    <mergeCell ref="NXY188:NYN188"/>
    <mergeCell ref="NYO188:NZD188"/>
    <mergeCell ref="NTA188:NTP188"/>
    <mergeCell ref="NTQ188:NUF188"/>
    <mergeCell ref="NUG188:NUV188"/>
    <mergeCell ref="NUW188:NVL188"/>
    <mergeCell ref="NVM188:NWB188"/>
    <mergeCell ref="NPY188:NQN188"/>
    <mergeCell ref="NQO188:NRD188"/>
    <mergeCell ref="NRE188:NRT188"/>
    <mergeCell ref="NRU188:NSJ188"/>
    <mergeCell ref="NSK188:NSZ188"/>
    <mergeCell ref="NMW188:NNL188"/>
    <mergeCell ref="NNM188:NOB188"/>
    <mergeCell ref="NOC188:NOR188"/>
    <mergeCell ref="NOS188:NPH188"/>
    <mergeCell ref="NPI188:NPX188"/>
    <mergeCell ref="NJU188:NKJ188"/>
    <mergeCell ref="NKK188:NKZ188"/>
    <mergeCell ref="NLA188:NLP188"/>
    <mergeCell ref="NLQ188:NMF188"/>
    <mergeCell ref="NMG188:NMV188"/>
    <mergeCell ref="NGS188:NHH188"/>
    <mergeCell ref="NHI188:NHX188"/>
    <mergeCell ref="NHY188:NIN188"/>
    <mergeCell ref="NIO188:NJD188"/>
    <mergeCell ref="NJE188:NJT188"/>
    <mergeCell ref="NDQ188:NEF188"/>
    <mergeCell ref="NEG188:NEV188"/>
    <mergeCell ref="NEW188:NFL188"/>
    <mergeCell ref="NFM188:NGB188"/>
    <mergeCell ref="NGC188:NGR188"/>
    <mergeCell ref="NAO188:NBD188"/>
    <mergeCell ref="NBE188:NBT188"/>
    <mergeCell ref="NBU188:NCJ188"/>
    <mergeCell ref="NCK188:NCZ188"/>
    <mergeCell ref="NDA188:NDP188"/>
    <mergeCell ref="MXM188:MYB188"/>
    <mergeCell ref="MYC188:MYR188"/>
    <mergeCell ref="MYS188:MZH188"/>
    <mergeCell ref="MZI188:MZX188"/>
    <mergeCell ref="MZY188:NAN188"/>
    <mergeCell ref="MUK188:MUZ188"/>
    <mergeCell ref="MVA188:MVP188"/>
    <mergeCell ref="MVQ188:MWF188"/>
    <mergeCell ref="MWG188:MWV188"/>
    <mergeCell ref="MWW188:MXL188"/>
    <mergeCell ref="MRI188:MRX188"/>
    <mergeCell ref="MRY188:MSN188"/>
    <mergeCell ref="MSO188:MTD188"/>
    <mergeCell ref="MTE188:MTT188"/>
    <mergeCell ref="MTU188:MUJ188"/>
    <mergeCell ref="MOG188:MOV188"/>
    <mergeCell ref="MOW188:MPL188"/>
    <mergeCell ref="MPM188:MQB188"/>
    <mergeCell ref="MQC188:MQR188"/>
    <mergeCell ref="MQS188:MRH188"/>
    <mergeCell ref="MLE188:MLT188"/>
    <mergeCell ref="MLU188:MMJ188"/>
    <mergeCell ref="MMK188:MMZ188"/>
    <mergeCell ref="MNA188:MNP188"/>
    <mergeCell ref="MNQ188:MOF188"/>
    <mergeCell ref="MIC188:MIR188"/>
    <mergeCell ref="MIS188:MJH188"/>
    <mergeCell ref="MJI188:MJX188"/>
    <mergeCell ref="MJY188:MKN188"/>
    <mergeCell ref="MKO188:MLD188"/>
    <mergeCell ref="MFA188:MFP188"/>
    <mergeCell ref="MFQ188:MGF188"/>
    <mergeCell ref="MGG188:MGV188"/>
    <mergeCell ref="MGW188:MHL188"/>
    <mergeCell ref="MHM188:MIB188"/>
    <mergeCell ref="MBY188:MCN188"/>
    <mergeCell ref="MCO188:MDD188"/>
    <mergeCell ref="MDE188:MDT188"/>
    <mergeCell ref="MDU188:MEJ188"/>
    <mergeCell ref="MEK188:MEZ188"/>
    <mergeCell ref="LYW188:LZL188"/>
    <mergeCell ref="LZM188:MAB188"/>
    <mergeCell ref="MAC188:MAR188"/>
    <mergeCell ref="MAS188:MBH188"/>
    <mergeCell ref="MBI188:MBX188"/>
    <mergeCell ref="LVU188:LWJ188"/>
    <mergeCell ref="LWK188:LWZ188"/>
    <mergeCell ref="LXA188:LXP188"/>
    <mergeCell ref="LXQ188:LYF188"/>
    <mergeCell ref="LYG188:LYV188"/>
    <mergeCell ref="LSS188:LTH188"/>
    <mergeCell ref="LTI188:LTX188"/>
    <mergeCell ref="LTY188:LUN188"/>
    <mergeCell ref="LUO188:LVD188"/>
    <mergeCell ref="LVE188:LVT188"/>
    <mergeCell ref="LPQ188:LQF188"/>
    <mergeCell ref="LQG188:LQV188"/>
    <mergeCell ref="LQW188:LRL188"/>
    <mergeCell ref="LRM188:LSB188"/>
    <mergeCell ref="LSC188:LSR188"/>
    <mergeCell ref="LMO188:LND188"/>
    <mergeCell ref="LNE188:LNT188"/>
    <mergeCell ref="LNU188:LOJ188"/>
    <mergeCell ref="LOK188:LOZ188"/>
    <mergeCell ref="LPA188:LPP188"/>
    <mergeCell ref="LJM188:LKB188"/>
    <mergeCell ref="LKC188:LKR188"/>
    <mergeCell ref="LKS188:LLH188"/>
    <mergeCell ref="LLI188:LLX188"/>
    <mergeCell ref="LLY188:LMN188"/>
    <mergeCell ref="LGK188:LGZ188"/>
    <mergeCell ref="LHA188:LHP188"/>
    <mergeCell ref="LHQ188:LIF188"/>
    <mergeCell ref="LIG188:LIV188"/>
    <mergeCell ref="LIW188:LJL188"/>
    <mergeCell ref="LDI188:LDX188"/>
    <mergeCell ref="LDY188:LEN188"/>
    <mergeCell ref="LEO188:LFD188"/>
    <mergeCell ref="LFE188:LFT188"/>
    <mergeCell ref="LFU188:LGJ188"/>
    <mergeCell ref="LAG188:LAV188"/>
    <mergeCell ref="LAW188:LBL188"/>
    <mergeCell ref="LBM188:LCB188"/>
    <mergeCell ref="LCC188:LCR188"/>
    <mergeCell ref="LCS188:LDH188"/>
    <mergeCell ref="KXE188:KXT188"/>
    <mergeCell ref="KXU188:KYJ188"/>
    <mergeCell ref="KYK188:KYZ188"/>
    <mergeCell ref="KZA188:KZP188"/>
    <mergeCell ref="KZQ188:LAF188"/>
    <mergeCell ref="KUC188:KUR188"/>
    <mergeCell ref="KUS188:KVH188"/>
    <mergeCell ref="KVI188:KVX188"/>
    <mergeCell ref="KVY188:KWN188"/>
    <mergeCell ref="KWO188:KXD188"/>
    <mergeCell ref="KRA188:KRP188"/>
    <mergeCell ref="KRQ188:KSF188"/>
    <mergeCell ref="KSG188:KSV188"/>
    <mergeCell ref="KSW188:KTL188"/>
    <mergeCell ref="KTM188:KUB188"/>
    <mergeCell ref="KNY188:KON188"/>
    <mergeCell ref="KOO188:KPD188"/>
    <mergeCell ref="KPE188:KPT188"/>
    <mergeCell ref="KPU188:KQJ188"/>
    <mergeCell ref="KQK188:KQZ188"/>
    <mergeCell ref="KKW188:KLL188"/>
    <mergeCell ref="KLM188:KMB188"/>
    <mergeCell ref="KMC188:KMR188"/>
    <mergeCell ref="KMS188:KNH188"/>
    <mergeCell ref="KNI188:KNX188"/>
    <mergeCell ref="KHU188:KIJ188"/>
    <mergeCell ref="KIK188:KIZ188"/>
    <mergeCell ref="KJA188:KJP188"/>
    <mergeCell ref="KJQ188:KKF188"/>
    <mergeCell ref="KKG188:KKV188"/>
    <mergeCell ref="KES188:KFH188"/>
    <mergeCell ref="KFI188:KFX188"/>
    <mergeCell ref="KFY188:KGN188"/>
    <mergeCell ref="KGO188:KHD188"/>
    <mergeCell ref="KHE188:KHT188"/>
    <mergeCell ref="KBQ188:KCF188"/>
    <mergeCell ref="KCG188:KCV188"/>
    <mergeCell ref="KCW188:KDL188"/>
    <mergeCell ref="KDM188:KEB188"/>
    <mergeCell ref="KEC188:KER188"/>
    <mergeCell ref="JYO188:JZD188"/>
    <mergeCell ref="JZE188:JZT188"/>
    <mergeCell ref="JZU188:KAJ188"/>
    <mergeCell ref="KAK188:KAZ188"/>
    <mergeCell ref="KBA188:KBP188"/>
    <mergeCell ref="JVM188:JWB188"/>
    <mergeCell ref="JWC188:JWR188"/>
    <mergeCell ref="JWS188:JXH188"/>
    <mergeCell ref="JXI188:JXX188"/>
    <mergeCell ref="JXY188:JYN188"/>
    <mergeCell ref="JSK188:JSZ188"/>
    <mergeCell ref="JTA188:JTP188"/>
    <mergeCell ref="JTQ188:JUF188"/>
    <mergeCell ref="JUG188:JUV188"/>
    <mergeCell ref="JUW188:JVL188"/>
    <mergeCell ref="JPI188:JPX188"/>
    <mergeCell ref="JPY188:JQN188"/>
    <mergeCell ref="JQO188:JRD188"/>
    <mergeCell ref="JRE188:JRT188"/>
    <mergeCell ref="JRU188:JSJ188"/>
    <mergeCell ref="JMG188:JMV188"/>
    <mergeCell ref="JMW188:JNL188"/>
    <mergeCell ref="JNM188:JOB188"/>
    <mergeCell ref="JOC188:JOR188"/>
    <mergeCell ref="JOS188:JPH188"/>
    <mergeCell ref="JJE188:JJT188"/>
    <mergeCell ref="JJU188:JKJ188"/>
    <mergeCell ref="JKK188:JKZ188"/>
    <mergeCell ref="JLA188:JLP188"/>
    <mergeCell ref="JLQ188:JMF188"/>
    <mergeCell ref="JGC188:JGR188"/>
    <mergeCell ref="JGS188:JHH188"/>
    <mergeCell ref="JHI188:JHX188"/>
    <mergeCell ref="JHY188:JIN188"/>
    <mergeCell ref="JIO188:JJD188"/>
    <mergeCell ref="JDA188:JDP188"/>
    <mergeCell ref="JDQ188:JEF188"/>
    <mergeCell ref="JEG188:JEV188"/>
    <mergeCell ref="JEW188:JFL188"/>
    <mergeCell ref="JFM188:JGB188"/>
    <mergeCell ref="IZY188:JAN188"/>
    <mergeCell ref="JAO188:JBD188"/>
    <mergeCell ref="JBE188:JBT188"/>
    <mergeCell ref="JBU188:JCJ188"/>
    <mergeCell ref="JCK188:JCZ188"/>
    <mergeCell ref="IWW188:IXL188"/>
    <mergeCell ref="IXM188:IYB188"/>
    <mergeCell ref="IYC188:IYR188"/>
    <mergeCell ref="IYS188:IZH188"/>
    <mergeCell ref="IZI188:IZX188"/>
    <mergeCell ref="ITU188:IUJ188"/>
    <mergeCell ref="IUK188:IUZ188"/>
    <mergeCell ref="IVA188:IVP188"/>
    <mergeCell ref="IVQ188:IWF188"/>
    <mergeCell ref="IWG188:IWV188"/>
    <mergeCell ref="IQS188:IRH188"/>
    <mergeCell ref="IRI188:IRX188"/>
    <mergeCell ref="IRY188:ISN188"/>
    <mergeCell ref="ISO188:ITD188"/>
    <mergeCell ref="ITE188:ITT188"/>
    <mergeCell ref="INQ188:IOF188"/>
    <mergeCell ref="IOG188:IOV188"/>
    <mergeCell ref="IOW188:IPL188"/>
    <mergeCell ref="IPM188:IQB188"/>
    <mergeCell ref="IQC188:IQR188"/>
    <mergeCell ref="IKO188:ILD188"/>
    <mergeCell ref="ILE188:ILT188"/>
    <mergeCell ref="ILU188:IMJ188"/>
    <mergeCell ref="IMK188:IMZ188"/>
    <mergeCell ref="INA188:INP188"/>
    <mergeCell ref="IHM188:IIB188"/>
    <mergeCell ref="IIC188:IIR188"/>
    <mergeCell ref="IIS188:IJH188"/>
    <mergeCell ref="IJI188:IJX188"/>
    <mergeCell ref="IJY188:IKN188"/>
    <mergeCell ref="IEK188:IEZ188"/>
    <mergeCell ref="IFA188:IFP188"/>
    <mergeCell ref="IFQ188:IGF188"/>
    <mergeCell ref="IGG188:IGV188"/>
    <mergeCell ref="IGW188:IHL188"/>
    <mergeCell ref="IBI188:IBX188"/>
    <mergeCell ref="IBY188:ICN188"/>
    <mergeCell ref="ICO188:IDD188"/>
    <mergeCell ref="IDE188:IDT188"/>
    <mergeCell ref="IDU188:IEJ188"/>
    <mergeCell ref="HYG188:HYV188"/>
    <mergeCell ref="HYW188:HZL188"/>
    <mergeCell ref="HZM188:IAB188"/>
    <mergeCell ref="IAC188:IAR188"/>
    <mergeCell ref="IAS188:IBH188"/>
    <mergeCell ref="HVE188:HVT188"/>
    <mergeCell ref="HVU188:HWJ188"/>
    <mergeCell ref="HWK188:HWZ188"/>
    <mergeCell ref="HXA188:HXP188"/>
    <mergeCell ref="HXQ188:HYF188"/>
    <mergeCell ref="HSC188:HSR188"/>
    <mergeCell ref="HSS188:HTH188"/>
    <mergeCell ref="HTI188:HTX188"/>
    <mergeCell ref="HTY188:HUN188"/>
    <mergeCell ref="HUO188:HVD188"/>
    <mergeCell ref="HPA188:HPP188"/>
    <mergeCell ref="HPQ188:HQF188"/>
    <mergeCell ref="HQG188:HQV188"/>
    <mergeCell ref="HQW188:HRL188"/>
    <mergeCell ref="HRM188:HSB188"/>
    <mergeCell ref="HLY188:HMN188"/>
    <mergeCell ref="HMO188:HND188"/>
    <mergeCell ref="HNE188:HNT188"/>
    <mergeCell ref="HNU188:HOJ188"/>
    <mergeCell ref="HOK188:HOZ188"/>
    <mergeCell ref="HIW188:HJL188"/>
    <mergeCell ref="HJM188:HKB188"/>
    <mergeCell ref="HKC188:HKR188"/>
    <mergeCell ref="HKS188:HLH188"/>
    <mergeCell ref="HLI188:HLX188"/>
    <mergeCell ref="HFU188:HGJ188"/>
    <mergeCell ref="HGK188:HGZ188"/>
    <mergeCell ref="HHA188:HHP188"/>
    <mergeCell ref="HHQ188:HIF188"/>
    <mergeCell ref="HIG188:HIV188"/>
    <mergeCell ref="HCS188:HDH188"/>
    <mergeCell ref="HDI188:HDX188"/>
    <mergeCell ref="HDY188:HEN188"/>
    <mergeCell ref="HEO188:HFD188"/>
    <mergeCell ref="HFE188:HFT188"/>
    <mergeCell ref="GZQ188:HAF188"/>
    <mergeCell ref="HAG188:HAV188"/>
    <mergeCell ref="HAW188:HBL188"/>
    <mergeCell ref="HBM188:HCB188"/>
    <mergeCell ref="HCC188:HCR188"/>
    <mergeCell ref="GWO188:GXD188"/>
    <mergeCell ref="GXE188:GXT188"/>
    <mergeCell ref="GXU188:GYJ188"/>
    <mergeCell ref="GYK188:GYZ188"/>
    <mergeCell ref="GZA188:GZP188"/>
    <mergeCell ref="GTM188:GUB188"/>
    <mergeCell ref="GUC188:GUR188"/>
    <mergeCell ref="GUS188:GVH188"/>
    <mergeCell ref="GVI188:GVX188"/>
    <mergeCell ref="GVY188:GWN188"/>
    <mergeCell ref="GQK188:GQZ188"/>
    <mergeCell ref="GRA188:GRP188"/>
    <mergeCell ref="GRQ188:GSF188"/>
    <mergeCell ref="GSG188:GSV188"/>
    <mergeCell ref="GSW188:GTL188"/>
    <mergeCell ref="GNI188:GNX188"/>
    <mergeCell ref="GNY188:GON188"/>
    <mergeCell ref="GOO188:GPD188"/>
    <mergeCell ref="GPE188:GPT188"/>
    <mergeCell ref="GPU188:GQJ188"/>
    <mergeCell ref="GKG188:GKV188"/>
    <mergeCell ref="GKW188:GLL188"/>
    <mergeCell ref="GLM188:GMB188"/>
    <mergeCell ref="GMC188:GMR188"/>
    <mergeCell ref="GMS188:GNH188"/>
    <mergeCell ref="GHE188:GHT188"/>
    <mergeCell ref="GHU188:GIJ188"/>
    <mergeCell ref="GIK188:GIZ188"/>
    <mergeCell ref="GJA188:GJP188"/>
    <mergeCell ref="GJQ188:GKF188"/>
    <mergeCell ref="GEC188:GER188"/>
    <mergeCell ref="GES188:GFH188"/>
    <mergeCell ref="GFI188:GFX188"/>
    <mergeCell ref="GFY188:GGN188"/>
    <mergeCell ref="GGO188:GHD188"/>
    <mergeCell ref="GBA188:GBP188"/>
    <mergeCell ref="GBQ188:GCF188"/>
    <mergeCell ref="GCG188:GCV188"/>
    <mergeCell ref="GCW188:GDL188"/>
    <mergeCell ref="GDM188:GEB188"/>
    <mergeCell ref="FXY188:FYN188"/>
    <mergeCell ref="FYO188:FZD188"/>
    <mergeCell ref="FZE188:FZT188"/>
    <mergeCell ref="FZU188:GAJ188"/>
    <mergeCell ref="GAK188:GAZ188"/>
    <mergeCell ref="FUW188:FVL188"/>
    <mergeCell ref="FVM188:FWB188"/>
    <mergeCell ref="FWC188:FWR188"/>
    <mergeCell ref="FWS188:FXH188"/>
    <mergeCell ref="FXI188:FXX188"/>
    <mergeCell ref="FRU188:FSJ188"/>
    <mergeCell ref="FSK188:FSZ188"/>
    <mergeCell ref="FTA188:FTP188"/>
    <mergeCell ref="FTQ188:FUF188"/>
    <mergeCell ref="FUG188:FUV188"/>
    <mergeCell ref="FOS188:FPH188"/>
    <mergeCell ref="FPI188:FPX188"/>
    <mergeCell ref="FPY188:FQN188"/>
    <mergeCell ref="FQO188:FRD188"/>
    <mergeCell ref="FRE188:FRT188"/>
    <mergeCell ref="FLQ188:FMF188"/>
    <mergeCell ref="FMG188:FMV188"/>
    <mergeCell ref="FMW188:FNL188"/>
    <mergeCell ref="FNM188:FOB188"/>
    <mergeCell ref="FOC188:FOR188"/>
    <mergeCell ref="FIO188:FJD188"/>
    <mergeCell ref="FJE188:FJT188"/>
    <mergeCell ref="FJU188:FKJ188"/>
    <mergeCell ref="FKK188:FKZ188"/>
    <mergeCell ref="FLA188:FLP188"/>
    <mergeCell ref="FFM188:FGB188"/>
    <mergeCell ref="FGC188:FGR188"/>
    <mergeCell ref="FGS188:FHH188"/>
    <mergeCell ref="FHI188:FHX188"/>
    <mergeCell ref="FHY188:FIN188"/>
    <mergeCell ref="FCK188:FCZ188"/>
    <mergeCell ref="FDA188:FDP188"/>
    <mergeCell ref="FDQ188:FEF188"/>
    <mergeCell ref="FEG188:FEV188"/>
    <mergeCell ref="FEW188:FFL188"/>
    <mergeCell ref="EZI188:EZX188"/>
    <mergeCell ref="EZY188:FAN188"/>
    <mergeCell ref="FAO188:FBD188"/>
    <mergeCell ref="FBE188:FBT188"/>
    <mergeCell ref="FBU188:FCJ188"/>
    <mergeCell ref="EWG188:EWV188"/>
    <mergeCell ref="EWW188:EXL188"/>
    <mergeCell ref="EXM188:EYB188"/>
    <mergeCell ref="EYC188:EYR188"/>
    <mergeCell ref="EYS188:EZH188"/>
    <mergeCell ref="ETE188:ETT188"/>
    <mergeCell ref="ETU188:EUJ188"/>
    <mergeCell ref="EUK188:EUZ188"/>
    <mergeCell ref="EVA188:EVP188"/>
    <mergeCell ref="EVQ188:EWF188"/>
    <mergeCell ref="EQC188:EQR188"/>
    <mergeCell ref="EQS188:ERH188"/>
    <mergeCell ref="ERI188:ERX188"/>
    <mergeCell ref="ERY188:ESN188"/>
    <mergeCell ref="ESO188:ETD188"/>
    <mergeCell ref="ENA188:ENP188"/>
    <mergeCell ref="ENQ188:EOF188"/>
    <mergeCell ref="EOG188:EOV188"/>
    <mergeCell ref="EOW188:EPL188"/>
    <mergeCell ref="EPM188:EQB188"/>
    <mergeCell ref="EJY188:EKN188"/>
    <mergeCell ref="EKO188:ELD188"/>
    <mergeCell ref="ELE188:ELT188"/>
    <mergeCell ref="ELU188:EMJ188"/>
    <mergeCell ref="EMK188:EMZ188"/>
    <mergeCell ref="EGW188:EHL188"/>
    <mergeCell ref="EHM188:EIB188"/>
    <mergeCell ref="EIC188:EIR188"/>
    <mergeCell ref="EIS188:EJH188"/>
    <mergeCell ref="EJI188:EJX188"/>
    <mergeCell ref="EDU188:EEJ188"/>
    <mergeCell ref="EEK188:EEZ188"/>
    <mergeCell ref="EFA188:EFP188"/>
    <mergeCell ref="EFQ188:EGF188"/>
    <mergeCell ref="EGG188:EGV188"/>
    <mergeCell ref="EAS188:EBH188"/>
    <mergeCell ref="EBI188:EBX188"/>
    <mergeCell ref="EBY188:ECN188"/>
    <mergeCell ref="ECO188:EDD188"/>
    <mergeCell ref="EDE188:EDT188"/>
    <mergeCell ref="DXQ188:DYF188"/>
    <mergeCell ref="DYG188:DYV188"/>
    <mergeCell ref="DYW188:DZL188"/>
    <mergeCell ref="DZM188:EAB188"/>
    <mergeCell ref="EAC188:EAR188"/>
    <mergeCell ref="DUO188:DVD188"/>
    <mergeCell ref="DVE188:DVT188"/>
    <mergeCell ref="DVU188:DWJ188"/>
    <mergeCell ref="DWK188:DWZ188"/>
    <mergeCell ref="DXA188:DXP188"/>
    <mergeCell ref="DRM188:DSB188"/>
    <mergeCell ref="DSC188:DSR188"/>
    <mergeCell ref="DSS188:DTH188"/>
    <mergeCell ref="DTI188:DTX188"/>
    <mergeCell ref="DTY188:DUN188"/>
    <mergeCell ref="DOK188:DOZ188"/>
    <mergeCell ref="DPA188:DPP188"/>
    <mergeCell ref="DPQ188:DQF188"/>
    <mergeCell ref="DQG188:DQV188"/>
    <mergeCell ref="DQW188:DRL188"/>
    <mergeCell ref="DLI188:DLX188"/>
    <mergeCell ref="DLY188:DMN188"/>
    <mergeCell ref="DMO188:DND188"/>
    <mergeCell ref="DNE188:DNT188"/>
    <mergeCell ref="DNU188:DOJ188"/>
    <mergeCell ref="DIG188:DIV188"/>
    <mergeCell ref="DIW188:DJL188"/>
    <mergeCell ref="DJM188:DKB188"/>
    <mergeCell ref="DKC188:DKR188"/>
    <mergeCell ref="DKS188:DLH188"/>
    <mergeCell ref="DFE188:DFT188"/>
    <mergeCell ref="DFU188:DGJ188"/>
    <mergeCell ref="DGK188:DGZ188"/>
    <mergeCell ref="DHA188:DHP188"/>
    <mergeCell ref="DHQ188:DIF188"/>
    <mergeCell ref="DCC188:DCR188"/>
    <mergeCell ref="DCS188:DDH188"/>
    <mergeCell ref="DDI188:DDX188"/>
    <mergeCell ref="DDY188:DEN188"/>
    <mergeCell ref="DEO188:DFD188"/>
    <mergeCell ref="CZA188:CZP188"/>
    <mergeCell ref="CZQ188:DAF188"/>
    <mergeCell ref="DAG188:DAV188"/>
    <mergeCell ref="DAW188:DBL188"/>
    <mergeCell ref="DBM188:DCB188"/>
    <mergeCell ref="CVY188:CWN188"/>
    <mergeCell ref="CWO188:CXD188"/>
    <mergeCell ref="CXE188:CXT188"/>
    <mergeCell ref="CXU188:CYJ188"/>
    <mergeCell ref="CYK188:CYZ188"/>
    <mergeCell ref="CSW188:CTL188"/>
    <mergeCell ref="CTM188:CUB188"/>
    <mergeCell ref="CUC188:CUR188"/>
    <mergeCell ref="CUS188:CVH188"/>
    <mergeCell ref="CVI188:CVX188"/>
    <mergeCell ref="CPU188:CQJ188"/>
    <mergeCell ref="CQK188:CQZ188"/>
    <mergeCell ref="CRA188:CRP188"/>
    <mergeCell ref="CRQ188:CSF188"/>
    <mergeCell ref="CSG188:CSV188"/>
    <mergeCell ref="CMS188:CNH188"/>
    <mergeCell ref="CNI188:CNX188"/>
    <mergeCell ref="CNY188:CON188"/>
    <mergeCell ref="COO188:CPD188"/>
    <mergeCell ref="CPE188:CPT188"/>
    <mergeCell ref="CJQ188:CKF188"/>
    <mergeCell ref="CKG188:CKV188"/>
    <mergeCell ref="CKW188:CLL188"/>
    <mergeCell ref="CLM188:CMB188"/>
    <mergeCell ref="CMC188:CMR188"/>
    <mergeCell ref="CGO188:CHD188"/>
    <mergeCell ref="CHE188:CHT188"/>
    <mergeCell ref="CHU188:CIJ188"/>
    <mergeCell ref="CIK188:CIZ188"/>
    <mergeCell ref="CJA188:CJP188"/>
    <mergeCell ref="CDM188:CEB188"/>
    <mergeCell ref="CEC188:CER188"/>
    <mergeCell ref="CES188:CFH188"/>
    <mergeCell ref="CFI188:CFX188"/>
    <mergeCell ref="CFY188:CGN188"/>
    <mergeCell ref="CAK188:CAZ188"/>
    <mergeCell ref="CBA188:CBP188"/>
    <mergeCell ref="CBQ188:CCF188"/>
    <mergeCell ref="CCG188:CCV188"/>
    <mergeCell ref="CCW188:CDL188"/>
    <mergeCell ref="BXI188:BXX188"/>
    <mergeCell ref="BXY188:BYN188"/>
    <mergeCell ref="BYO188:BZD188"/>
    <mergeCell ref="BZE188:BZT188"/>
    <mergeCell ref="BZU188:CAJ188"/>
    <mergeCell ref="BUG188:BUV188"/>
    <mergeCell ref="BUW188:BVL188"/>
    <mergeCell ref="BVM188:BWB188"/>
    <mergeCell ref="BWC188:BWR188"/>
    <mergeCell ref="BWS188:BXH188"/>
    <mergeCell ref="BRE188:BRT188"/>
    <mergeCell ref="BRU188:BSJ188"/>
    <mergeCell ref="BSK188:BSZ188"/>
    <mergeCell ref="BTA188:BTP188"/>
    <mergeCell ref="BTQ188:BUF188"/>
    <mergeCell ref="BOC188:BOR188"/>
    <mergeCell ref="BOS188:BPH188"/>
    <mergeCell ref="BPI188:BPX188"/>
    <mergeCell ref="BPY188:BQN188"/>
    <mergeCell ref="BQO188:BRD188"/>
    <mergeCell ref="BLA188:BLP188"/>
    <mergeCell ref="BLQ188:BMF188"/>
    <mergeCell ref="BMG188:BMV188"/>
    <mergeCell ref="BMW188:BNL188"/>
    <mergeCell ref="BNM188:BOB188"/>
    <mergeCell ref="BHY188:BIN188"/>
    <mergeCell ref="BIO188:BJD188"/>
    <mergeCell ref="BJE188:BJT188"/>
    <mergeCell ref="BJU188:BKJ188"/>
    <mergeCell ref="BKK188:BKZ188"/>
    <mergeCell ref="BEW188:BFL188"/>
    <mergeCell ref="BFM188:BGB188"/>
    <mergeCell ref="BGC188:BGR188"/>
    <mergeCell ref="BGS188:BHH188"/>
    <mergeCell ref="BHI188:BHX188"/>
    <mergeCell ref="BBU188:BCJ188"/>
    <mergeCell ref="BCK188:BCZ188"/>
    <mergeCell ref="BDA188:BDP188"/>
    <mergeCell ref="BDQ188:BEF188"/>
    <mergeCell ref="BEG188:BEV188"/>
    <mergeCell ref="AYS188:AZH188"/>
    <mergeCell ref="AZI188:AZX188"/>
    <mergeCell ref="AZY188:BAN188"/>
    <mergeCell ref="BAO188:BBD188"/>
    <mergeCell ref="BBE188:BBT188"/>
    <mergeCell ref="AVQ188:AWF188"/>
    <mergeCell ref="AWG188:AWV188"/>
    <mergeCell ref="AWW188:AXL188"/>
    <mergeCell ref="AXM188:AYB188"/>
    <mergeCell ref="AYC188:AYR188"/>
    <mergeCell ref="ASO188:ATD188"/>
    <mergeCell ref="ATE188:ATT188"/>
    <mergeCell ref="ATU188:AUJ188"/>
    <mergeCell ref="AUK188:AUZ188"/>
    <mergeCell ref="AVA188:AVP188"/>
    <mergeCell ref="APM188:AQB188"/>
    <mergeCell ref="AQC188:AQR188"/>
    <mergeCell ref="AQS188:ARH188"/>
    <mergeCell ref="ARI188:ARX188"/>
    <mergeCell ref="ARY188:ASN188"/>
    <mergeCell ref="AMK188:AMZ188"/>
    <mergeCell ref="ANA188:ANP188"/>
    <mergeCell ref="ANQ188:AOF188"/>
    <mergeCell ref="AOG188:AOV188"/>
    <mergeCell ref="AOW188:APL188"/>
    <mergeCell ref="AJI188:AJX188"/>
    <mergeCell ref="AJY188:AKN188"/>
    <mergeCell ref="AKO188:ALD188"/>
    <mergeCell ref="ALE188:ALT188"/>
    <mergeCell ref="ALU188:AMJ188"/>
    <mergeCell ref="AGG188:AGV188"/>
    <mergeCell ref="AGW188:AHL188"/>
    <mergeCell ref="AHM188:AIB188"/>
    <mergeCell ref="AIC188:AIR188"/>
    <mergeCell ref="AIS188:AJH188"/>
    <mergeCell ref="ADE188:ADT188"/>
    <mergeCell ref="ADU188:AEJ188"/>
    <mergeCell ref="AEK188:AEZ188"/>
    <mergeCell ref="AFA188:AFP188"/>
    <mergeCell ref="AFQ188:AGF188"/>
    <mergeCell ref="AAC188:AAR188"/>
    <mergeCell ref="AAS188:ABH188"/>
    <mergeCell ref="ABI188:ABX188"/>
    <mergeCell ref="ABY188:ACN188"/>
    <mergeCell ref="ACO188:ADD188"/>
    <mergeCell ref="XA188:XP188"/>
    <mergeCell ref="XQ188:YF188"/>
    <mergeCell ref="YG188:YV188"/>
    <mergeCell ref="YW188:ZL188"/>
    <mergeCell ref="ZM188:AAB188"/>
    <mergeCell ref="TY188:UN188"/>
    <mergeCell ref="UO188:VD188"/>
    <mergeCell ref="VE188:VT188"/>
    <mergeCell ref="VU188:WJ188"/>
    <mergeCell ref="WK188:WZ188"/>
    <mergeCell ref="QW188:RL188"/>
    <mergeCell ref="RM188:SB188"/>
    <mergeCell ref="SC188:SR188"/>
    <mergeCell ref="SS188:TH188"/>
    <mergeCell ref="TI188:TX188"/>
    <mergeCell ref="NU188:OJ188"/>
    <mergeCell ref="OK188:OZ188"/>
    <mergeCell ref="PA188:PP188"/>
    <mergeCell ref="PQ188:QF188"/>
    <mergeCell ref="QG188:QV188"/>
    <mergeCell ref="KS188:LH188"/>
    <mergeCell ref="LI188:LX188"/>
    <mergeCell ref="LY188:MN188"/>
    <mergeCell ref="MO188:ND188"/>
    <mergeCell ref="NE188:NT188"/>
    <mergeCell ref="HQ188:IF188"/>
    <mergeCell ref="IG188:IV188"/>
    <mergeCell ref="IW188:JL188"/>
    <mergeCell ref="JM188:KB188"/>
    <mergeCell ref="KC188:KR188"/>
    <mergeCell ref="EO188:FD188"/>
    <mergeCell ref="FE188:FT188"/>
    <mergeCell ref="FU188:GJ188"/>
    <mergeCell ref="GK188:GZ188"/>
    <mergeCell ref="HA188:HP188"/>
    <mergeCell ref="BM188:CB188"/>
    <mergeCell ref="CC188:CR188"/>
    <mergeCell ref="CS188:DH188"/>
    <mergeCell ref="DI188:DX188"/>
    <mergeCell ref="DY188:EN188"/>
    <mergeCell ref="D90:D91"/>
    <mergeCell ref="A188:P188"/>
    <mergeCell ref="Q188:AF188"/>
    <mergeCell ref="AG188:AV188"/>
    <mergeCell ref="AW188:BL188"/>
    <mergeCell ref="F90:F91"/>
    <mergeCell ref="G90:G91"/>
    <mergeCell ref="B189:N189"/>
    <mergeCell ref="G1:I1"/>
    <mergeCell ref="B2:I2"/>
    <mergeCell ref="H90:H91"/>
    <mergeCell ref="I90:I91"/>
    <mergeCell ref="B90:B91"/>
    <mergeCell ref="C90:C91"/>
    <mergeCell ref="B72:B73"/>
    <mergeCell ref="C72:C73"/>
    <mergeCell ref="D72:D73"/>
    <mergeCell ref="F72:F73"/>
    <mergeCell ref="G72:G73"/>
    <mergeCell ref="H72:H73"/>
    <mergeCell ref="I72:I73"/>
  </mergeCells>
  <phoneticPr fontId="16" type="noConversion"/>
  <pageMargins left="0.31496062992125984" right="0.31496062992125984" top="0.35433070866141736" bottom="0.39370078740157483" header="0.35433070866141736" footer="0.35433070866141736"/>
  <pageSetup paperSize="9" scale="77" fitToHeight="0" orientation="landscape" r:id="rId1"/>
  <headerFooter alignWithMargins="0">
    <oddFooter>&amp;R&amp;P</oddFooter>
  </headerFooter>
  <rowBreaks count="7" manualBreakCount="7">
    <brk id="13" max="8" man="1"/>
    <brk id="68" max="8" man="1"/>
    <brk id="80" max="8" man="1"/>
    <brk id="92" max="8" man="1"/>
    <brk id="120" max="8" man="1"/>
    <brk id="132" max="8" man="1"/>
    <brk id="144" max="8" man="1"/>
  </rowBreaks>
</worksheet>
</file>

<file path=xl/worksheets/sheet9.xml><?xml version="1.0" encoding="utf-8"?>
<worksheet xmlns="http://schemas.openxmlformats.org/spreadsheetml/2006/main" xmlns:r="http://schemas.openxmlformats.org/officeDocument/2006/relationships">
  <sheetPr>
    <tabColor rgb="FF66FFFF"/>
  </sheetPr>
  <dimension ref="A1:T203"/>
  <sheetViews>
    <sheetView view="pageBreakPreview" zoomScale="25" zoomScaleNormal="25" zoomScaleSheetLayoutView="25" zoomScalePageLayoutView="10" workbookViewId="0">
      <pane ySplit="11" topLeftCell="A127" activePane="bottomLeft" state="frozen"/>
      <selection pane="bottomLeft" activeCell="O143" sqref="O143"/>
    </sheetView>
  </sheetViews>
  <sheetFormatPr defaultRowHeight="12.75"/>
  <cols>
    <col min="1" max="3" width="43.42578125" style="2" customWidth="1"/>
    <col min="4" max="4" width="106.28515625" style="2" customWidth="1"/>
    <col min="5" max="5" width="50.7109375" style="10" customWidth="1"/>
    <col min="6" max="6" width="51.85546875" style="14" customWidth="1"/>
    <col min="7" max="7" width="48.7109375" style="2" customWidth="1"/>
    <col min="8" max="8" width="48.140625" style="2" customWidth="1"/>
    <col min="9" max="9" width="32.7109375" style="2" customWidth="1"/>
    <col min="10" max="10" width="50.5703125" style="10" customWidth="1"/>
    <col min="11" max="11" width="48.5703125" style="14" customWidth="1"/>
    <col min="12" max="12" width="45.28515625" style="2" customWidth="1"/>
    <col min="13" max="13" width="44.28515625" style="2" customWidth="1"/>
    <col min="14" max="14" width="54.7109375" style="14" customWidth="1"/>
    <col min="15" max="15" width="55.5703125" style="2" customWidth="1"/>
    <col min="16" max="16" width="70.28515625" style="10" customWidth="1"/>
    <col min="17" max="17" width="63" customWidth="1"/>
    <col min="18" max="18" width="40.140625" bestFit="1" customWidth="1"/>
    <col min="20" max="20" width="24.7109375" bestFit="1" customWidth="1"/>
  </cols>
  <sheetData>
    <row r="1" spans="1:17" ht="45.75">
      <c r="D1" s="429"/>
      <c r="E1" s="430"/>
      <c r="F1" s="18"/>
      <c r="G1" s="19"/>
      <c r="H1" s="19"/>
      <c r="I1" s="19"/>
      <c r="J1" s="430"/>
      <c r="K1" s="19"/>
      <c r="L1" s="19"/>
      <c r="M1" s="19"/>
      <c r="N1" s="571" t="s">
        <v>132</v>
      </c>
      <c r="O1" s="571"/>
      <c r="P1" s="571"/>
    </row>
    <row r="2" spans="1:17" ht="45.75">
      <c r="A2" s="429"/>
      <c r="B2" s="429"/>
      <c r="C2" s="429"/>
      <c r="D2" s="429"/>
      <c r="E2" s="430"/>
      <c r="F2" s="18"/>
      <c r="G2" s="19"/>
      <c r="H2" s="19"/>
      <c r="I2" s="19"/>
      <c r="J2" s="430"/>
      <c r="K2" s="19"/>
      <c r="L2" s="19"/>
      <c r="M2" s="19"/>
      <c r="N2" s="571" t="s">
        <v>736</v>
      </c>
      <c r="O2" s="572"/>
      <c r="P2" s="572"/>
    </row>
    <row r="3" spans="1:17" ht="40.5" customHeight="1">
      <c r="A3" s="429"/>
      <c r="B3" s="429"/>
      <c r="C3" s="429"/>
      <c r="D3" s="429"/>
      <c r="E3" s="430"/>
      <c r="F3" s="18"/>
      <c r="G3" s="19"/>
      <c r="H3" s="19"/>
      <c r="I3" s="19"/>
      <c r="J3" s="430"/>
      <c r="K3" s="19"/>
      <c r="L3" s="19"/>
      <c r="M3" s="19"/>
      <c r="N3" s="571"/>
      <c r="O3" s="572"/>
      <c r="P3" s="572"/>
    </row>
    <row r="4" spans="1:17" ht="45.75" hidden="1">
      <c r="A4" s="429"/>
      <c r="B4" s="429"/>
      <c r="C4" s="429"/>
      <c r="D4" s="429"/>
      <c r="E4" s="430"/>
      <c r="F4" s="18"/>
      <c r="G4" s="19"/>
      <c r="H4" s="19"/>
      <c r="I4" s="19"/>
      <c r="J4" s="430"/>
      <c r="K4" s="19"/>
      <c r="L4" s="19"/>
      <c r="M4" s="19"/>
      <c r="N4" s="345"/>
      <c r="O4" s="429"/>
      <c r="P4" s="428"/>
    </row>
    <row r="5" spans="1:17" ht="45">
      <c r="A5" s="574" t="s">
        <v>131</v>
      </c>
      <c r="B5" s="574"/>
      <c r="C5" s="574"/>
      <c r="D5" s="574"/>
      <c r="E5" s="574"/>
      <c r="F5" s="574"/>
      <c r="G5" s="574"/>
      <c r="H5" s="574"/>
      <c r="I5" s="574"/>
      <c r="J5" s="574"/>
      <c r="K5" s="574"/>
      <c r="L5" s="574"/>
      <c r="M5" s="574"/>
      <c r="N5" s="574"/>
      <c r="O5" s="574"/>
      <c r="P5" s="574"/>
    </row>
    <row r="6" spans="1:17" ht="45">
      <c r="A6" s="574" t="s">
        <v>653</v>
      </c>
      <c r="B6" s="574"/>
      <c r="C6" s="574"/>
      <c r="D6" s="574"/>
      <c r="E6" s="574"/>
      <c r="F6" s="574"/>
      <c r="G6" s="574"/>
      <c r="H6" s="574"/>
      <c r="I6" s="574"/>
      <c r="J6" s="574"/>
      <c r="K6" s="574"/>
      <c r="L6" s="574"/>
      <c r="M6" s="574"/>
      <c r="N6" s="574"/>
      <c r="O6" s="574"/>
      <c r="P6" s="574"/>
    </row>
    <row r="7" spans="1:17" ht="53.25" customHeight="1">
      <c r="A7" s="430"/>
      <c r="B7" s="430"/>
      <c r="C7" s="430"/>
      <c r="D7" s="430"/>
      <c r="E7" s="430"/>
      <c r="F7" s="18"/>
      <c r="G7" s="430"/>
      <c r="H7" s="430"/>
      <c r="I7" s="430"/>
      <c r="J7" s="430"/>
      <c r="K7" s="19"/>
      <c r="L7" s="430"/>
      <c r="M7" s="430"/>
      <c r="N7" s="19"/>
      <c r="O7" s="430"/>
      <c r="P7" s="21" t="s">
        <v>137</v>
      </c>
    </row>
    <row r="8" spans="1:17" ht="62.25" customHeight="1">
      <c r="A8" s="577" t="s">
        <v>41</v>
      </c>
      <c r="B8" s="577" t="s">
        <v>42</v>
      </c>
      <c r="C8" s="425"/>
      <c r="D8" s="577" t="s">
        <v>45</v>
      </c>
      <c r="E8" s="573" t="s">
        <v>36</v>
      </c>
      <c r="F8" s="573"/>
      <c r="G8" s="573"/>
      <c r="H8" s="573"/>
      <c r="I8" s="573"/>
      <c r="J8" s="573" t="s">
        <v>127</v>
      </c>
      <c r="K8" s="573"/>
      <c r="L8" s="573"/>
      <c r="M8" s="573"/>
      <c r="N8" s="573"/>
      <c r="O8" s="22"/>
      <c r="P8" s="573" t="s">
        <v>35</v>
      </c>
    </row>
    <row r="9" spans="1:17" ht="255" customHeight="1">
      <c r="A9" s="578"/>
      <c r="B9" s="580"/>
      <c r="C9" s="426" t="s">
        <v>43</v>
      </c>
      <c r="D9" s="578"/>
      <c r="E9" s="575" t="s">
        <v>7</v>
      </c>
      <c r="F9" s="576" t="s">
        <v>128</v>
      </c>
      <c r="G9" s="575" t="s">
        <v>37</v>
      </c>
      <c r="H9" s="575"/>
      <c r="I9" s="576" t="s">
        <v>130</v>
      </c>
      <c r="J9" s="575" t="s">
        <v>7</v>
      </c>
      <c r="K9" s="576" t="s">
        <v>128</v>
      </c>
      <c r="L9" s="575" t="s">
        <v>37</v>
      </c>
      <c r="M9" s="575"/>
      <c r="N9" s="576" t="s">
        <v>130</v>
      </c>
      <c r="O9" s="423" t="s">
        <v>37</v>
      </c>
      <c r="P9" s="573"/>
    </row>
    <row r="10" spans="1:17" ht="137.25">
      <c r="A10" s="579"/>
      <c r="B10" s="579"/>
      <c r="C10" s="427"/>
      <c r="D10" s="579"/>
      <c r="E10" s="575"/>
      <c r="F10" s="576"/>
      <c r="G10" s="423" t="s">
        <v>129</v>
      </c>
      <c r="H10" s="423" t="s">
        <v>40</v>
      </c>
      <c r="I10" s="576"/>
      <c r="J10" s="575"/>
      <c r="K10" s="576"/>
      <c r="L10" s="423" t="s">
        <v>129</v>
      </c>
      <c r="M10" s="423" t="s">
        <v>40</v>
      </c>
      <c r="N10" s="576"/>
      <c r="O10" s="423" t="s">
        <v>32</v>
      </c>
      <c r="P10" s="573"/>
    </row>
    <row r="11" spans="1:17" s="3" customFormat="1" ht="45.75">
      <c r="A11" s="23" t="s">
        <v>9</v>
      </c>
      <c r="B11" s="23" t="s">
        <v>10</v>
      </c>
      <c r="C11" s="23" t="s">
        <v>39</v>
      </c>
      <c r="D11" s="23" t="s">
        <v>12</v>
      </c>
      <c r="E11" s="24">
        <v>5</v>
      </c>
      <c r="F11" s="424">
        <v>6</v>
      </c>
      <c r="G11" s="24">
        <v>7</v>
      </c>
      <c r="H11" s="24">
        <v>8</v>
      </c>
      <c r="I11" s="24">
        <v>9</v>
      </c>
      <c r="J11" s="24">
        <v>10</v>
      </c>
      <c r="K11" s="342">
        <v>11</v>
      </c>
      <c r="L11" s="24">
        <v>12</v>
      </c>
      <c r="M11" s="24">
        <v>13</v>
      </c>
      <c r="N11" s="342">
        <v>14</v>
      </c>
      <c r="O11" s="24">
        <v>15</v>
      </c>
      <c r="P11" s="24">
        <v>16</v>
      </c>
    </row>
    <row r="12" spans="1:17" s="3" customFormat="1" ht="135">
      <c r="A12" s="271" t="s">
        <v>310</v>
      </c>
      <c r="B12" s="271"/>
      <c r="C12" s="271"/>
      <c r="D12" s="273" t="s">
        <v>312</v>
      </c>
      <c r="E12" s="274">
        <f>E13</f>
        <v>117957800</v>
      </c>
      <c r="F12" s="274">
        <f t="shared" ref="F12:P12" si="0">F13</f>
        <v>117957800</v>
      </c>
      <c r="G12" s="274">
        <f t="shared" si="0"/>
        <v>80106000</v>
      </c>
      <c r="H12" s="274">
        <f t="shared" si="0"/>
        <v>3981700</v>
      </c>
      <c r="I12" s="274">
        <f t="shared" si="0"/>
        <v>0</v>
      </c>
      <c r="J12" s="274">
        <f t="shared" si="0"/>
        <v>6558200</v>
      </c>
      <c r="K12" s="274">
        <f t="shared" si="0"/>
        <v>2667000</v>
      </c>
      <c r="L12" s="274">
        <f t="shared" si="0"/>
        <v>0</v>
      </c>
      <c r="M12" s="274">
        <f t="shared" si="0"/>
        <v>0</v>
      </c>
      <c r="N12" s="274">
        <f t="shared" si="0"/>
        <v>3891200</v>
      </c>
      <c r="O12" s="275">
        <f t="shared" si="0"/>
        <v>3151200</v>
      </c>
      <c r="P12" s="274">
        <f t="shared" si="0"/>
        <v>124516000</v>
      </c>
    </row>
    <row r="13" spans="1:17" s="3" customFormat="1" ht="135">
      <c r="A13" s="272" t="s">
        <v>311</v>
      </c>
      <c r="B13" s="272"/>
      <c r="C13" s="272"/>
      <c r="D13" s="276" t="s">
        <v>313</v>
      </c>
      <c r="E13" s="277">
        <f>F13</f>
        <v>117957800</v>
      </c>
      <c r="F13" s="278">
        <f>F14+F15+F23+F17+F24+F16+F19+F18</f>
        <v>117957800</v>
      </c>
      <c r="G13" s="278">
        <f>G14+G15+G23+G17+G24+G16</f>
        <v>80106000</v>
      </c>
      <c r="H13" s="278">
        <f>H14+H15+H23+H17+H24+H16</f>
        <v>3981700</v>
      </c>
      <c r="I13" s="278">
        <v>0</v>
      </c>
      <c r="J13" s="279">
        <f t="shared" ref="J13:J23" si="1">K13+N13</f>
        <v>6558200</v>
      </c>
      <c r="K13" s="278">
        <f>K14+K15+K23+K17+K24+K16+K20+K18</f>
        <v>2667000</v>
      </c>
      <c r="L13" s="278">
        <f>L14+L15+L23+L17+L24+L16</f>
        <v>0</v>
      </c>
      <c r="M13" s="278">
        <f>M14+M15+M23+M17+M24+M16</f>
        <v>0</v>
      </c>
      <c r="N13" s="278">
        <f>N14+N15+N23+N17+N24+N16+N20+N18</f>
        <v>3891200</v>
      </c>
      <c r="O13" s="278">
        <f>O14+O15+O23+O17+O24+O16+O20+O18</f>
        <v>3151200</v>
      </c>
      <c r="P13" s="277">
        <f>J13+E13</f>
        <v>124516000</v>
      </c>
      <c r="Q13" s="229"/>
    </row>
    <row r="14" spans="1:17" ht="320.25">
      <c r="A14" s="431" t="s">
        <v>438</v>
      </c>
      <c r="B14" s="431" t="s">
        <v>439</v>
      </c>
      <c r="C14" s="431" t="s">
        <v>440</v>
      </c>
      <c r="D14" s="431" t="s">
        <v>437</v>
      </c>
      <c r="E14" s="432">
        <f t="shared" ref="E14:E24" si="2">F14</f>
        <v>61847000</v>
      </c>
      <c r="F14" s="62">
        <v>61847000</v>
      </c>
      <c r="G14" s="213">
        <v>42799000</v>
      </c>
      <c r="H14" s="213">
        <v>2438200</v>
      </c>
      <c r="I14" s="62"/>
      <c r="J14" s="212">
        <f t="shared" si="1"/>
        <v>525200</v>
      </c>
      <c r="K14" s="214"/>
      <c r="L14" s="215"/>
      <c r="M14" s="215"/>
      <c r="N14" s="303">
        <f t="shared" ref="N14:N24" si="3">O14</f>
        <v>525200</v>
      </c>
      <c r="O14" s="298">
        <v>525200</v>
      </c>
      <c r="P14" s="432">
        <f>+J14+E14</f>
        <v>62372200</v>
      </c>
    </row>
    <row r="15" spans="1:17" ht="228.75">
      <c r="A15" s="431" t="s">
        <v>442</v>
      </c>
      <c r="B15" s="431" t="s">
        <v>443</v>
      </c>
      <c r="C15" s="431" t="s">
        <v>440</v>
      </c>
      <c r="D15" s="431" t="s">
        <v>441</v>
      </c>
      <c r="E15" s="432">
        <f t="shared" si="2"/>
        <v>50457100</v>
      </c>
      <c r="F15" s="303">
        <f>49657100+750000+50000</f>
        <v>50457100</v>
      </c>
      <c r="G15" s="298">
        <v>37157000</v>
      </c>
      <c r="H15" s="298">
        <v>1543500</v>
      </c>
      <c r="I15" s="303"/>
      <c r="J15" s="432">
        <f t="shared" si="1"/>
        <v>126000</v>
      </c>
      <c r="K15" s="303"/>
      <c r="L15" s="298"/>
      <c r="M15" s="298"/>
      <c r="N15" s="303">
        <f t="shared" si="3"/>
        <v>126000</v>
      </c>
      <c r="O15" s="298">
        <f>826000-750000+50000</f>
        <v>126000</v>
      </c>
      <c r="P15" s="432">
        <f>E15+J15</f>
        <v>50583100</v>
      </c>
    </row>
    <row r="16" spans="1:17" ht="91.5">
      <c r="A16" s="431" t="s">
        <v>455</v>
      </c>
      <c r="B16" s="431" t="s">
        <v>106</v>
      </c>
      <c r="C16" s="431" t="s">
        <v>105</v>
      </c>
      <c r="D16" s="431" t="s">
        <v>456</v>
      </c>
      <c r="E16" s="432">
        <f t="shared" si="2"/>
        <v>1023000</v>
      </c>
      <c r="F16" s="303">
        <f>1188000-165000</f>
        <v>1023000</v>
      </c>
      <c r="G16" s="298">
        <v>150000</v>
      </c>
      <c r="H16" s="298"/>
      <c r="I16" s="303"/>
      <c r="J16" s="432">
        <f t="shared" si="1"/>
        <v>0</v>
      </c>
      <c r="K16" s="303"/>
      <c r="L16" s="298"/>
      <c r="M16" s="298"/>
      <c r="N16" s="303">
        <f>O16</f>
        <v>0</v>
      </c>
      <c r="O16" s="298"/>
      <c r="P16" s="432">
        <f>E16+J16</f>
        <v>1023000</v>
      </c>
    </row>
    <row r="17" spans="1:20" ht="91.5">
      <c r="A17" s="431" t="s">
        <v>445</v>
      </c>
      <c r="B17" s="431" t="s">
        <v>446</v>
      </c>
      <c r="C17" s="431" t="s">
        <v>447</v>
      </c>
      <c r="D17" s="431" t="s">
        <v>444</v>
      </c>
      <c r="E17" s="432">
        <f t="shared" si="2"/>
        <v>1750700</v>
      </c>
      <c r="F17" s="303">
        <v>1750700</v>
      </c>
      <c r="G17" s="298"/>
      <c r="H17" s="298"/>
      <c r="I17" s="303"/>
      <c r="J17" s="432">
        <f t="shared" si="1"/>
        <v>0</v>
      </c>
      <c r="K17" s="303"/>
      <c r="L17" s="298"/>
      <c r="M17" s="298"/>
      <c r="N17" s="303">
        <f>O17</f>
        <v>0</v>
      </c>
      <c r="O17" s="298"/>
      <c r="P17" s="432">
        <f>+J17+E17</f>
        <v>1750700</v>
      </c>
    </row>
    <row r="18" spans="1:20" ht="91.5">
      <c r="A18" s="431" t="s">
        <v>658</v>
      </c>
      <c r="B18" s="222" t="s">
        <v>383</v>
      </c>
      <c r="C18" s="222" t="s">
        <v>334</v>
      </c>
      <c r="D18" s="431" t="s">
        <v>91</v>
      </c>
      <c r="E18" s="432">
        <f t="shared" si="2"/>
        <v>0</v>
      </c>
      <c r="F18" s="303"/>
      <c r="G18" s="298"/>
      <c r="H18" s="298"/>
      <c r="I18" s="303"/>
      <c r="J18" s="432">
        <f t="shared" si="1"/>
        <v>2500000</v>
      </c>
      <c r="K18" s="303"/>
      <c r="L18" s="298"/>
      <c r="M18" s="298"/>
      <c r="N18" s="303">
        <f>O18</f>
        <v>2500000</v>
      </c>
      <c r="O18" s="298">
        <v>2500000</v>
      </c>
      <c r="P18" s="432">
        <f>+J18+E18</f>
        <v>2500000</v>
      </c>
    </row>
    <row r="19" spans="1:20" ht="91.5">
      <c r="A19" s="431" t="s">
        <v>577</v>
      </c>
      <c r="B19" s="431" t="s">
        <v>578</v>
      </c>
      <c r="C19" s="431" t="s">
        <v>334</v>
      </c>
      <c r="D19" s="422" t="s">
        <v>576</v>
      </c>
      <c r="E19" s="432">
        <f t="shared" si="2"/>
        <v>165000</v>
      </c>
      <c r="F19" s="303">
        <v>165000</v>
      </c>
      <c r="G19" s="298"/>
      <c r="H19" s="298"/>
      <c r="I19" s="303"/>
      <c r="J19" s="432">
        <f t="shared" si="1"/>
        <v>0</v>
      </c>
      <c r="K19" s="303"/>
      <c r="L19" s="298"/>
      <c r="M19" s="298"/>
      <c r="N19" s="303">
        <f>O19</f>
        <v>0</v>
      </c>
      <c r="O19" s="298"/>
      <c r="P19" s="432">
        <f>+J19+E19</f>
        <v>165000</v>
      </c>
    </row>
    <row r="20" spans="1:20" ht="46.5">
      <c r="A20" s="431" t="s">
        <v>458</v>
      </c>
      <c r="B20" s="431" t="s">
        <v>459</v>
      </c>
      <c r="C20" s="431"/>
      <c r="D20" s="308" t="s">
        <v>457</v>
      </c>
      <c r="E20" s="432">
        <f t="shared" si="2"/>
        <v>0</v>
      </c>
      <c r="F20" s="303"/>
      <c r="G20" s="298"/>
      <c r="H20" s="298"/>
      <c r="I20" s="303"/>
      <c r="J20" s="432">
        <f t="shared" si="1"/>
        <v>3407000</v>
      </c>
      <c r="K20" s="303">
        <f>K21</f>
        <v>2667000</v>
      </c>
      <c r="L20" s="298"/>
      <c r="M20" s="298"/>
      <c r="N20" s="303">
        <f>N21</f>
        <v>740000</v>
      </c>
      <c r="O20" s="298">
        <f>O21</f>
        <v>0</v>
      </c>
      <c r="P20" s="432">
        <f>+J20+E20</f>
        <v>3407000</v>
      </c>
    </row>
    <row r="21" spans="1:20" ht="409.5">
      <c r="A21" s="565" t="s">
        <v>714</v>
      </c>
      <c r="B21" s="565" t="s">
        <v>713</v>
      </c>
      <c r="C21" s="565" t="s">
        <v>334</v>
      </c>
      <c r="D21" s="308" t="s">
        <v>743</v>
      </c>
      <c r="E21" s="569">
        <f t="shared" si="2"/>
        <v>0</v>
      </c>
      <c r="F21" s="569"/>
      <c r="G21" s="569"/>
      <c r="H21" s="569"/>
      <c r="I21" s="569"/>
      <c r="J21" s="569">
        <f t="shared" si="1"/>
        <v>3407000</v>
      </c>
      <c r="K21" s="569">
        <v>2667000</v>
      </c>
      <c r="L21" s="569"/>
      <c r="M21" s="569"/>
      <c r="N21" s="569">
        <f>O21+740000</f>
        <v>740000</v>
      </c>
      <c r="O21" s="569"/>
      <c r="P21" s="569">
        <f>E21+J21</f>
        <v>3407000</v>
      </c>
    </row>
    <row r="22" spans="1:20" ht="137.25">
      <c r="A22" s="562"/>
      <c r="B22" s="562"/>
      <c r="C22" s="562"/>
      <c r="D22" s="411" t="s">
        <v>744</v>
      </c>
      <c r="E22" s="586"/>
      <c r="F22" s="586"/>
      <c r="G22" s="570"/>
      <c r="H22" s="570"/>
      <c r="I22" s="570"/>
      <c r="J22" s="570"/>
      <c r="K22" s="570"/>
      <c r="L22" s="570"/>
      <c r="M22" s="570"/>
      <c r="N22" s="570"/>
      <c r="O22" s="570"/>
      <c r="P22" s="570"/>
    </row>
    <row r="23" spans="1:20" ht="91.5">
      <c r="A23" s="431" t="s">
        <v>448</v>
      </c>
      <c r="B23" s="431" t="s">
        <v>449</v>
      </c>
      <c r="C23" s="431" t="s">
        <v>450</v>
      </c>
      <c r="D23" s="422" t="s">
        <v>451</v>
      </c>
      <c r="E23" s="432">
        <f>F23</f>
        <v>2555000</v>
      </c>
      <c r="F23" s="303">
        <v>2555000</v>
      </c>
      <c r="G23" s="298"/>
      <c r="H23" s="298"/>
      <c r="I23" s="303"/>
      <c r="J23" s="432">
        <f t="shared" si="1"/>
        <v>0</v>
      </c>
      <c r="K23" s="303"/>
      <c r="L23" s="298"/>
      <c r="M23" s="298"/>
      <c r="N23" s="303">
        <f t="shared" si="3"/>
        <v>0</v>
      </c>
      <c r="O23" s="298"/>
      <c r="P23" s="432">
        <f t="shared" ref="P23:P24" si="4">E23+J23</f>
        <v>2555000</v>
      </c>
    </row>
    <row r="24" spans="1:20" ht="228.75">
      <c r="A24" s="431" t="s">
        <v>452</v>
      </c>
      <c r="B24" s="431" t="s">
        <v>453</v>
      </c>
      <c r="C24" s="431" t="s">
        <v>106</v>
      </c>
      <c r="D24" s="431" t="s">
        <v>454</v>
      </c>
      <c r="E24" s="432">
        <f t="shared" si="2"/>
        <v>160000</v>
      </c>
      <c r="F24" s="303">
        <v>160000</v>
      </c>
      <c r="G24" s="298"/>
      <c r="H24" s="298"/>
      <c r="I24" s="303"/>
      <c r="J24" s="432"/>
      <c r="K24" s="303"/>
      <c r="L24" s="298"/>
      <c r="M24" s="298"/>
      <c r="N24" s="303">
        <f t="shared" si="3"/>
        <v>0</v>
      </c>
      <c r="O24" s="298"/>
      <c r="P24" s="432">
        <f t="shared" si="4"/>
        <v>160000</v>
      </c>
    </row>
    <row r="25" spans="1:20" ht="135">
      <c r="A25" s="271" t="s">
        <v>314</v>
      </c>
      <c r="B25" s="271"/>
      <c r="C25" s="271"/>
      <c r="D25" s="273" t="s">
        <v>1</v>
      </c>
      <c r="E25" s="278">
        <f>E26</f>
        <v>857753620</v>
      </c>
      <c r="F25" s="278">
        <f t="shared" ref="F25:P25" si="5">F26</f>
        <v>857753620</v>
      </c>
      <c r="G25" s="278">
        <f t="shared" si="5"/>
        <v>549448000</v>
      </c>
      <c r="H25" s="278">
        <f t="shared" si="5"/>
        <v>87998731</v>
      </c>
      <c r="I25" s="278">
        <f t="shared" si="5"/>
        <v>0</v>
      </c>
      <c r="J25" s="278">
        <f t="shared" si="5"/>
        <v>108505859</v>
      </c>
      <c r="K25" s="278">
        <f t="shared" si="5"/>
        <v>84125300</v>
      </c>
      <c r="L25" s="278">
        <f t="shared" si="5"/>
        <v>21847500</v>
      </c>
      <c r="M25" s="278">
        <f t="shared" si="5"/>
        <v>6128000</v>
      </c>
      <c r="N25" s="278">
        <f t="shared" si="5"/>
        <v>24380559</v>
      </c>
      <c r="O25" s="277">
        <f t="shared" si="5"/>
        <v>22652759</v>
      </c>
      <c r="P25" s="278">
        <f t="shared" si="5"/>
        <v>966259479</v>
      </c>
    </row>
    <row r="26" spans="1:20" ht="135">
      <c r="A26" s="272" t="s">
        <v>315</v>
      </c>
      <c r="B26" s="272"/>
      <c r="C26" s="272"/>
      <c r="D26" s="276" t="s">
        <v>2</v>
      </c>
      <c r="E26" s="277">
        <f>E27+E28+E29+E30+E31+E33+E34+E32+E38+E37</f>
        <v>857753620</v>
      </c>
      <c r="F26" s="278">
        <f>F27+F28+F29+F30+F31+F33+F34+F32+F38+F377+F37</f>
        <v>857753620</v>
      </c>
      <c r="G26" s="277">
        <f>G27+G28+G29+G30+G31+G33+G34+G32+G38</f>
        <v>549448000</v>
      </c>
      <c r="H26" s="277">
        <f>H27+H28+H29+H30+H31+H33+H34+H32+H38</f>
        <v>87998731</v>
      </c>
      <c r="I26" s="278">
        <f>I27+I28+I29+I30+I31+I33+I34+I32</f>
        <v>0</v>
      </c>
      <c r="J26" s="277">
        <f t="shared" ref="J26:O26" si="6">J27+J28+J29+J30+J31+J33+J34+J32+J38</f>
        <v>108505859</v>
      </c>
      <c r="K26" s="278">
        <f t="shared" si="6"/>
        <v>84125300</v>
      </c>
      <c r="L26" s="277">
        <f t="shared" si="6"/>
        <v>21847500</v>
      </c>
      <c r="M26" s="277">
        <f t="shared" si="6"/>
        <v>6128000</v>
      </c>
      <c r="N26" s="278">
        <f t="shared" si="6"/>
        <v>24380559</v>
      </c>
      <c r="O26" s="277">
        <f t="shared" si="6"/>
        <v>22652759</v>
      </c>
      <c r="P26" s="277">
        <f t="shared" ref="P26:P37" si="7">E26+J26</f>
        <v>966259479</v>
      </c>
    </row>
    <row r="27" spans="1:20" ht="67.5" customHeight="1">
      <c r="A27" s="431" t="s">
        <v>386</v>
      </c>
      <c r="B27" s="431" t="s">
        <v>387</v>
      </c>
      <c r="C27" s="431" t="s">
        <v>389</v>
      </c>
      <c r="D27" s="431" t="s">
        <v>390</v>
      </c>
      <c r="E27" s="432">
        <f>F27</f>
        <v>241767632</v>
      </c>
      <c r="F27" s="303">
        <f>241481300+165502+120830</f>
        <v>241767632</v>
      </c>
      <c r="G27" s="298">
        <v>151576300</v>
      </c>
      <c r="H27" s="298">
        <v>27650500</v>
      </c>
      <c r="I27" s="303"/>
      <c r="J27" s="432">
        <f t="shared" ref="J27:J35" si="8">K27+N27</f>
        <v>39958742</v>
      </c>
      <c r="K27" s="303">
        <v>34398400</v>
      </c>
      <c r="L27" s="298">
        <v>6344700</v>
      </c>
      <c r="M27" s="298">
        <v>677200</v>
      </c>
      <c r="N27" s="303">
        <f>O27+525900</f>
        <v>5560342</v>
      </c>
      <c r="O27" s="298">
        <f>2466200+2000000+60000+353242+55000+50000*2</f>
        <v>5034442</v>
      </c>
      <c r="P27" s="432">
        <f t="shared" si="7"/>
        <v>281726374</v>
      </c>
      <c r="Q27" s="28"/>
      <c r="R27" s="28"/>
    </row>
    <row r="28" spans="1:20" ht="389.25" customHeight="1">
      <c r="A28" s="431" t="s">
        <v>392</v>
      </c>
      <c r="B28" s="431" t="s">
        <v>388</v>
      </c>
      <c r="C28" s="431" t="s">
        <v>393</v>
      </c>
      <c r="D28" s="431" t="s">
        <v>391</v>
      </c>
      <c r="E28" s="432">
        <f t="shared" ref="E28:E37" si="9">F28</f>
        <v>456912757</v>
      </c>
      <c r="F28" s="303">
        <f>448765400+1750000+318969+495888+5582500</f>
        <v>456912757</v>
      </c>
      <c r="G28" s="298">
        <v>302091800</v>
      </c>
      <c r="H28" s="298">
        <f>36896200+5582500</f>
        <v>42478700</v>
      </c>
      <c r="I28" s="303"/>
      <c r="J28" s="432">
        <f t="shared" si="8"/>
        <v>41278769</v>
      </c>
      <c r="K28" s="303">
        <v>36530400</v>
      </c>
      <c r="L28" s="298">
        <v>12782600</v>
      </c>
      <c r="M28" s="298">
        <v>912900</v>
      </c>
      <c r="N28" s="303">
        <f>O28+802800</f>
        <v>4748369</v>
      </c>
      <c r="O28" s="298">
        <f>1348532+200000+500000+297437+100000+749800*2</f>
        <v>3945569</v>
      </c>
      <c r="P28" s="432">
        <f t="shared" si="7"/>
        <v>498191526</v>
      </c>
      <c r="Q28" s="28"/>
      <c r="R28" s="28"/>
      <c r="T28" s="230"/>
    </row>
    <row r="29" spans="1:20" ht="137.25">
      <c r="A29" s="431" t="s">
        <v>394</v>
      </c>
      <c r="B29" s="431" t="s">
        <v>395</v>
      </c>
      <c r="C29" s="431" t="s">
        <v>393</v>
      </c>
      <c r="D29" s="431" t="s">
        <v>46</v>
      </c>
      <c r="E29" s="432">
        <f t="shared" si="9"/>
        <v>2352800</v>
      </c>
      <c r="F29" s="303">
        <f>2337100+15700</f>
        <v>2352800</v>
      </c>
      <c r="G29" s="298">
        <v>1765400</v>
      </c>
      <c r="H29" s="298">
        <f>93700+15700</f>
        <v>109400</v>
      </c>
      <c r="I29" s="303"/>
      <c r="J29" s="432">
        <f t="shared" si="8"/>
        <v>0</v>
      </c>
      <c r="K29" s="303"/>
      <c r="L29" s="298"/>
      <c r="M29" s="298"/>
      <c r="N29" s="303">
        <f t="shared" ref="N29:N33" si="10">O29</f>
        <v>0</v>
      </c>
      <c r="O29" s="298"/>
      <c r="P29" s="432">
        <f t="shared" si="7"/>
        <v>2352800</v>
      </c>
    </row>
    <row r="30" spans="1:20" ht="409.6" customHeight="1">
      <c r="A30" s="431" t="s">
        <v>397</v>
      </c>
      <c r="B30" s="431" t="s">
        <v>396</v>
      </c>
      <c r="C30" s="431" t="s">
        <v>398</v>
      </c>
      <c r="D30" s="431" t="s">
        <v>47</v>
      </c>
      <c r="E30" s="432">
        <f t="shared" si="9"/>
        <v>14190300</v>
      </c>
      <c r="F30" s="303">
        <f>13802000+388300</f>
        <v>14190300</v>
      </c>
      <c r="G30" s="298">
        <v>9727200</v>
      </c>
      <c r="H30" s="298">
        <f>941200+388300</f>
        <v>1329500</v>
      </c>
      <c r="I30" s="303"/>
      <c r="J30" s="432">
        <f t="shared" si="8"/>
        <v>335600</v>
      </c>
      <c r="K30" s="303">
        <v>35600</v>
      </c>
      <c r="L30" s="298"/>
      <c r="M30" s="298">
        <v>24400</v>
      </c>
      <c r="N30" s="303">
        <f t="shared" si="10"/>
        <v>300000</v>
      </c>
      <c r="O30" s="298">
        <v>300000</v>
      </c>
      <c r="P30" s="432">
        <f t="shared" si="7"/>
        <v>14525900</v>
      </c>
    </row>
    <row r="31" spans="1:20" ht="183">
      <c r="A31" s="431" t="s">
        <v>399</v>
      </c>
      <c r="B31" s="431" t="s">
        <v>373</v>
      </c>
      <c r="C31" s="431" t="s">
        <v>354</v>
      </c>
      <c r="D31" s="431" t="s">
        <v>48</v>
      </c>
      <c r="E31" s="432">
        <f t="shared" si="9"/>
        <v>27524100</v>
      </c>
      <c r="F31" s="303">
        <v>27524100</v>
      </c>
      <c r="G31" s="298">
        <v>19443400</v>
      </c>
      <c r="H31" s="298">
        <v>2247200</v>
      </c>
      <c r="I31" s="303"/>
      <c r="J31" s="432">
        <f t="shared" si="8"/>
        <v>8653200</v>
      </c>
      <c r="K31" s="303">
        <v>4499900</v>
      </c>
      <c r="L31" s="298">
        <v>928200</v>
      </c>
      <c r="M31" s="298">
        <v>324500</v>
      </c>
      <c r="N31" s="303">
        <f>O31+153300</f>
        <v>4153300</v>
      </c>
      <c r="O31" s="298">
        <v>4000000</v>
      </c>
      <c r="P31" s="432">
        <f t="shared" si="7"/>
        <v>36177300</v>
      </c>
    </row>
    <row r="32" spans="1:20" ht="155.25" customHeight="1">
      <c r="A32" s="431" t="s">
        <v>400</v>
      </c>
      <c r="B32" s="431" t="s">
        <v>401</v>
      </c>
      <c r="C32" s="431" t="s">
        <v>402</v>
      </c>
      <c r="D32" s="431" t="s">
        <v>403</v>
      </c>
      <c r="E32" s="432">
        <f t="shared" si="9"/>
        <v>97060331</v>
      </c>
      <c r="F32" s="303">
        <f>96795900-6000000+6264431</f>
        <v>97060331</v>
      </c>
      <c r="G32" s="298">
        <f>52131100</f>
        <v>52131100</v>
      </c>
      <c r="H32" s="298">
        <f>10956900-4000000+6264431</f>
        <v>13221331</v>
      </c>
      <c r="I32" s="303"/>
      <c r="J32" s="432">
        <f t="shared" si="8"/>
        <v>8330000</v>
      </c>
      <c r="K32" s="303">
        <v>8084200</v>
      </c>
      <c r="L32" s="298">
        <v>1501800</v>
      </c>
      <c r="M32" s="298">
        <v>4165000</v>
      </c>
      <c r="N32" s="303">
        <f>O32+245800</f>
        <v>245800</v>
      </c>
      <c r="O32" s="298"/>
      <c r="P32" s="432">
        <f t="shared" si="7"/>
        <v>105390331</v>
      </c>
    </row>
    <row r="33" spans="1:16" ht="130.5" customHeight="1">
      <c r="A33" s="431" t="s">
        <v>405</v>
      </c>
      <c r="B33" s="431" t="s">
        <v>406</v>
      </c>
      <c r="C33" s="431" t="s">
        <v>407</v>
      </c>
      <c r="D33" s="431" t="s">
        <v>404</v>
      </c>
      <c r="E33" s="432">
        <f t="shared" si="9"/>
        <v>3952900</v>
      </c>
      <c r="F33" s="303">
        <v>3952900</v>
      </c>
      <c r="G33" s="298">
        <v>2696100</v>
      </c>
      <c r="H33" s="298">
        <v>197300</v>
      </c>
      <c r="I33" s="303"/>
      <c r="J33" s="432">
        <f t="shared" si="8"/>
        <v>76000</v>
      </c>
      <c r="K33" s="303">
        <v>76000</v>
      </c>
      <c r="L33" s="298"/>
      <c r="M33" s="298"/>
      <c r="N33" s="303">
        <f t="shared" si="10"/>
        <v>0</v>
      </c>
      <c r="O33" s="298"/>
      <c r="P33" s="432">
        <f t="shared" si="7"/>
        <v>4028900</v>
      </c>
    </row>
    <row r="34" spans="1:16" ht="112.5" customHeight="1">
      <c r="A34" s="431" t="s">
        <v>409</v>
      </c>
      <c r="B34" s="431" t="s">
        <v>410</v>
      </c>
      <c r="C34" s="431"/>
      <c r="D34" s="422" t="s">
        <v>408</v>
      </c>
      <c r="E34" s="432">
        <f t="shared" si="9"/>
        <v>13859600</v>
      </c>
      <c r="F34" s="303">
        <f>F35+F36</f>
        <v>13859600</v>
      </c>
      <c r="G34" s="298">
        <f>G35+G36</f>
        <v>10016700</v>
      </c>
      <c r="H34" s="298">
        <f t="shared" ref="H34" si="11">H35</f>
        <v>764800</v>
      </c>
      <c r="I34" s="303"/>
      <c r="J34" s="432">
        <f t="shared" si="8"/>
        <v>500800</v>
      </c>
      <c r="K34" s="303">
        <f>K35</f>
        <v>500800</v>
      </c>
      <c r="L34" s="298">
        <f t="shared" ref="L34:M34" si="12">L35</f>
        <v>290200</v>
      </c>
      <c r="M34" s="298">
        <f t="shared" si="12"/>
        <v>24000</v>
      </c>
      <c r="N34" s="303">
        <f>N35</f>
        <v>0</v>
      </c>
      <c r="O34" s="298"/>
      <c r="P34" s="432">
        <f t="shared" si="7"/>
        <v>14360400</v>
      </c>
    </row>
    <row r="35" spans="1:16" ht="139.5" customHeight="1">
      <c r="A35" s="325" t="s">
        <v>670</v>
      </c>
      <c r="B35" s="325" t="s">
        <v>671</v>
      </c>
      <c r="C35" s="325" t="s">
        <v>407</v>
      </c>
      <c r="D35" s="325" t="s">
        <v>669</v>
      </c>
      <c r="E35" s="303">
        <f t="shared" si="9"/>
        <v>13719600</v>
      </c>
      <c r="F35" s="303">
        <v>13719600</v>
      </c>
      <c r="G35" s="303">
        <v>10016700</v>
      </c>
      <c r="H35" s="303">
        <v>764800</v>
      </c>
      <c r="I35" s="420"/>
      <c r="J35" s="303">
        <f t="shared" si="8"/>
        <v>500800</v>
      </c>
      <c r="K35" s="303">
        <v>500800</v>
      </c>
      <c r="L35" s="303">
        <v>290200</v>
      </c>
      <c r="M35" s="303">
        <v>24000</v>
      </c>
      <c r="N35" s="303">
        <f t="shared" ref="N35" si="13">O35</f>
        <v>0</v>
      </c>
      <c r="O35" s="420"/>
      <c r="P35" s="303">
        <f t="shared" si="7"/>
        <v>14220400</v>
      </c>
    </row>
    <row r="36" spans="1:16" ht="124.5" customHeight="1">
      <c r="A36" s="325" t="s">
        <v>711</v>
      </c>
      <c r="B36" s="325" t="s">
        <v>712</v>
      </c>
      <c r="C36" s="325" t="s">
        <v>407</v>
      </c>
      <c r="D36" s="217" t="s">
        <v>710</v>
      </c>
      <c r="E36" s="420">
        <f t="shared" si="9"/>
        <v>140000</v>
      </c>
      <c r="F36" s="420">
        <f>140000+27200-27200</f>
        <v>140000</v>
      </c>
      <c r="G36" s="420"/>
      <c r="H36" s="420"/>
      <c r="I36" s="420"/>
      <c r="J36" s="397"/>
      <c r="K36" s="420"/>
      <c r="L36" s="420"/>
      <c r="M36" s="420"/>
      <c r="N36" s="420"/>
      <c r="O36" s="420"/>
      <c r="P36" s="216">
        <f t="shared" si="7"/>
        <v>140000</v>
      </c>
    </row>
    <row r="37" spans="1:16" ht="183">
      <c r="A37" s="422" t="s">
        <v>745</v>
      </c>
      <c r="B37" s="422" t="s">
        <v>746</v>
      </c>
      <c r="C37" s="422" t="s">
        <v>407</v>
      </c>
      <c r="D37" s="431" t="s">
        <v>747</v>
      </c>
      <c r="E37" s="432">
        <f t="shared" si="9"/>
        <v>27200</v>
      </c>
      <c r="F37" s="303">
        <v>27200</v>
      </c>
      <c r="G37" s="298"/>
      <c r="H37" s="298"/>
      <c r="I37" s="303"/>
      <c r="J37" s="432">
        <f t="shared" ref="J37" si="14">K37+N37</f>
        <v>0</v>
      </c>
      <c r="K37" s="303"/>
      <c r="L37" s="298"/>
      <c r="M37" s="298"/>
      <c r="N37" s="303">
        <f t="shared" ref="N37" si="15">O37</f>
        <v>0</v>
      </c>
      <c r="O37" s="298"/>
      <c r="P37" s="432">
        <f t="shared" si="7"/>
        <v>27200</v>
      </c>
    </row>
    <row r="38" spans="1:16" ht="46.5">
      <c r="A38" s="431" t="s">
        <v>412</v>
      </c>
      <c r="B38" s="431" t="s">
        <v>413</v>
      </c>
      <c r="C38" s="431" t="s">
        <v>414</v>
      </c>
      <c r="D38" s="431" t="s">
        <v>102</v>
      </c>
      <c r="E38" s="432">
        <f>F38</f>
        <v>106000</v>
      </c>
      <c r="F38" s="303">
        <v>106000</v>
      </c>
      <c r="G38" s="298"/>
      <c r="H38" s="298"/>
      <c r="I38" s="303"/>
      <c r="J38" s="432">
        <f>K38+N38</f>
        <v>9372748</v>
      </c>
      <c r="K38" s="303"/>
      <c r="L38" s="298"/>
      <c r="M38" s="298"/>
      <c r="N38" s="303">
        <f>O38</f>
        <v>9372748</v>
      </c>
      <c r="O38" s="298">
        <f>1191000+8287748-106000</f>
        <v>9372748</v>
      </c>
      <c r="P38" s="432">
        <f>E38+J38</f>
        <v>9478748</v>
      </c>
    </row>
    <row r="39" spans="1:16" ht="135">
      <c r="A39" s="280" t="s">
        <v>316</v>
      </c>
      <c r="B39" s="281"/>
      <c r="C39" s="281"/>
      <c r="D39" s="273" t="s">
        <v>53</v>
      </c>
      <c r="E39" s="279">
        <f>E40</f>
        <v>336369841</v>
      </c>
      <c r="F39" s="282">
        <f t="shared" ref="F39:P39" si="16">F40</f>
        <v>336369841</v>
      </c>
      <c r="G39" s="279">
        <f t="shared" si="16"/>
        <v>1567600</v>
      </c>
      <c r="H39" s="279">
        <f t="shared" si="16"/>
        <v>99700</v>
      </c>
      <c r="I39" s="282">
        <f t="shared" si="16"/>
        <v>0</v>
      </c>
      <c r="J39" s="279">
        <f t="shared" si="16"/>
        <v>23867718</v>
      </c>
      <c r="K39" s="282">
        <f t="shared" si="16"/>
        <v>17077718</v>
      </c>
      <c r="L39" s="279">
        <f t="shared" si="16"/>
        <v>0</v>
      </c>
      <c r="M39" s="279">
        <f t="shared" si="16"/>
        <v>0</v>
      </c>
      <c r="N39" s="282">
        <f t="shared" si="16"/>
        <v>6790000</v>
      </c>
      <c r="O39" s="279">
        <f t="shared" si="16"/>
        <v>6790000</v>
      </c>
      <c r="P39" s="279">
        <f t="shared" si="16"/>
        <v>360237559</v>
      </c>
    </row>
    <row r="40" spans="1:16" ht="135">
      <c r="A40" s="271" t="s">
        <v>317</v>
      </c>
      <c r="B40" s="271"/>
      <c r="C40" s="271"/>
      <c r="D40" s="276" t="s">
        <v>93</v>
      </c>
      <c r="E40" s="277">
        <f>E41+E42+E43+E44+E47+E45</f>
        <v>336369841</v>
      </c>
      <c r="F40" s="278">
        <f>F41+F42+F43+F44+F47+F45</f>
        <v>336369841</v>
      </c>
      <c r="G40" s="277">
        <f>G41+G42+G43+G44+G47+G45</f>
        <v>1567600</v>
      </c>
      <c r="H40" s="277">
        <f>H41+H42+H43+H44+H47+H45</f>
        <v>99700</v>
      </c>
      <c r="I40" s="278">
        <v>0</v>
      </c>
      <c r="J40" s="277">
        <f t="shared" ref="J40:J49" si="17">K40+N40</f>
        <v>23867718</v>
      </c>
      <c r="K40" s="278">
        <f>K41+K42+K43+K44+K47+K45</f>
        <v>17077718</v>
      </c>
      <c r="L40" s="277">
        <f>L41+L42+L43+L44+L47+L45</f>
        <v>0</v>
      </c>
      <c r="M40" s="277">
        <f>M41+M42+M43+M44+M47+M45</f>
        <v>0</v>
      </c>
      <c r="N40" s="278">
        <f>N41+N42+N43+N44+N47+N45</f>
        <v>6790000</v>
      </c>
      <c r="O40" s="277">
        <f>O41+O42+O43+O44+O47+O45</f>
        <v>6790000</v>
      </c>
      <c r="P40" s="277">
        <f t="shared" ref="P40:P49" si="18">E40+J40</f>
        <v>360237559</v>
      </c>
    </row>
    <row r="41" spans="1:16" ht="91.5">
      <c r="A41" s="431" t="s">
        <v>415</v>
      </c>
      <c r="B41" s="431" t="s">
        <v>411</v>
      </c>
      <c r="C41" s="431" t="s">
        <v>416</v>
      </c>
      <c r="D41" s="431" t="s">
        <v>55</v>
      </c>
      <c r="E41" s="432">
        <f>F41</f>
        <v>171573941</v>
      </c>
      <c r="F41" s="303">
        <f>169809941+1000000+714000+50000</f>
        <v>171573941</v>
      </c>
      <c r="G41" s="298"/>
      <c r="H41" s="298"/>
      <c r="I41" s="303"/>
      <c r="J41" s="432">
        <f t="shared" si="17"/>
        <v>11056250</v>
      </c>
      <c r="K41" s="303">
        <v>5806250</v>
      </c>
      <c r="L41" s="298"/>
      <c r="M41" s="298"/>
      <c r="N41" s="303">
        <f>O41</f>
        <v>5250000</v>
      </c>
      <c r="O41" s="298">
        <f>4250000+1000000</f>
        <v>5250000</v>
      </c>
      <c r="P41" s="432">
        <f t="shared" si="18"/>
        <v>182630191</v>
      </c>
    </row>
    <row r="42" spans="1:16" ht="137.25">
      <c r="A42" s="431" t="s">
        <v>417</v>
      </c>
      <c r="B42" s="431" t="s">
        <v>418</v>
      </c>
      <c r="C42" s="431" t="s">
        <v>419</v>
      </c>
      <c r="D42" s="431" t="s">
        <v>420</v>
      </c>
      <c r="E42" s="432">
        <f t="shared" ref="E42:E49" si="19">F42</f>
        <v>53686300</v>
      </c>
      <c r="F42" s="303">
        <f>53366300+320000</f>
        <v>53686300</v>
      </c>
      <c r="G42" s="298"/>
      <c r="H42" s="298"/>
      <c r="I42" s="303"/>
      <c r="J42" s="432">
        <f t="shared" si="17"/>
        <v>852000</v>
      </c>
      <c r="K42" s="303">
        <v>852000</v>
      </c>
      <c r="L42" s="298"/>
      <c r="M42" s="298"/>
      <c r="N42" s="303">
        <f t="shared" ref="N42:N46" si="20">O42</f>
        <v>0</v>
      </c>
      <c r="O42" s="298"/>
      <c r="P42" s="432">
        <f t="shared" si="18"/>
        <v>54538300</v>
      </c>
    </row>
    <row r="43" spans="1:16" ht="137.25">
      <c r="A43" s="431" t="s">
        <v>421</v>
      </c>
      <c r="B43" s="431" t="s">
        <v>422</v>
      </c>
      <c r="C43" s="431" t="s">
        <v>423</v>
      </c>
      <c r="D43" s="431" t="s">
        <v>748</v>
      </c>
      <c r="E43" s="432">
        <f t="shared" si="19"/>
        <v>59115700</v>
      </c>
      <c r="F43" s="303">
        <f>53234500+5881200</f>
        <v>59115700</v>
      </c>
      <c r="G43" s="298"/>
      <c r="H43" s="298"/>
      <c r="I43" s="303"/>
      <c r="J43" s="432">
        <f t="shared" si="17"/>
        <v>5312168</v>
      </c>
      <c r="K43" s="303">
        <v>5312168</v>
      </c>
      <c r="L43" s="298"/>
      <c r="M43" s="298"/>
      <c r="N43" s="303">
        <f>O43</f>
        <v>0</v>
      </c>
      <c r="O43" s="298"/>
      <c r="P43" s="432">
        <f t="shared" si="18"/>
        <v>64427868</v>
      </c>
    </row>
    <row r="44" spans="1:16" ht="91.5">
      <c r="A44" s="431" t="s">
        <v>424</v>
      </c>
      <c r="B44" s="431" t="s">
        <v>425</v>
      </c>
      <c r="C44" s="431" t="s">
        <v>426</v>
      </c>
      <c r="D44" s="431" t="s">
        <v>427</v>
      </c>
      <c r="E44" s="432">
        <f t="shared" si="19"/>
        <v>9008400</v>
      </c>
      <c r="F44" s="303">
        <v>9008400</v>
      </c>
      <c r="G44" s="298"/>
      <c r="H44" s="298"/>
      <c r="I44" s="303"/>
      <c r="J44" s="432">
        <f t="shared" si="17"/>
        <v>5000400</v>
      </c>
      <c r="K44" s="303">
        <v>5000400</v>
      </c>
      <c r="L44" s="298"/>
      <c r="M44" s="298"/>
      <c r="N44" s="303">
        <f>O44</f>
        <v>0</v>
      </c>
      <c r="O44" s="298"/>
      <c r="P44" s="432">
        <f t="shared" si="18"/>
        <v>14008800</v>
      </c>
    </row>
    <row r="45" spans="1:16" ht="91.5">
      <c r="A45" s="431" t="s">
        <v>428</v>
      </c>
      <c r="B45" s="431" t="s">
        <v>429</v>
      </c>
      <c r="C45" s="431"/>
      <c r="D45" s="431" t="s">
        <v>749</v>
      </c>
      <c r="E45" s="432">
        <f t="shared" si="19"/>
        <v>40526200</v>
      </c>
      <c r="F45" s="303">
        <f>F46</f>
        <v>40526200</v>
      </c>
      <c r="G45" s="298"/>
      <c r="H45" s="298"/>
      <c r="I45" s="303"/>
      <c r="J45" s="432">
        <f t="shared" si="17"/>
        <v>1626500</v>
      </c>
      <c r="K45" s="303">
        <f>K46</f>
        <v>86500</v>
      </c>
      <c r="L45" s="298"/>
      <c r="M45" s="298"/>
      <c r="N45" s="303">
        <f t="shared" si="20"/>
        <v>1540000</v>
      </c>
      <c r="O45" s="298">
        <f>O46</f>
        <v>1540000</v>
      </c>
      <c r="P45" s="432">
        <f t="shared" si="18"/>
        <v>42152700</v>
      </c>
    </row>
    <row r="46" spans="1:16" ht="183">
      <c r="A46" s="217" t="s">
        <v>430</v>
      </c>
      <c r="B46" s="325" t="s">
        <v>431</v>
      </c>
      <c r="C46" s="325" t="s">
        <v>750</v>
      </c>
      <c r="D46" s="217" t="s">
        <v>432</v>
      </c>
      <c r="E46" s="303">
        <f t="shared" si="19"/>
        <v>40526200</v>
      </c>
      <c r="F46" s="303">
        <f>6889600+25900000+340000+4561100+2835500</f>
        <v>40526200</v>
      </c>
      <c r="G46" s="303"/>
      <c r="H46" s="303"/>
      <c r="I46" s="303"/>
      <c r="J46" s="303">
        <f t="shared" si="17"/>
        <v>1626500</v>
      </c>
      <c r="K46" s="303">
        <v>86500</v>
      </c>
      <c r="L46" s="303"/>
      <c r="M46" s="303"/>
      <c r="N46" s="303">
        <f t="shared" si="20"/>
        <v>1540000</v>
      </c>
      <c r="O46" s="298">
        <f>540000+1000000</f>
        <v>1540000</v>
      </c>
      <c r="P46" s="303">
        <f t="shared" si="18"/>
        <v>42152700</v>
      </c>
    </row>
    <row r="47" spans="1:16" ht="91.5" customHeight="1">
      <c r="A47" s="431" t="s">
        <v>433</v>
      </c>
      <c r="B47" s="422" t="s">
        <v>434</v>
      </c>
      <c r="C47" s="422"/>
      <c r="D47" s="422" t="s">
        <v>436</v>
      </c>
      <c r="E47" s="432">
        <f t="shared" si="19"/>
        <v>2459300</v>
      </c>
      <c r="F47" s="303">
        <f>SUM(F48:F49)</f>
        <v>2459300</v>
      </c>
      <c r="G47" s="298">
        <f t="shared" ref="G47:H47" si="21">SUM(G48:G49)</f>
        <v>1567600</v>
      </c>
      <c r="H47" s="298">
        <f t="shared" si="21"/>
        <v>99700</v>
      </c>
      <c r="I47" s="303"/>
      <c r="J47" s="432">
        <f t="shared" si="17"/>
        <v>20400</v>
      </c>
      <c r="K47" s="303">
        <f>SUM(K48:K49)</f>
        <v>20400</v>
      </c>
      <c r="L47" s="298">
        <f t="shared" ref="L47:M47" si="22">SUM(L48:L49)</f>
        <v>0</v>
      </c>
      <c r="M47" s="298">
        <f t="shared" si="22"/>
        <v>0</v>
      </c>
      <c r="N47" s="303">
        <f>SUM(N48:N49)</f>
        <v>0</v>
      </c>
      <c r="O47" s="298"/>
      <c r="P47" s="432">
        <f t="shared" si="18"/>
        <v>2479700</v>
      </c>
    </row>
    <row r="48" spans="1:16" ht="91.5">
      <c r="A48" s="217" t="s">
        <v>674</v>
      </c>
      <c r="B48" s="217" t="s">
        <v>676</v>
      </c>
      <c r="C48" s="422" t="s">
        <v>435</v>
      </c>
      <c r="D48" s="401" t="s">
        <v>672</v>
      </c>
      <c r="E48" s="303">
        <f t="shared" si="19"/>
        <v>2159300</v>
      </c>
      <c r="F48" s="303">
        <f>2459300-300000</f>
        <v>2159300</v>
      </c>
      <c r="G48" s="303">
        <v>1567600</v>
      </c>
      <c r="H48" s="303">
        <v>99700</v>
      </c>
      <c r="I48" s="303"/>
      <c r="J48" s="303">
        <f t="shared" si="17"/>
        <v>20400</v>
      </c>
      <c r="K48" s="303">
        <v>20400</v>
      </c>
      <c r="L48" s="303"/>
      <c r="M48" s="303"/>
      <c r="N48" s="303">
        <f t="shared" ref="N48:N49" si="23">O48</f>
        <v>0</v>
      </c>
      <c r="O48" s="303"/>
      <c r="P48" s="303">
        <f t="shared" si="18"/>
        <v>2179700</v>
      </c>
    </row>
    <row r="49" spans="1:16" ht="91.5">
      <c r="A49" s="217" t="s">
        <v>675</v>
      </c>
      <c r="B49" s="217" t="s">
        <v>677</v>
      </c>
      <c r="C49" s="422" t="s">
        <v>435</v>
      </c>
      <c r="D49" s="401" t="s">
        <v>673</v>
      </c>
      <c r="E49" s="303">
        <f t="shared" si="19"/>
        <v>300000</v>
      </c>
      <c r="F49" s="303">
        <v>300000</v>
      </c>
      <c r="G49" s="303"/>
      <c r="H49" s="303"/>
      <c r="I49" s="303"/>
      <c r="J49" s="303">
        <f t="shared" si="17"/>
        <v>0</v>
      </c>
      <c r="K49" s="303"/>
      <c r="L49" s="303"/>
      <c r="M49" s="303"/>
      <c r="N49" s="303">
        <f t="shared" si="23"/>
        <v>0</v>
      </c>
      <c r="O49" s="303"/>
      <c r="P49" s="303">
        <f t="shared" si="18"/>
        <v>300000</v>
      </c>
    </row>
    <row r="50" spans="1:16" ht="180">
      <c r="A50" s="271" t="s">
        <v>318</v>
      </c>
      <c r="B50" s="271"/>
      <c r="C50" s="271"/>
      <c r="D50" s="273" t="s">
        <v>94</v>
      </c>
      <c r="E50" s="278">
        <f>E51</f>
        <v>978739046</v>
      </c>
      <c r="F50" s="278">
        <f>F51</f>
        <v>978739046</v>
      </c>
      <c r="G50" s="278">
        <f>G51</f>
        <v>14008200</v>
      </c>
      <c r="H50" s="278">
        <f t="shared" ref="H50:O50" si="24">H51</f>
        <v>860600</v>
      </c>
      <c r="I50" s="278">
        <f t="shared" si="24"/>
        <v>0</v>
      </c>
      <c r="J50" s="278">
        <f t="shared" si="24"/>
        <v>876000</v>
      </c>
      <c r="K50" s="278">
        <f t="shared" si="24"/>
        <v>94000</v>
      </c>
      <c r="L50" s="278">
        <f t="shared" si="24"/>
        <v>50000</v>
      </c>
      <c r="M50" s="278">
        <f t="shared" si="24"/>
        <v>4000</v>
      </c>
      <c r="N50" s="278">
        <f t="shared" si="24"/>
        <v>782000</v>
      </c>
      <c r="O50" s="277">
        <f t="shared" si="24"/>
        <v>782000</v>
      </c>
      <c r="P50" s="277">
        <f>P51</f>
        <v>979615046</v>
      </c>
    </row>
    <row r="51" spans="1:16" ht="180">
      <c r="A51" s="272" t="s">
        <v>319</v>
      </c>
      <c r="B51" s="272"/>
      <c r="C51" s="272"/>
      <c r="D51" s="276" t="s">
        <v>95</v>
      </c>
      <c r="E51" s="277">
        <f>E88+E80+E92+E83+E64+E73+E58+E52+E55+E90+E72+E79+E84+E87</f>
        <v>978739046</v>
      </c>
      <c r="F51" s="278">
        <f>F88+F80+F92+F83+F64+F73+F58+F52+F55+F90+F72+F79+F84+F87</f>
        <v>978739046</v>
      </c>
      <c r="G51" s="277">
        <f>G88+G80+G92+G83+G64+G73+G58+G52+G55+G90+G72+G79</f>
        <v>14008200</v>
      </c>
      <c r="H51" s="277">
        <f>H88+H80+H92+H83+H64+H73+H58+H52+H55+H90+H72+H79</f>
        <v>860600</v>
      </c>
      <c r="I51" s="278">
        <v>0</v>
      </c>
      <c r="J51" s="277">
        <f t="shared" ref="J51:J58" si="25">K51+N51</f>
        <v>876000</v>
      </c>
      <c r="K51" s="278">
        <f>K88+K80+K92+K83+K64+K73+K58+K52+K55+K90+K72+K79</f>
        <v>94000</v>
      </c>
      <c r="L51" s="277">
        <f>L88+L80+L92+L83+L64+L73+L58+L52+L55+L90+L72+L79</f>
        <v>50000</v>
      </c>
      <c r="M51" s="277">
        <f>M88+M80+M92+M83+M64+M73+M58+M52+M55+M90+M72+M79</f>
        <v>4000</v>
      </c>
      <c r="N51" s="278">
        <f>N88+N80+N92+N83+N64+N73+N58+N52+N55+N90+N72+N79</f>
        <v>782000</v>
      </c>
      <c r="O51" s="277">
        <f>O88+O80+O92+O83+O64+O73+O58+O52+O55+O90+O72+O79</f>
        <v>782000</v>
      </c>
      <c r="P51" s="277">
        <f t="shared" ref="P51:P58" si="26">E51+J51</f>
        <v>979615046</v>
      </c>
    </row>
    <row r="52" spans="1:16" ht="320.25">
      <c r="A52" s="422" t="s">
        <v>461</v>
      </c>
      <c r="B52" s="422" t="s">
        <v>462</v>
      </c>
      <c r="C52" s="422"/>
      <c r="D52" s="422" t="s">
        <v>14</v>
      </c>
      <c r="E52" s="432">
        <f t="shared" ref="E52:E58" si="27">F52</f>
        <v>523967300</v>
      </c>
      <c r="F52" s="303">
        <f>F53+F54</f>
        <v>523967300</v>
      </c>
      <c r="G52" s="298">
        <f>G53+G54</f>
        <v>0</v>
      </c>
      <c r="H52" s="298">
        <f>H53+H54</f>
        <v>0</v>
      </c>
      <c r="I52" s="303">
        <f>I53+I54</f>
        <v>0</v>
      </c>
      <c r="J52" s="432">
        <f t="shared" si="25"/>
        <v>0</v>
      </c>
      <c r="K52" s="303">
        <f>K53+K54</f>
        <v>0</v>
      </c>
      <c r="L52" s="298">
        <f>L53+L54</f>
        <v>0</v>
      </c>
      <c r="M52" s="298">
        <f>M53+M54</f>
        <v>0</v>
      </c>
      <c r="N52" s="303">
        <f>N53+N54</f>
        <v>0</v>
      </c>
      <c r="O52" s="298">
        <f>O53+O54</f>
        <v>0</v>
      </c>
      <c r="P52" s="432">
        <f t="shared" si="26"/>
        <v>523967300</v>
      </c>
    </row>
    <row r="53" spans="1:16" ht="183">
      <c r="A53" s="325" t="s">
        <v>463</v>
      </c>
      <c r="B53" s="325" t="s">
        <v>464</v>
      </c>
      <c r="C53" s="325" t="s">
        <v>395</v>
      </c>
      <c r="D53" s="223" t="s">
        <v>460</v>
      </c>
      <c r="E53" s="420">
        <f t="shared" si="27"/>
        <v>57500000</v>
      </c>
      <c r="F53" s="420">
        <v>57500000</v>
      </c>
      <c r="G53" s="420"/>
      <c r="H53" s="420"/>
      <c r="I53" s="420"/>
      <c r="J53" s="420">
        <f t="shared" si="25"/>
        <v>0</v>
      </c>
      <c r="K53" s="420"/>
      <c r="L53" s="420"/>
      <c r="M53" s="420"/>
      <c r="N53" s="420">
        <f>O53</f>
        <v>0</v>
      </c>
      <c r="O53" s="314"/>
      <c r="P53" s="420">
        <f t="shared" si="26"/>
        <v>57500000</v>
      </c>
    </row>
    <row r="54" spans="1:16" ht="183">
      <c r="A54" s="318" t="s">
        <v>486</v>
      </c>
      <c r="B54" s="325" t="s">
        <v>487</v>
      </c>
      <c r="C54" s="325" t="s">
        <v>120</v>
      </c>
      <c r="D54" s="217" t="s">
        <v>15</v>
      </c>
      <c r="E54" s="305">
        <f t="shared" si="27"/>
        <v>466467300</v>
      </c>
      <c r="F54" s="303">
        <v>466467300</v>
      </c>
      <c r="G54" s="303"/>
      <c r="H54" s="303"/>
      <c r="I54" s="303"/>
      <c r="J54" s="420">
        <f t="shared" si="25"/>
        <v>0</v>
      </c>
      <c r="K54" s="303"/>
      <c r="L54" s="303"/>
      <c r="M54" s="303"/>
      <c r="N54" s="303">
        <f>O54</f>
        <v>0</v>
      </c>
      <c r="O54" s="303"/>
      <c r="P54" s="303">
        <f t="shared" si="26"/>
        <v>466467300</v>
      </c>
    </row>
    <row r="55" spans="1:16" ht="228.75">
      <c r="A55" s="431" t="s">
        <v>488</v>
      </c>
      <c r="B55" s="431" t="s">
        <v>489</v>
      </c>
      <c r="C55" s="217"/>
      <c r="D55" s="431" t="s">
        <v>16</v>
      </c>
      <c r="E55" s="216">
        <f t="shared" si="27"/>
        <v>60000</v>
      </c>
      <c r="F55" s="216">
        <f>F56+F57</f>
        <v>60000</v>
      </c>
      <c r="G55" s="298">
        <f>G56+G57</f>
        <v>0</v>
      </c>
      <c r="H55" s="298">
        <f>H56+H57</f>
        <v>0</v>
      </c>
      <c r="I55" s="303">
        <f>I56+I57</f>
        <v>0</v>
      </c>
      <c r="J55" s="216">
        <f t="shared" si="25"/>
        <v>0</v>
      </c>
      <c r="K55" s="303">
        <f>K56+K57</f>
        <v>0</v>
      </c>
      <c r="L55" s="298">
        <f>L56+L57</f>
        <v>0</v>
      </c>
      <c r="M55" s="298">
        <f>M56+M57</f>
        <v>0</v>
      </c>
      <c r="N55" s="303">
        <f>N56+N57</f>
        <v>0</v>
      </c>
      <c r="O55" s="298">
        <f>O56+O57</f>
        <v>0</v>
      </c>
      <c r="P55" s="216">
        <f t="shared" si="26"/>
        <v>60000</v>
      </c>
    </row>
    <row r="56" spans="1:16" ht="274.5">
      <c r="A56" s="217" t="s">
        <v>491</v>
      </c>
      <c r="B56" s="217" t="s">
        <v>492</v>
      </c>
      <c r="C56" s="217" t="s">
        <v>395</v>
      </c>
      <c r="D56" s="224" t="s">
        <v>490</v>
      </c>
      <c r="E56" s="420">
        <f t="shared" si="27"/>
        <v>2000</v>
      </c>
      <c r="F56" s="420">
        <v>2000</v>
      </c>
      <c r="G56" s="420"/>
      <c r="H56" s="420"/>
      <c r="I56" s="420"/>
      <c r="J56" s="420">
        <f t="shared" si="25"/>
        <v>0</v>
      </c>
      <c r="K56" s="420"/>
      <c r="L56" s="420"/>
      <c r="M56" s="420"/>
      <c r="N56" s="420">
        <f>O56</f>
        <v>0</v>
      </c>
      <c r="O56" s="314"/>
      <c r="P56" s="420">
        <f t="shared" si="26"/>
        <v>2000</v>
      </c>
    </row>
    <row r="57" spans="1:16" ht="228.75">
      <c r="A57" s="217" t="s">
        <v>493</v>
      </c>
      <c r="B57" s="217" t="s">
        <v>494</v>
      </c>
      <c r="C57" s="224">
        <v>1060</v>
      </c>
      <c r="D57" s="319" t="s">
        <v>27</v>
      </c>
      <c r="E57" s="303">
        <f t="shared" si="27"/>
        <v>58000</v>
      </c>
      <c r="F57" s="303">
        <f>56400+1600</f>
        <v>58000</v>
      </c>
      <c r="G57" s="303"/>
      <c r="H57" s="303"/>
      <c r="I57" s="303"/>
      <c r="J57" s="303">
        <f t="shared" si="25"/>
        <v>0</v>
      </c>
      <c r="K57" s="303"/>
      <c r="L57" s="303"/>
      <c r="M57" s="303"/>
      <c r="N57" s="303">
        <f>O57</f>
        <v>0</v>
      </c>
      <c r="O57" s="298"/>
      <c r="P57" s="303">
        <f t="shared" si="26"/>
        <v>58000</v>
      </c>
    </row>
    <row r="58" spans="1:16" ht="274.5">
      <c r="A58" s="422" t="s">
        <v>524</v>
      </c>
      <c r="B58" s="422" t="s">
        <v>525</v>
      </c>
      <c r="C58" s="422"/>
      <c r="D58" s="226" t="s">
        <v>523</v>
      </c>
      <c r="E58" s="421">
        <f t="shared" si="27"/>
        <v>66662930</v>
      </c>
      <c r="F58" s="420">
        <f>F59+F60+F61+F62+F63</f>
        <v>66662930</v>
      </c>
      <c r="G58" s="314">
        <f>G59+G60+G61+G62+G63</f>
        <v>0</v>
      </c>
      <c r="H58" s="314">
        <f>H59+H60+H61+H62+H63</f>
        <v>0</v>
      </c>
      <c r="I58" s="314">
        <f>I59+I60+I61+I62+I63</f>
        <v>0</v>
      </c>
      <c r="J58" s="421">
        <f t="shared" si="25"/>
        <v>100000</v>
      </c>
      <c r="K58" s="420">
        <f>K59+K60+K61+K62+K63</f>
        <v>0</v>
      </c>
      <c r="L58" s="314">
        <f>L59+L60+L61+L62+L63</f>
        <v>0</v>
      </c>
      <c r="M58" s="314">
        <f>M59+M60+M61+M62+M63</f>
        <v>0</v>
      </c>
      <c r="N58" s="420">
        <f>N59+N60+N61+N62+N63</f>
        <v>100000</v>
      </c>
      <c r="O58" s="314">
        <f>O59+O60+O61+O62+O63</f>
        <v>100000</v>
      </c>
      <c r="P58" s="421">
        <f t="shared" si="26"/>
        <v>66762930</v>
      </c>
    </row>
    <row r="59" spans="1:16" ht="137.25">
      <c r="A59" s="325" t="s">
        <v>526</v>
      </c>
      <c r="B59" s="325" t="s">
        <v>527</v>
      </c>
      <c r="C59" s="325" t="s">
        <v>395</v>
      </c>
      <c r="D59" s="225" t="s">
        <v>528</v>
      </c>
      <c r="E59" s="420">
        <f>F59</f>
        <v>315130</v>
      </c>
      <c r="F59" s="420">
        <v>315130</v>
      </c>
      <c r="G59" s="420"/>
      <c r="H59" s="420"/>
      <c r="I59" s="420"/>
      <c r="J59" s="420">
        <f>K59+N59</f>
        <v>100000</v>
      </c>
      <c r="K59" s="420"/>
      <c r="L59" s="420"/>
      <c r="M59" s="420"/>
      <c r="N59" s="420">
        <f>O59</f>
        <v>100000</v>
      </c>
      <c r="O59" s="314">
        <v>100000</v>
      </c>
      <c r="P59" s="420">
        <f>E59+J59</f>
        <v>415130</v>
      </c>
    </row>
    <row r="60" spans="1:16" ht="137.25">
      <c r="A60" s="217" t="s">
        <v>529</v>
      </c>
      <c r="B60" s="217" t="s">
        <v>530</v>
      </c>
      <c r="C60" s="217" t="s">
        <v>396</v>
      </c>
      <c r="D60" s="217" t="s">
        <v>24</v>
      </c>
      <c r="E60" s="303">
        <f t="shared" ref="E60:E94" si="28">F60</f>
        <v>1750000</v>
      </c>
      <c r="F60" s="303">
        <v>1750000</v>
      </c>
      <c r="G60" s="303"/>
      <c r="H60" s="303"/>
      <c r="I60" s="303"/>
      <c r="J60" s="303">
        <f t="shared" ref="J60:J94" si="29">K60+N60</f>
        <v>0</v>
      </c>
      <c r="K60" s="303"/>
      <c r="L60" s="303"/>
      <c r="M60" s="303"/>
      <c r="N60" s="303">
        <f>O60</f>
        <v>0</v>
      </c>
      <c r="O60" s="298"/>
      <c r="P60" s="303">
        <f t="shared" ref="P60:P82" si="30">E60+J60</f>
        <v>1750000</v>
      </c>
    </row>
    <row r="61" spans="1:16" ht="183">
      <c r="A61" s="217" t="s">
        <v>532</v>
      </c>
      <c r="B61" s="217" t="s">
        <v>533</v>
      </c>
      <c r="C61" s="217" t="s">
        <v>396</v>
      </c>
      <c r="D61" s="325" t="s">
        <v>25</v>
      </c>
      <c r="E61" s="303">
        <f t="shared" si="28"/>
        <v>5000000</v>
      </c>
      <c r="F61" s="303">
        <v>5000000</v>
      </c>
      <c r="G61" s="303"/>
      <c r="H61" s="303"/>
      <c r="I61" s="303"/>
      <c r="J61" s="303">
        <f t="shared" si="29"/>
        <v>0</v>
      </c>
      <c r="K61" s="303"/>
      <c r="L61" s="303"/>
      <c r="M61" s="303"/>
      <c r="N61" s="303">
        <f>O61</f>
        <v>0</v>
      </c>
      <c r="O61" s="298"/>
      <c r="P61" s="303">
        <f t="shared" si="30"/>
        <v>5000000</v>
      </c>
    </row>
    <row r="62" spans="1:16" ht="183">
      <c r="A62" s="325" t="s">
        <v>534</v>
      </c>
      <c r="B62" s="325" t="s">
        <v>531</v>
      </c>
      <c r="C62" s="325" t="s">
        <v>396</v>
      </c>
      <c r="D62" s="325" t="s">
        <v>26</v>
      </c>
      <c r="E62" s="303">
        <f t="shared" si="28"/>
        <v>400000</v>
      </c>
      <c r="F62" s="303">
        <v>400000</v>
      </c>
      <c r="G62" s="303"/>
      <c r="H62" s="303"/>
      <c r="I62" s="303"/>
      <c r="J62" s="303">
        <f t="shared" si="29"/>
        <v>0</v>
      </c>
      <c r="K62" s="303"/>
      <c r="L62" s="303"/>
      <c r="M62" s="303"/>
      <c r="N62" s="303">
        <f>O62</f>
        <v>0</v>
      </c>
      <c r="O62" s="298"/>
      <c r="P62" s="303">
        <f t="shared" si="30"/>
        <v>400000</v>
      </c>
    </row>
    <row r="63" spans="1:16" ht="183">
      <c r="A63" s="325" t="s">
        <v>535</v>
      </c>
      <c r="B63" s="325" t="s">
        <v>536</v>
      </c>
      <c r="C63" s="325" t="s">
        <v>396</v>
      </c>
      <c r="D63" s="325" t="s">
        <v>31</v>
      </c>
      <c r="E63" s="303">
        <f t="shared" si="28"/>
        <v>59197800</v>
      </c>
      <c r="F63" s="303">
        <v>59197800</v>
      </c>
      <c r="G63" s="303"/>
      <c r="H63" s="303"/>
      <c r="I63" s="303"/>
      <c r="J63" s="303">
        <f t="shared" si="29"/>
        <v>0</v>
      </c>
      <c r="K63" s="303"/>
      <c r="L63" s="303"/>
      <c r="M63" s="303"/>
      <c r="N63" s="303">
        <f>O63</f>
        <v>0</v>
      </c>
      <c r="O63" s="298"/>
      <c r="P63" s="303">
        <f t="shared" si="30"/>
        <v>59197800</v>
      </c>
    </row>
    <row r="64" spans="1:16" ht="137.25">
      <c r="A64" s="431" t="s">
        <v>465</v>
      </c>
      <c r="B64" s="431" t="s">
        <v>466</v>
      </c>
      <c r="C64" s="431"/>
      <c r="D64" s="431" t="s">
        <v>751</v>
      </c>
      <c r="E64" s="432">
        <f t="shared" si="28"/>
        <v>238448900</v>
      </c>
      <c r="F64" s="303">
        <f>SUM(F65:F71)</f>
        <v>238448900</v>
      </c>
      <c r="G64" s="298">
        <f>SUM(G65:G71)</f>
        <v>0</v>
      </c>
      <c r="H64" s="298">
        <f>SUM(H65:H71)</f>
        <v>0</v>
      </c>
      <c r="I64" s="303">
        <f>SUM(I65:I71)</f>
        <v>0</v>
      </c>
      <c r="J64" s="432">
        <f t="shared" si="29"/>
        <v>0</v>
      </c>
      <c r="K64" s="303">
        <f>SUM(K65:K71)</f>
        <v>0</v>
      </c>
      <c r="L64" s="298">
        <f>SUM(L65:L71)</f>
        <v>0</v>
      </c>
      <c r="M64" s="298">
        <f>SUM(M65:M71)</f>
        <v>0</v>
      </c>
      <c r="N64" s="303">
        <f>SUM(N65:N71)</f>
        <v>0</v>
      </c>
      <c r="O64" s="298">
        <f>SUM(O65:O71)</f>
        <v>0</v>
      </c>
      <c r="P64" s="432">
        <f t="shared" si="30"/>
        <v>238448900</v>
      </c>
    </row>
    <row r="65" spans="1:16" ht="91.5">
      <c r="A65" s="217" t="s">
        <v>475</v>
      </c>
      <c r="B65" s="217" t="s">
        <v>467</v>
      </c>
      <c r="C65" s="217" t="s">
        <v>363</v>
      </c>
      <c r="D65" s="217" t="s">
        <v>18</v>
      </c>
      <c r="E65" s="303">
        <f t="shared" si="28"/>
        <v>2853000</v>
      </c>
      <c r="F65" s="303">
        <v>2853000</v>
      </c>
      <c r="G65" s="303"/>
      <c r="H65" s="303"/>
      <c r="I65" s="303"/>
      <c r="J65" s="303">
        <f t="shared" si="29"/>
        <v>0</v>
      </c>
      <c r="K65" s="303"/>
      <c r="L65" s="303"/>
      <c r="M65" s="303"/>
      <c r="N65" s="303">
        <f t="shared" ref="N65:N79" si="31">O65</f>
        <v>0</v>
      </c>
      <c r="O65" s="298"/>
      <c r="P65" s="303">
        <f t="shared" si="30"/>
        <v>2853000</v>
      </c>
    </row>
    <row r="66" spans="1:16" ht="91.5">
      <c r="A66" s="217" t="s">
        <v>476</v>
      </c>
      <c r="B66" s="217" t="s">
        <v>468</v>
      </c>
      <c r="C66" s="217" t="s">
        <v>363</v>
      </c>
      <c r="D66" s="217" t="s">
        <v>474</v>
      </c>
      <c r="E66" s="303">
        <f>F66</f>
        <v>305000</v>
      </c>
      <c r="F66" s="303">
        <v>305000</v>
      </c>
      <c r="G66" s="303"/>
      <c r="H66" s="303"/>
      <c r="I66" s="303"/>
      <c r="J66" s="303">
        <f>K66+N66</f>
        <v>0</v>
      </c>
      <c r="K66" s="303"/>
      <c r="L66" s="303"/>
      <c r="M66" s="303"/>
      <c r="N66" s="303">
        <f>O66</f>
        <v>0</v>
      </c>
      <c r="O66" s="298"/>
      <c r="P66" s="303">
        <f>E66+J66</f>
        <v>305000</v>
      </c>
    </row>
    <row r="67" spans="1:16" ht="91.5">
      <c r="A67" s="217" t="s">
        <v>477</v>
      </c>
      <c r="B67" s="217" t="s">
        <v>469</v>
      </c>
      <c r="C67" s="217" t="s">
        <v>363</v>
      </c>
      <c r="D67" s="217" t="s">
        <v>19</v>
      </c>
      <c r="E67" s="303">
        <f t="shared" si="28"/>
        <v>161903900</v>
      </c>
      <c r="F67" s="303">
        <f>155000000+6123900+780000</f>
        <v>161903900</v>
      </c>
      <c r="G67" s="303"/>
      <c r="H67" s="303"/>
      <c r="I67" s="303"/>
      <c r="J67" s="303">
        <f t="shared" si="29"/>
        <v>0</v>
      </c>
      <c r="K67" s="303"/>
      <c r="L67" s="303"/>
      <c r="M67" s="303"/>
      <c r="N67" s="303">
        <f t="shared" si="31"/>
        <v>0</v>
      </c>
      <c r="O67" s="298"/>
      <c r="P67" s="303">
        <f t="shared" si="30"/>
        <v>161903900</v>
      </c>
    </row>
    <row r="68" spans="1:16" ht="137.25">
      <c r="A68" s="217" t="s">
        <v>478</v>
      </c>
      <c r="B68" s="217" t="s">
        <v>470</v>
      </c>
      <c r="C68" s="217" t="s">
        <v>363</v>
      </c>
      <c r="D68" s="217" t="s">
        <v>20</v>
      </c>
      <c r="E68" s="303">
        <f t="shared" si="28"/>
        <v>4390000</v>
      </c>
      <c r="F68" s="303">
        <v>4390000</v>
      </c>
      <c r="G68" s="303"/>
      <c r="H68" s="303"/>
      <c r="I68" s="303"/>
      <c r="J68" s="303">
        <f t="shared" si="29"/>
        <v>0</v>
      </c>
      <c r="K68" s="303"/>
      <c r="L68" s="303"/>
      <c r="M68" s="303"/>
      <c r="N68" s="303">
        <f t="shared" si="31"/>
        <v>0</v>
      </c>
      <c r="O68" s="298"/>
      <c r="P68" s="303">
        <f t="shared" si="30"/>
        <v>4390000</v>
      </c>
    </row>
    <row r="69" spans="1:16" ht="91.5">
      <c r="A69" s="217" t="s">
        <v>479</v>
      </c>
      <c r="B69" s="217" t="s">
        <v>471</v>
      </c>
      <c r="C69" s="217" t="s">
        <v>363</v>
      </c>
      <c r="D69" s="217" t="s">
        <v>21</v>
      </c>
      <c r="E69" s="303">
        <f t="shared" si="28"/>
        <v>24267000</v>
      </c>
      <c r="F69" s="303">
        <v>24267000</v>
      </c>
      <c r="G69" s="303"/>
      <c r="H69" s="303"/>
      <c r="I69" s="303"/>
      <c r="J69" s="303">
        <f t="shared" si="29"/>
        <v>0</v>
      </c>
      <c r="K69" s="303"/>
      <c r="L69" s="303"/>
      <c r="M69" s="303"/>
      <c r="N69" s="303">
        <f t="shared" si="31"/>
        <v>0</v>
      </c>
      <c r="O69" s="298"/>
      <c r="P69" s="303">
        <f t="shared" si="30"/>
        <v>24267000</v>
      </c>
    </row>
    <row r="70" spans="1:16" ht="91.5">
      <c r="A70" s="217" t="s">
        <v>480</v>
      </c>
      <c r="B70" s="217" t="s">
        <v>472</v>
      </c>
      <c r="C70" s="217" t="s">
        <v>363</v>
      </c>
      <c r="D70" s="217" t="s">
        <v>22</v>
      </c>
      <c r="E70" s="303">
        <f t="shared" si="28"/>
        <v>3330000</v>
      </c>
      <c r="F70" s="303">
        <v>3330000</v>
      </c>
      <c r="G70" s="303"/>
      <c r="H70" s="303"/>
      <c r="I70" s="303"/>
      <c r="J70" s="303">
        <f t="shared" si="29"/>
        <v>0</v>
      </c>
      <c r="K70" s="303"/>
      <c r="L70" s="303"/>
      <c r="M70" s="303"/>
      <c r="N70" s="303">
        <f t="shared" si="31"/>
        <v>0</v>
      </c>
      <c r="O70" s="298"/>
      <c r="P70" s="303">
        <f t="shared" si="30"/>
        <v>3330000</v>
      </c>
    </row>
    <row r="71" spans="1:16" ht="137.25">
      <c r="A71" s="217" t="s">
        <v>481</v>
      </c>
      <c r="B71" s="217" t="s">
        <v>473</v>
      </c>
      <c r="C71" s="217" t="s">
        <v>363</v>
      </c>
      <c r="D71" s="217" t="s">
        <v>23</v>
      </c>
      <c r="E71" s="303">
        <f t="shared" si="28"/>
        <v>41400000</v>
      </c>
      <c r="F71" s="303">
        <v>41400000</v>
      </c>
      <c r="G71" s="303"/>
      <c r="H71" s="303"/>
      <c r="I71" s="303"/>
      <c r="J71" s="303">
        <f t="shared" si="29"/>
        <v>0</v>
      </c>
      <c r="K71" s="303"/>
      <c r="L71" s="303"/>
      <c r="M71" s="303"/>
      <c r="N71" s="303">
        <f t="shared" si="31"/>
        <v>0</v>
      </c>
      <c r="O71" s="298"/>
      <c r="P71" s="303">
        <f t="shared" si="30"/>
        <v>41400000</v>
      </c>
    </row>
    <row r="72" spans="1:16" ht="183">
      <c r="A72" s="431" t="s">
        <v>495</v>
      </c>
      <c r="B72" s="431" t="s">
        <v>482</v>
      </c>
      <c r="C72" s="431" t="s">
        <v>396</v>
      </c>
      <c r="D72" s="431" t="s">
        <v>17</v>
      </c>
      <c r="E72" s="432">
        <f t="shared" si="28"/>
        <v>174859</v>
      </c>
      <c r="F72" s="303">
        <v>174859</v>
      </c>
      <c r="G72" s="298"/>
      <c r="H72" s="298"/>
      <c r="I72" s="303"/>
      <c r="J72" s="432">
        <f t="shared" si="29"/>
        <v>0</v>
      </c>
      <c r="K72" s="303"/>
      <c r="L72" s="298"/>
      <c r="M72" s="298"/>
      <c r="N72" s="303">
        <f t="shared" si="31"/>
        <v>0</v>
      </c>
      <c r="O72" s="298"/>
      <c r="P72" s="432">
        <f t="shared" si="30"/>
        <v>174859</v>
      </c>
    </row>
    <row r="73" spans="1:16" ht="361.5" customHeight="1">
      <c r="A73" s="565" t="s">
        <v>485</v>
      </c>
      <c r="B73" s="566" t="s">
        <v>483</v>
      </c>
      <c r="C73" s="566"/>
      <c r="D73" s="412" t="s">
        <v>755</v>
      </c>
      <c r="E73" s="568">
        <f t="shared" si="28"/>
        <v>105286800</v>
      </c>
      <c r="F73" s="563">
        <f>SUM(F75:F78)</f>
        <v>105286800</v>
      </c>
      <c r="G73" s="563"/>
      <c r="H73" s="563"/>
      <c r="I73" s="563"/>
      <c r="J73" s="561">
        <f t="shared" si="29"/>
        <v>0</v>
      </c>
      <c r="K73" s="563"/>
      <c r="L73" s="563"/>
      <c r="M73" s="563"/>
      <c r="N73" s="563">
        <f t="shared" si="31"/>
        <v>0</v>
      </c>
      <c r="O73" s="563"/>
      <c r="P73" s="561">
        <f t="shared" si="30"/>
        <v>105286800</v>
      </c>
    </row>
    <row r="74" spans="1:16" ht="336" customHeight="1">
      <c r="A74" s="562"/>
      <c r="B74" s="567"/>
      <c r="C74" s="567"/>
      <c r="D74" s="398" t="s">
        <v>756</v>
      </c>
      <c r="E74" s="567"/>
      <c r="F74" s="562"/>
      <c r="G74" s="562"/>
      <c r="H74" s="562"/>
      <c r="I74" s="562"/>
      <c r="J74" s="562"/>
      <c r="K74" s="562"/>
      <c r="L74" s="562"/>
      <c r="M74" s="562"/>
      <c r="N74" s="562"/>
      <c r="O74" s="562"/>
      <c r="P74" s="562"/>
    </row>
    <row r="75" spans="1:16" ht="183">
      <c r="A75" s="217" t="s">
        <v>757</v>
      </c>
      <c r="B75" s="217" t="s">
        <v>758</v>
      </c>
      <c r="C75" s="217" t="s">
        <v>387</v>
      </c>
      <c r="D75" s="217" t="s">
        <v>754</v>
      </c>
      <c r="E75" s="303">
        <f t="shared" ref="E75:E78" si="32">F75</f>
        <v>62560700</v>
      </c>
      <c r="F75" s="303">
        <v>62560700</v>
      </c>
      <c r="G75" s="303"/>
      <c r="H75" s="303"/>
      <c r="I75" s="303"/>
      <c r="J75" s="303">
        <f t="shared" ref="J75" si="33">K75+N75</f>
        <v>0</v>
      </c>
      <c r="K75" s="303"/>
      <c r="L75" s="303"/>
      <c r="M75" s="303"/>
      <c r="N75" s="303">
        <f t="shared" ref="N75" si="34">O75</f>
        <v>0</v>
      </c>
      <c r="O75" s="298"/>
      <c r="P75" s="303">
        <f t="shared" ref="P75:P78" si="35">E75+J75</f>
        <v>62560700</v>
      </c>
    </row>
    <row r="76" spans="1:16" ht="183">
      <c r="A76" s="217" t="s">
        <v>752</v>
      </c>
      <c r="B76" s="217" t="s">
        <v>753</v>
      </c>
      <c r="C76" s="217" t="s">
        <v>387</v>
      </c>
      <c r="D76" s="217" t="s">
        <v>678</v>
      </c>
      <c r="E76" s="303">
        <f t="shared" si="32"/>
        <v>30200800</v>
      </c>
      <c r="F76" s="303">
        <f>11605800+18595000</f>
        <v>30200800</v>
      </c>
      <c r="G76" s="298"/>
      <c r="H76" s="298"/>
      <c r="I76" s="303"/>
      <c r="J76" s="303">
        <f>K76+N76</f>
        <v>0</v>
      </c>
      <c r="K76" s="303"/>
      <c r="L76" s="298"/>
      <c r="M76" s="298"/>
      <c r="N76" s="303"/>
      <c r="O76" s="298"/>
      <c r="P76" s="303">
        <f t="shared" si="35"/>
        <v>30200800</v>
      </c>
    </row>
    <row r="77" spans="1:16" ht="228.75">
      <c r="A77" s="217" t="s">
        <v>761</v>
      </c>
      <c r="B77" s="217" t="s">
        <v>762</v>
      </c>
      <c r="C77" s="217" t="s">
        <v>387</v>
      </c>
      <c r="D77" s="217" t="s">
        <v>763</v>
      </c>
      <c r="E77" s="303">
        <f t="shared" si="32"/>
        <v>12285300</v>
      </c>
      <c r="F77" s="303">
        <v>12285300</v>
      </c>
      <c r="G77" s="298"/>
      <c r="H77" s="298"/>
      <c r="I77" s="303"/>
      <c r="J77" s="303">
        <f>K77+N77</f>
        <v>0</v>
      </c>
      <c r="K77" s="303"/>
      <c r="L77" s="298"/>
      <c r="M77" s="298"/>
      <c r="N77" s="303"/>
      <c r="O77" s="298"/>
      <c r="P77" s="303">
        <f t="shared" si="35"/>
        <v>12285300</v>
      </c>
    </row>
    <row r="78" spans="1:16" ht="320.25">
      <c r="A78" s="217" t="s">
        <v>759</v>
      </c>
      <c r="B78" s="217" t="s">
        <v>760</v>
      </c>
      <c r="C78" s="217" t="s">
        <v>387</v>
      </c>
      <c r="D78" s="217" t="s">
        <v>764</v>
      </c>
      <c r="E78" s="303">
        <f t="shared" si="32"/>
        <v>240000</v>
      </c>
      <c r="F78" s="303">
        <v>240000</v>
      </c>
      <c r="G78" s="298"/>
      <c r="H78" s="298"/>
      <c r="I78" s="303"/>
      <c r="J78" s="303">
        <f>K78+N78</f>
        <v>0</v>
      </c>
      <c r="K78" s="303"/>
      <c r="L78" s="298"/>
      <c r="M78" s="298"/>
      <c r="N78" s="303"/>
      <c r="O78" s="298"/>
      <c r="P78" s="303">
        <f t="shared" si="35"/>
        <v>240000</v>
      </c>
    </row>
    <row r="79" spans="1:16" ht="163.5" customHeight="1">
      <c r="A79" s="431" t="s">
        <v>496</v>
      </c>
      <c r="B79" s="431" t="s">
        <v>484</v>
      </c>
      <c r="C79" s="431" t="s">
        <v>395</v>
      </c>
      <c r="D79" s="431" t="s">
        <v>679</v>
      </c>
      <c r="E79" s="432">
        <f t="shared" si="28"/>
        <v>188940</v>
      </c>
      <c r="F79" s="303">
        <v>188940</v>
      </c>
      <c r="G79" s="298"/>
      <c r="H79" s="298"/>
      <c r="I79" s="303"/>
      <c r="J79" s="432">
        <f t="shared" si="29"/>
        <v>0</v>
      </c>
      <c r="K79" s="303"/>
      <c r="L79" s="298"/>
      <c r="M79" s="298"/>
      <c r="N79" s="303">
        <f t="shared" si="31"/>
        <v>0</v>
      </c>
      <c r="O79" s="298"/>
      <c r="P79" s="432">
        <f t="shared" si="30"/>
        <v>188940</v>
      </c>
    </row>
    <row r="80" spans="1:16" ht="274.5">
      <c r="A80" s="431" t="s">
        <v>517</v>
      </c>
      <c r="B80" s="431" t="s">
        <v>518</v>
      </c>
      <c r="C80" s="431"/>
      <c r="D80" s="431" t="s">
        <v>680</v>
      </c>
      <c r="E80" s="432">
        <f>F80</f>
        <v>17995800</v>
      </c>
      <c r="F80" s="216">
        <f>F81+F82</f>
        <v>17995800</v>
      </c>
      <c r="G80" s="298">
        <f>G81+G82</f>
        <v>11972800</v>
      </c>
      <c r="H80" s="298">
        <f>H81+H82</f>
        <v>530400</v>
      </c>
      <c r="I80" s="303">
        <f>I81+I82</f>
        <v>0</v>
      </c>
      <c r="J80" s="432">
        <f t="shared" si="29"/>
        <v>376000</v>
      </c>
      <c r="K80" s="303">
        <f>K81+K82</f>
        <v>94000</v>
      </c>
      <c r="L80" s="298">
        <f>L81+L82</f>
        <v>50000</v>
      </c>
      <c r="M80" s="298">
        <f>M81+M82</f>
        <v>4000</v>
      </c>
      <c r="N80" s="303">
        <f>N81+N82</f>
        <v>282000</v>
      </c>
      <c r="O80" s="298">
        <f>O81+O82</f>
        <v>282000</v>
      </c>
      <c r="P80" s="432">
        <f t="shared" si="30"/>
        <v>18371800</v>
      </c>
    </row>
    <row r="81" spans="1:16" ht="301.5" customHeight="1">
      <c r="A81" s="217" t="s">
        <v>521</v>
      </c>
      <c r="B81" s="217" t="s">
        <v>519</v>
      </c>
      <c r="C81" s="217" t="s">
        <v>388</v>
      </c>
      <c r="D81" s="217" t="s">
        <v>52</v>
      </c>
      <c r="E81" s="303">
        <f t="shared" si="28"/>
        <v>13614700</v>
      </c>
      <c r="F81" s="303">
        <v>13614700</v>
      </c>
      <c r="G81" s="303">
        <v>9134300</v>
      </c>
      <c r="H81" s="303">
        <v>238000</v>
      </c>
      <c r="I81" s="303"/>
      <c r="J81" s="303">
        <f t="shared" si="29"/>
        <v>206000</v>
      </c>
      <c r="K81" s="303">
        <v>94000</v>
      </c>
      <c r="L81" s="303">
        <v>50000</v>
      </c>
      <c r="M81" s="303">
        <v>4000</v>
      </c>
      <c r="N81" s="303">
        <f>O81</f>
        <v>112000</v>
      </c>
      <c r="O81" s="303">
        <v>112000</v>
      </c>
      <c r="P81" s="303">
        <f t="shared" si="30"/>
        <v>13820700</v>
      </c>
    </row>
    <row r="82" spans="1:16" ht="137.25">
      <c r="A82" s="217" t="s">
        <v>522</v>
      </c>
      <c r="B82" s="217" t="s">
        <v>520</v>
      </c>
      <c r="C82" s="217" t="s">
        <v>388</v>
      </c>
      <c r="D82" s="217" t="s">
        <v>681</v>
      </c>
      <c r="E82" s="303">
        <f t="shared" si="28"/>
        <v>4381100</v>
      </c>
      <c r="F82" s="303">
        <f>2311800+2069300</f>
        <v>4381100</v>
      </c>
      <c r="G82" s="303">
        <f>1573500+1265000</f>
        <v>2838500</v>
      </c>
      <c r="H82" s="303">
        <f>177900+114500</f>
        <v>292400</v>
      </c>
      <c r="I82" s="303"/>
      <c r="J82" s="303">
        <f t="shared" si="29"/>
        <v>170000</v>
      </c>
      <c r="K82" s="303"/>
      <c r="L82" s="303"/>
      <c r="M82" s="303"/>
      <c r="N82" s="303">
        <f>O82</f>
        <v>170000</v>
      </c>
      <c r="O82" s="303">
        <f>170000</f>
        <v>170000</v>
      </c>
      <c r="P82" s="303">
        <f t="shared" si="30"/>
        <v>4551100</v>
      </c>
    </row>
    <row r="83" spans="1:16" ht="366">
      <c r="A83" s="431" t="s">
        <v>514</v>
      </c>
      <c r="B83" s="431" t="s">
        <v>515</v>
      </c>
      <c r="C83" s="431" t="s">
        <v>387</v>
      </c>
      <c r="D83" s="431" t="s">
        <v>682</v>
      </c>
      <c r="E83" s="432">
        <f t="shared" si="28"/>
        <v>1375600</v>
      </c>
      <c r="F83" s="303">
        <f>1375600+240000-240000</f>
        <v>1375600</v>
      </c>
      <c r="G83" s="298"/>
      <c r="H83" s="298"/>
      <c r="I83" s="303"/>
      <c r="J83" s="432">
        <f t="shared" si="29"/>
        <v>0</v>
      </c>
      <c r="K83" s="303">
        <v>0</v>
      </c>
      <c r="L83" s="298"/>
      <c r="M83" s="298"/>
      <c r="N83" s="303">
        <f>O83</f>
        <v>0</v>
      </c>
      <c r="O83" s="298">
        <v>0</v>
      </c>
      <c r="P83" s="432">
        <f>+J83+E83</f>
        <v>1375600</v>
      </c>
    </row>
    <row r="84" spans="1:16" ht="91.5">
      <c r="A84" s="431" t="s">
        <v>683</v>
      </c>
      <c r="B84" s="431" t="s">
        <v>684</v>
      </c>
      <c r="C84" s="431"/>
      <c r="D84" s="431" t="s">
        <v>685</v>
      </c>
      <c r="E84" s="432">
        <f t="shared" si="28"/>
        <v>123527</v>
      </c>
      <c r="F84" s="303">
        <f>SUM(F85:F86)</f>
        <v>123527</v>
      </c>
      <c r="G84" s="298"/>
      <c r="H84" s="298"/>
      <c r="I84" s="303"/>
      <c r="J84" s="432">
        <f t="shared" si="29"/>
        <v>0</v>
      </c>
      <c r="K84" s="303">
        <v>0</v>
      </c>
      <c r="L84" s="298"/>
      <c r="M84" s="298"/>
      <c r="N84" s="303">
        <f>O84</f>
        <v>0</v>
      </c>
      <c r="O84" s="298">
        <v>0</v>
      </c>
      <c r="P84" s="432">
        <f>+J84+E84</f>
        <v>123527</v>
      </c>
    </row>
    <row r="85" spans="1:16" ht="228.75">
      <c r="A85" s="217" t="s">
        <v>686</v>
      </c>
      <c r="B85" s="217" t="s">
        <v>687</v>
      </c>
      <c r="C85" s="217" t="s">
        <v>387</v>
      </c>
      <c r="D85" s="217" t="s">
        <v>765</v>
      </c>
      <c r="E85" s="303">
        <f t="shared" si="28"/>
        <v>123359</v>
      </c>
      <c r="F85" s="303">
        <v>123359</v>
      </c>
      <c r="G85" s="303"/>
      <c r="H85" s="303"/>
      <c r="I85" s="303"/>
      <c r="J85" s="303">
        <f t="shared" si="29"/>
        <v>0</v>
      </c>
      <c r="K85" s="303"/>
      <c r="L85" s="303"/>
      <c r="M85" s="303"/>
      <c r="N85" s="303">
        <f t="shared" ref="N85:N89" si="36">O85</f>
        <v>0</v>
      </c>
      <c r="O85" s="298"/>
      <c r="P85" s="303">
        <f>+J85+E85</f>
        <v>123359</v>
      </c>
    </row>
    <row r="86" spans="1:16" ht="112.5" customHeight="1">
      <c r="A86" s="217" t="s">
        <v>688</v>
      </c>
      <c r="B86" s="217" t="s">
        <v>689</v>
      </c>
      <c r="C86" s="217" t="s">
        <v>387</v>
      </c>
      <c r="D86" s="217" t="s">
        <v>766</v>
      </c>
      <c r="E86" s="303">
        <f t="shared" si="28"/>
        <v>168</v>
      </c>
      <c r="F86" s="303">
        <v>168</v>
      </c>
      <c r="G86" s="303"/>
      <c r="H86" s="303"/>
      <c r="I86" s="303"/>
      <c r="J86" s="303">
        <f t="shared" si="29"/>
        <v>0</v>
      </c>
      <c r="K86" s="303"/>
      <c r="L86" s="303"/>
      <c r="M86" s="303"/>
      <c r="N86" s="303">
        <f t="shared" si="36"/>
        <v>0</v>
      </c>
      <c r="O86" s="298"/>
      <c r="P86" s="303">
        <f>+J86+E86</f>
        <v>168</v>
      </c>
    </row>
    <row r="87" spans="1:16" ht="320.25">
      <c r="A87" s="431" t="s">
        <v>769</v>
      </c>
      <c r="B87" s="431" t="s">
        <v>768</v>
      </c>
      <c r="C87" s="431" t="s">
        <v>120</v>
      </c>
      <c r="D87" s="431" t="s">
        <v>767</v>
      </c>
      <c r="E87" s="432">
        <f t="shared" si="28"/>
        <v>2026990</v>
      </c>
      <c r="F87" s="303">
        <v>2026990</v>
      </c>
      <c r="G87" s="298">
        <f t="shared" ref="G87:I88" si="37">G88</f>
        <v>0</v>
      </c>
      <c r="H87" s="298">
        <f t="shared" si="37"/>
        <v>0</v>
      </c>
      <c r="I87" s="303">
        <f t="shared" si="37"/>
        <v>0</v>
      </c>
      <c r="J87" s="432">
        <f t="shared" si="29"/>
        <v>0</v>
      </c>
      <c r="K87" s="303">
        <f t="shared" ref="K87:M88" si="38">K88</f>
        <v>0</v>
      </c>
      <c r="L87" s="298">
        <f t="shared" si="38"/>
        <v>0</v>
      </c>
      <c r="M87" s="298">
        <f t="shared" si="38"/>
        <v>0</v>
      </c>
      <c r="N87" s="303">
        <f t="shared" si="36"/>
        <v>0</v>
      </c>
      <c r="O87" s="298">
        <f>O88</f>
        <v>0</v>
      </c>
      <c r="P87" s="432">
        <f>E87+J87</f>
        <v>2026990</v>
      </c>
    </row>
    <row r="88" spans="1:16" ht="91.5">
      <c r="A88" s="431" t="s">
        <v>690</v>
      </c>
      <c r="B88" s="431" t="s">
        <v>691</v>
      </c>
      <c r="C88" s="431"/>
      <c r="D88" s="218" t="s">
        <v>50</v>
      </c>
      <c r="E88" s="432">
        <f t="shared" si="28"/>
        <v>400000</v>
      </c>
      <c r="F88" s="303">
        <f>F89</f>
        <v>400000</v>
      </c>
      <c r="G88" s="298">
        <f t="shared" si="37"/>
        <v>0</v>
      </c>
      <c r="H88" s="298">
        <f t="shared" si="37"/>
        <v>0</v>
      </c>
      <c r="I88" s="303">
        <f t="shared" si="37"/>
        <v>0</v>
      </c>
      <c r="J88" s="432">
        <f t="shared" si="29"/>
        <v>0</v>
      </c>
      <c r="K88" s="303">
        <f t="shared" si="38"/>
        <v>0</v>
      </c>
      <c r="L88" s="298">
        <f t="shared" si="38"/>
        <v>0</v>
      </c>
      <c r="M88" s="298">
        <f t="shared" si="38"/>
        <v>0</v>
      </c>
      <c r="N88" s="303">
        <f t="shared" si="36"/>
        <v>0</v>
      </c>
      <c r="O88" s="298">
        <f>O89</f>
        <v>0</v>
      </c>
      <c r="P88" s="432">
        <f>E88+J88</f>
        <v>400000</v>
      </c>
    </row>
    <row r="89" spans="1:16" ht="228.75">
      <c r="A89" s="217" t="s">
        <v>692</v>
      </c>
      <c r="B89" s="217" t="s">
        <v>693</v>
      </c>
      <c r="C89" s="217" t="s">
        <v>395</v>
      </c>
      <c r="D89" s="217" t="s">
        <v>770</v>
      </c>
      <c r="E89" s="303">
        <f t="shared" si="28"/>
        <v>400000</v>
      </c>
      <c r="F89" s="303">
        <v>400000</v>
      </c>
      <c r="G89" s="303"/>
      <c r="H89" s="303"/>
      <c r="I89" s="303"/>
      <c r="J89" s="303">
        <f t="shared" si="29"/>
        <v>0</v>
      </c>
      <c r="K89" s="303"/>
      <c r="L89" s="303"/>
      <c r="M89" s="303"/>
      <c r="N89" s="303">
        <f t="shared" si="36"/>
        <v>0</v>
      </c>
      <c r="O89" s="298"/>
      <c r="P89" s="303">
        <f>E89+J89</f>
        <v>400000</v>
      </c>
    </row>
    <row r="90" spans="1:16">
      <c r="A90" s="565" t="s">
        <v>513</v>
      </c>
      <c r="B90" s="565" t="s">
        <v>372</v>
      </c>
      <c r="C90" s="565" t="s">
        <v>363</v>
      </c>
      <c r="D90" s="398" t="s">
        <v>694</v>
      </c>
      <c r="E90" s="561">
        <f>F90</f>
        <v>851000</v>
      </c>
      <c r="F90" s="563">
        <v>851000</v>
      </c>
      <c r="G90" s="563"/>
      <c r="H90" s="563"/>
      <c r="I90" s="563"/>
      <c r="J90" s="561">
        <f>K90+N90</f>
        <v>0</v>
      </c>
      <c r="K90" s="563"/>
      <c r="L90" s="563"/>
      <c r="M90" s="563"/>
      <c r="N90" s="563">
        <f>O90</f>
        <v>0</v>
      </c>
      <c r="O90" s="563"/>
      <c r="P90" s="561">
        <f>E90+J90</f>
        <v>851000</v>
      </c>
    </row>
    <row r="91" spans="1:16" ht="327.75" customHeight="1">
      <c r="A91" s="562"/>
      <c r="B91" s="562"/>
      <c r="C91" s="562"/>
      <c r="D91" s="399" t="s">
        <v>695</v>
      </c>
      <c r="E91" s="562"/>
      <c r="F91" s="564"/>
      <c r="G91" s="562"/>
      <c r="H91" s="562"/>
      <c r="I91" s="562"/>
      <c r="J91" s="562"/>
      <c r="K91" s="564"/>
      <c r="L91" s="562"/>
      <c r="M91" s="562"/>
      <c r="N91" s="564"/>
      <c r="O91" s="562"/>
      <c r="P91" s="562"/>
    </row>
    <row r="92" spans="1:16" ht="46.5">
      <c r="A92" s="431" t="s">
        <v>698</v>
      </c>
      <c r="B92" s="431" t="s">
        <v>699</v>
      </c>
      <c r="C92" s="431"/>
      <c r="D92" s="431" t="s">
        <v>374</v>
      </c>
      <c r="E92" s="432">
        <f t="shared" si="28"/>
        <v>21176400</v>
      </c>
      <c r="F92" s="303">
        <f>F93+F94</f>
        <v>21176400</v>
      </c>
      <c r="G92" s="213">
        <f>G93+G94</f>
        <v>2035400</v>
      </c>
      <c r="H92" s="213">
        <f>H93+H94</f>
        <v>330200</v>
      </c>
      <c r="I92" s="62"/>
      <c r="J92" s="432">
        <f t="shared" si="29"/>
        <v>400000</v>
      </c>
      <c r="K92" s="303">
        <f>K93+K94</f>
        <v>0</v>
      </c>
      <c r="L92" s="213">
        <f>L93+L94</f>
        <v>0</v>
      </c>
      <c r="M92" s="213">
        <f>M93+M94</f>
        <v>0</v>
      </c>
      <c r="N92" s="62">
        <f>N93+N94</f>
        <v>400000</v>
      </c>
      <c r="O92" s="213">
        <f>O93+O94</f>
        <v>400000</v>
      </c>
      <c r="P92" s="432">
        <f>E92+J92</f>
        <v>21576400</v>
      </c>
    </row>
    <row r="93" spans="1:16" ht="183">
      <c r="A93" s="217" t="s">
        <v>696</v>
      </c>
      <c r="B93" s="217" t="s">
        <v>700</v>
      </c>
      <c r="C93" s="217" t="s">
        <v>373</v>
      </c>
      <c r="D93" s="401" t="s">
        <v>702</v>
      </c>
      <c r="E93" s="303">
        <f t="shared" si="28"/>
        <v>3334800</v>
      </c>
      <c r="F93" s="303">
        <f>5404100-2069300</f>
        <v>3334800</v>
      </c>
      <c r="G93" s="62">
        <f>3300400-1265000</f>
        <v>2035400</v>
      </c>
      <c r="H93" s="62">
        <f>444700-114500</f>
        <v>330200</v>
      </c>
      <c r="I93" s="303"/>
      <c r="J93" s="303">
        <f t="shared" si="29"/>
        <v>0</v>
      </c>
      <c r="K93" s="303"/>
      <c r="L93" s="303"/>
      <c r="M93" s="303"/>
      <c r="N93" s="303">
        <f t="shared" ref="N93:N94" si="39">O93</f>
        <v>0</v>
      </c>
      <c r="O93" s="303"/>
      <c r="P93" s="303">
        <f t="shared" ref="P93:P94" si="40">E93+J93</f>
        <v>3334800</v>
      </c>
    </row>
    <row r="94" spans="1:16" ht="137.25">
      <c r="A94" s="217" t="s">
        <v>697</v>
      </c>
      <c r="B94" s="217" t="s">
        <v>701</v>
      </c>
      <c r="C94" s="217" t="s">
        <v>373</v>
      </c>
      <c r="D94" s="401" t="s">
        <v>703</v>
      </c>
      <c r="E94" s="303">
        <f t="shared" si="28"/>
        <v>17841600</v>
      </c>
      <c r="F94" s="303">
        <f>19868590+12285300-12285300-2026990</f>
        <v>17841600</v>
      </c>
      <c r="G94" s="303"/>
      <c r="H94" s="303"/>
      <c r="I94" s="303"/>
      <c r="J94" s="303">
        <f t="shared" si="29"/>
        <v>400000</v>
      </c>
      <c r="K94" s="303"/>
      <c r="L94" s="303"/>
      <c r="M94" s="303"/>
      <c r="N94" s="303">
        <f t="shared" si="39"/>
        <v>400000</v>
      </c>
      <c r="O94" s="303">
        <v>400000</v>
      </c>
      <c r="P94" s="303">
        <f t="shared" si="40"/>
        <v>18241600</v>
      </c>
    </row>
    <row r="95" spans="1:16" ht="135">
      <c r="A95" s="283">
        <v>1000000</v>
      </c>
      <c r="B95" s="283"/>
      <c r="C95" s="283"/>
      <c r="D95" s="271" t="s">
        <v>68</v>
      </c>
      <c r="E95" s="278">
        <f>E96</f>
        <v>69874100</v>
      </c>
      <c r="F95" s="278">
        <f t="shared" ref="F95:P95" si="41">F96</f>
        <v>69874100</v>
      </c>
      <c r="G95" s="278">
        <f t="shared" si="41"/>
        <v>49969400</v>
      </c>
      <c r="H95" s="278">
        <f t="shared" si="41"/>
        <v>3320500</v>
      </c>
      <c r="I95" s="278">
        <f t="shared" si="41"/>
        <v>0</v>
      </c>
      <c r="J95" s="278">
        <f t="shared" si="41"/>
        <v>10891500</v>
      </c>
      <c r="K95" s="278">
        <f t="shared" si="41"/>
        <v>6593800</v>
      </c>
      <c r="L95" s="278">
        <f t="shared" si="41"/>
        <v>4801700</v>
      </c>
      <c r="M95" s="278">
        <f t="shared" si="41"/>
        <v>184500</v>
      </c>
      <c r="N95" s="278">
        <f t="shared" si="41"/>
        <v>4297700</v>
      </c>
      <c r="O95" s="277">
        <f t="shared" si="41"/>
        <v>4229800</v>
      </c>
      <c r="P95" s="278">
        <f t="shared" si="41"/>
        <v>80765600</v>
      </c>
    </row>
    <row r="96" spans="1:16" ht="180">
      <c r="A96" s="284">
        <v>1010000</v>
      </c>
      <c r="B96" s="284"/>
      <c r="C96" s="284"/>
      <c r="D96" s="272" t="s">
        <v>96</v>
      </c>
      <c r="E96" s="277">
        <f>E98+E99+E100+E101+E97+E102</f>
        <v>69874100</v>
      </c>
      <c r="F96" s="278">
        <f>F98+F99+F100+F101+F97+F102</f>
        <v>69874100</v>
      </c>
      <c r="G96" s="277">
        <f>G98+G99+G100+G101+G97+G102</f>
        <v>49969400</v>
      </c>
      <c r="H96" s="277">
        <f>H98+H99+H100+H101+H97+H102</f>
        <v>3320500</v>
      </c>
      <c r="I96" s="278">
        <v>0</v>
      </c>
      <c r="J96" s="277">
        <f t="shared" ref="J96:J101" si="42">K96+N96</f>
        <v>10891500</v>
      </c>
      <c r="K96" s="278">
        <f>K98+K99+K100+K101+K97+K102</f>
        <v>6593800</v>
      </c>
      <c r="L96" s="277">
        <f>L98+L99+L100+L101+L97+L102</f>
        <v>4801700</v>
      </c>
      <c r="M96" s="277">
        <f>M98+M99+M100+M101+M97+M102</f>
        <v>184500</v>
      </c>
      <c r="N96" s="278">
        <f>N98+N99+N100+N101+N97+N102</f>
        <v>4297700</v>
      </c>
      <c r="O96" s="277">
        <f>O98+O99+O100+O101+O97+O102</f>
        <v>4229800</v>
      </c>
      <c r="P96" s="277">
        <f t="shared" ref="P96:P101" si="43">E96+J96</f>
        <v>80765600</v>
      </c>
    </row>
    <row r="97" spans="1:16" ht="228.75">
      <c r="A97" s="431" t="s">
        <v>49</v>
      </c>
      <c r="B97" s="431" t="s">
        <v>353</v>
      </c>
      <c r="C97" s="431" t="s">
        <v>354</v>
      </c>
      <c r="D97" s="431" t="s">
        <v>352</v>
      </c>
      <c r="E97" s="432">
        <f>F97</f>
        <v>41587600</v>
      </c>
      <c r="F97" s="303">
        <v>41587600</v>
      </c>
      <c r="G97" s="298">
        <v>32071000</v>
      </c>
      <c r="H97" s="298">
        <v>1995800</v>
      </c>
      <c r="I97" s="303"/>
      <c r="J97" s="432">
        <f>K97+N97</f>
        <v>6117100</v>
      </c>
      <c r="K97" s="303">
        <v>6080900</v>
      </c>
      <c r="L97" s="298">
        <v>4609600</v>
      </c>
      <c r="M97" s="298">
        <v>126600</v>
      </c>
      <c r="N97" s="303">
        <f>O97+36200</f>
        <v>36200</v>
      </c>
      <c r="O97" s="298"/>
      <c r="P97" s="432">
        <f>E97+J97</f>
        <v>47704700</v>
      </c>
    </row>
    <row r="98" spans="1:16" ht="46.5">
      <c r="A98" s="431" t="s">
        <v>335</v>
      </c>
      <c r="B98" s="431" t="s">
        <v>336</v>
      </c>
      <c r="C98" s="431" t="s">
        <v>340</v>
      </c>
      <c r="D98" s="431" t="s">
        <v>341</v>
      </c>
      <c r="E98" s="432">
        <f t="shared" ref="E98:E101" si="44">F98</f>
        <v>623000</v>
      </c>
      <c r="F98" s="303">
        <v>623000</v>
      </c>
      <c r="G98" s="298"/>
      <c r="H98" s="298"/>
      <c r="I98" s="303"/>
      <c r="J98" s="432">
        <f t="shared" si="42"/>
        <v>0</v>
      </c>
      <c r="K98" s="303"/>
      <c r="L98" s="298"/>
      <c r="M98" s="298"/>
      <c r="N98" s="303">
        <f t="shared" ref="N98:N100" si="45">O98</f>
        <v>0</v>
      </c>
      <c r="O98" s="298"/>
      <c r="P98" s="432">
        <f t="shared" si="43"/>
        <v>623000</v>
      </c>
    </row>
    <row r="99" spans="1:16" ht="46.5">
      <c r="A99" s="431" t="s">
        <v>342</v>
      </c>
      <c r="B99" s="431" t="s">
        <v>343</v>
      </c>
      <c r="C99" s="431" t="s">
        <v>344</v>
      </c>
      <c r="D99" s="431" t="s">
        <v>345</v>
      </c>
      <c r="E99" s="432">
        <f t="shared" si="44"/>
        <v>7110500</v>
      </c>
      <c r="F99" s="303">
        <v>7110500</v>
      </c>
      <c r="G99" s="298">
        <v>5288800</v>
      </c>
      <c r="H99" s="298">
        <v>477900</v>
      </c>
      <c r="I99" s="303"/>
      <c r="J99" s="432">
        <f t="shared" si="42"/>
        <v>80000</v>
      </c>
      <c r="K99" s="303">
        <v>80000</v>
      </c>
      <c r="L99" s="298">
        <v>9800</v>
      </c>
      <c r="M99" s="298">
        <v>18500</v>
      </c>
      <c r="N99" s="303">
        <f t="shared" si="45"/>
        <v>0</v>
      </c>
      <c r="O99" s="298"/>
      <c r="P99" s="432">
        <f t="shared" si="43"/>
        <v>7190500</v>
      </c>
    </row>
    <row r="100" spans="1:16" ht="91.5">
      <c r="A100" s="431" t="s">
        <v>346</v>
      </c>
      <c r="B100" s="431" t="s">
        <v>347</v>
      </c>
      <c r="C100" s="431" t="s">
        <v>344</v>
      </c>
      <c r="D100" s="431" t="s">
        <v>348</v>
      </c>
      <c r="E100" s="432">
        <f t="shared" si="44"/>
        <v>1097900</v>
      </c>
      <c r="F100" s="303">
        <v>1097900</v>
      </c>
      <c r="G100" s="298">
        <v>672100</v>
      </c>
      <c r="H100" s="298">
        <v>208000</v>
      </c>
      <c r="I100" s="303"/>
      <c r="J100" s="432">
        <f t="shared" si="42"/>
        <v>3070100</v>
      </c>
      <c r="K100" s="303">
        <v>70100</v>
      </c>
      <c r="L100" s="298">
        <v>6100</v>
      </c>
      <c r="M100" s="298">
        <v>3200</v>
      </c>
      <c r="N100" s="303">
        <f t="shared" si="45"/>
        <v>3000000</v>
      </c>
      <c r="O100" s="298">
        <v>3000000</v>
      </c>
      <c r="P100" s="432">
        <f t="shared" si="43"/>
        <v>4168000</v>
      </c>
    </row>
    <row r="101" spans="1:16" ht="183">
      <c r="A101" s="431" t="s">
        <v>349</v>
      </c>
      <c r="B101" s="431" t="s">
        <v>337</v>
      </c>
      <c r="C101" s="431" t="s">
        <v>350</v>
      </c>
      <c r="D101" s="431" t="s">
        <v>351</v>
      </c>
      <c r="E101" s="432">
        <f t="shared" si="44"/>
        <v>5268100</v>
      </c>
      <c r="F101" s="303">
        <v>5268100</v>
      </c>
      <c r="G101" s="298">
        <v>3736300</v>
      </c>
      <c r="H101" s="298">
        <v>604100</v>
      </c>
      <c r="I101" s="303"/>
      <c r="J101" s="432">
        <f t="shared" si="42"/>
        <v>1564500</v>
      </c>
      <c r="K101" s="303">
        <v>303000</v>
      </c>
      <c r="L101" s="298">
        <v>172700</v>
      </c>
      <c r="M101" s="298">
        <v>36200</v>
      </c>
      <c r="N101" s="303">
        <f>O101+31700</f>
        <v>1261500</v>
      </c>
      <c r="O101" s="298">
        <v>1229800</v>
      </c>
      <c r="P101" s="432">
        <f t="shared" si="43"/>
        <v>6832600</v>
      </c>
    </row>
    <row r="102" spans="1:16" ht="91.5">
      <c r="A102" s="431" t="s">
        <v>356</v>
      </c>
      <c r="B102" s="431" t="s">
        <v>357</v>
      </c>
      <c r="C102" s="431"/>
      <c r="D102" s="431" t="s">
        <v>355</v>
      </c>
      <c r="E102" s="432">
        <f>F102</f>
        <v>14187000</v>
      </c>
      <c r="F102" s="303">
        <f>F103+F104</f>
        <v>14187000</v>
      </c>
      <c r="G102" s="298">
        <f>G103+G104</f>
        <v>8201200</v>
      </c>
      <c r="H102" s="298">
        <f>H103+H104</f>
        <v>34700</v>
      </c>
      <c r="I102" s="303"/>
      <c r="J102" s="432">
        <f>K102+N102</f>
        <v>59800</v>
      </c>
      <c r="K102" s="303">
        <f>K103+K104</f>
        <v>59800</v>
      </c>
      <c r="L102" s="298">
        <f>L103+L104</f>
        <v>3500</v>
      </c>
      <c r="M102" s="298">
        <f>M103+M104</f>
        <v>0</v>
      </c>
      <c r="N102" s="303">
        <f>N103+N104</f>
        <v>0</v>
      </c>
      <c r="O102" s="298">
        <f>O103+O104</f>
        <v>0</v>
      </c>
      <c r="P102" s="432">
        <f>E102+J102</f>
        <v>14246800</v>
      </c>
    </row>
    <row r="103" spans="1:16" ht="137.25">
      <c r="A103" s="217" t="s">
        <v>705</v>
      </c>
      <c r="B103" s="217" t="s">
        <v>706</v>
      </c>
      <c r="C103" s="217" t="s">
        <v>358</v>
      </c>
      <c r="D103" s="217" t="s">
        <v>704</v>
      </c>
      <c r="E103" s="303">
        <f>F103</f>
        <v>10587000</v>
      </c>
      <c r="F103" s="303">
        <v>10587000</v>
      </c>
      <c r="G103" s="303">
        <v>8201200</v>
      </c>
      <c r="H103" s="303">
        <v>34700</v>
      </c>
      <c r="I103" s="303"/>
      <c r="J103" s="303">
        <f>K103+N103</f>
        <v>59800</v>
      </c>
      <c r="K103" s="303">
        <v>59800</v>
      </c>
      <c r="L103" s="303">
        <v>3500</v>
      </c>
      <c r="M103" s="303"/>
      <c r="N103" s="303">
        <f>O103</f>
        <v>0</v>
      </c>
      <c r="O103" s="303"/>
      <c r="P103" s="303">
        <f>E103+J103</f>
        <v>10646800</v>
      </c>
    </row>
    <row r="104" spans="1:16" ht="91.5">
      <c r="A104" s="217" t="s">
        <v>707</v>
      </c>
      <c r="B104" s="217" t="s">
        <v>708</v>
      </c>
      <c r="C104" s="217" t="s">
        <v>358</v>
      </c>
      <c r="D104" s="217" t="s">
        <v>709</v>
      </c>
      <c r="E104" s="303">
        <f>F104</f>
        <v>3600000</v>
      </c>
      <c r="F104" s="303">
        <v>3600000</v>
      </c>
      <c r="G104" s="303"/>
      <c r="H104" s="303"/>
      <c r="I104" s="303"/>
      <c r="J104" s="303">
        <f>K104+N104</f>
        <v>0</v>
      </c>
      <c r="K104" s="303"/>
      <c r="L104" s="303"/>
      <c r="M104" s="303"/>
      <c r="N104" s="303">
        <f>O104</f>
        <v>0</v>
      </c>
      <c r="O104" s="303"/>
      <c r="P104" s="303">
        <f>E104+J104</f>
        <v>3600000</v>
      </c>
    </row>
    <row r="105" spans="1:16" ht="135">
      <c r="A105" s="271" t="s">
        <v>65</v>
      </c>
      <c r="B105" s="271"/>
      <c r="C105" s="271"/>
      <c r="D105" s="271" t="s">
        <v>66</v>
      </c>
      <c r="E105" s="278">
        <f>E106</f>
        <v>35509400</v>
      </c>
      <c r="F105" s="278">
        <f t="shared" ref="F105:P105" si="46">F106</f>
        <v>35509400</v>
      </c>
      <c r="G105" s="278">
        <f t="shared" si="46"/>
        <v>14483947</v>
      </c>
      <c r="H105" s="278">
        <f t="shared" si="46"/>
        <v>1591457</v>
      </c>
      <c r="I105" s="278">
        <f t="shared" si="46"/>
        <v>0</v>
      </c>
      <c r="J105" s="278">
        <f t="shared" si="46"/>
        <v>5875100</v>
      </c>
      <c r="K105" s="278">
        <f t="shared" si="46"/>
        <v>1892800</v>
      </c>
      <c r="L105" s="278">
        <f t="shared" si="46"/>
        <v>869800</v>
      </c>
      <c r="M105" s="278">
        <f t="shared" si="46"/>
        <v>318100</v>
      </c>
      <c r="N105" s="278">
        <f t="shared" si="46"/>
        <v>3982300</v>
      </c>
      <c r="O105" s="277">
        <f t="shared" si="46"/>
        <v>3936800</v>
      </c>
      <c r="P105" s="278">
        <f t="shared" si="46"/>
        <v>41384500</v>
      </c>
    </row>
    <row r="106" spans="1:16" ht="135">
      <c r="A106" s="272" t="s">
        <v>64</v>
      </c>
      <c r="B106" s="272"/>
      <c r="C106" s="272"/>
      <c r="D106" s="272" t="s">
        <v>92</v>
      </c>
      <c r="E106" s="277">
        <f>E107+E109+E113+E116+E118+E121+E126+E124</f>
        <v>35509400</v>
      </c>
      <c r="F106" s="278">
        <f>F107+F109+F113+F116+F118+F121+F126+F124</f>
        <v>35509400</v>
      </c>
      <c r="G106" s="277">
        <f>G107+G109+G113+G116+G118+G121+G126</f>
        <v>14483947</v>
      </c>
      <c r="H106" s="277">
        <f>H107+H109+H113+H116+H118+H121+H126</f>
        <v>1591457</v>
      </c>
      <c r="I106" s="277">
        <f>I107+I109+I113+I116+I118+I121+I126</f>
        <v>0</v>
      </c>
      <c r="J106" s="279">
        <f t="shared" ref="J106:J119" si="47">K106+N106</f>
        <v>5875100</v>
      </c>
      <c r="K106" s="278">
        <f>K107+K109+K113+K116+K118+K121+K126</f>
        <v>1892800</v>
      </c>
      <c r="L106" s="277">
        <f>L107+L109+L113+L116+L118+L121+L126</f>
        <v>869800</v>
      </c>
      <c r="M106" s="277">
        <f>M107+M109+M113+M116+M118+M121+M126</f>
        <v>318100</v>
      </c>
      <c r="N106" s="278">
        <f>N107+N109+N113+N116+N118+N121+N126</f>
        <v>3982300</v>
      </c>
      <c r="O106" s="277">
        <f>O107+O109+O113+O116+O118+O121+O126</f>
        <v>3936800</v>
      </c>
      <c r="P106" s="277">
        <f>E106+J106</f>
        <v>41384500</v>
      </c>
    </row>
    <row r="107" spans="1:16" ht="137.25">
      <c r="A107" s="431" t="s">
        <v>359</v>
      </c>
      <c r="B107" s="431" t="s">
        <v>360</v>
      </c>
      <c r="C107" s="431"/>
      <c r="D107" s="431" t="s">
        <v>109</v>
      </c>
      <c r="E107" s="212">
        <f t="shared" ref="E107:E122" si="48">F107</f>
        <v>2411785</v>
      </c>
      <c r="F107" s="303">
        <f>F108</f>
        <v>2411785</v>
      </c>
      <c r="G107" s="298">
        <f>G108</f>
        <v>1829000</v>
      </c>
      <c r="H107" s="298">
        <f>H108</f>
        <v>69750</v>
      </c>
      <c r="I107" s="303">
        <f>I108</f>
        <v>0</v>
      </c>
      <c r="J107" s="212">
        <f t="shared" si="47"/>
        <v>0</v>
      </c>
      <c r="K107" s="303">
        <f>K108</f>
        <v>0</v>
      </c>
      <c r="L107" s="298">
        <f>L108</f>
        <v>0</v>
      </c>
      <c r="M107" s="298">
        <f>M108</f>
        <v>0</v>
      </c>
      <c r="N107" s="214">
        <f>O107</f>
        <v>0</v>
      </c>
      <c r="O107" s="298">
        <f>O108</f>
        <v>0</v>
      </c>
      <c r="P107" s="432">
        <f>+J107+E107</f>
        <v>2411785</v>
      </c>
    </row>
    <row r="108" spans="1:16" ht="137.25">
      <c r="A108" s="217" t="s">
        <v>361</v>
      </c>
      <c r="B108" s="217" t="s">
        <v>362</v>
      </c>
      <c r="C108" s="217" t="s">
        <v>363</v>
      </c>
      <c r="D108" s="217" t="s">
        <v>364</v>
      </c>
      <c r="E108" s="62">
        <f t="shared" si="48"/>
        <v>2411785</v>
      </c>
      <c r="F108" s="62">
        <v>2411785</v>
      </c>
      <c r="G108" s="62">
        <v>1829000</v>
      </c>
      <c r="H108" s="62">
        <v>69750</v>
      </c>
      <c r="I108" s="62"/>
      <c r="J108" s="62">
        <f t="shared" si="47"/>
        <v>0</v>
      </c>
      <c r="K108" s="214"/>
      <c r="L108" s="214"/>
      <c r="M108" s="214"/>
      <c r="N108" s="214">
        <f>O108</f>
        <v>0</v>
      </c>
      <c r="O108" s="219"/>
      <c r="P108" s="303">
        <f>+J108+E108</f>
        <v>2411785</v>
      </c>
    </row>
    <row r="109" spans="1:16" ht="91.5">
      <c r="A109" s="431" t="s">
        <v>108</v>
      </c>
      <c r="B109" s="431" t="s">
        <v>338</v>
      </c>
      <c r="C109" s="431"/>
      <c r="D109" s="431" t="s">
        <v>78</v>
      </c>
      <c r="E109" s="212">
        <f t="shared" si="48"/>
        <v>4147077</v>
      </c>
      <c r="F109" s="62">
        <f>F110+F111+F112</f>
        <v>4147077</v>
      </c>
      <c r="G109" s="62">
        <f>G110+G111</f>
        <v>1397600</v>
      </c>
      <c r="H109" s="213">
        <f>H110+H111</f>
        <v>497977</v>
      </c>
      <c r="I109" s="213">
        <f>I110+I111</f>
        <v>0</v>
      </c>
      <c r="J109" s="212">
        <f t="shared" si="47"/>
        <v>320000</v>
      </c>
      <c r="K109" s="62">
        <f>K110+K111+K112</f>
        <v>320000</v>
      </c>
      <c r="L109" s="213">
        <f>L110+L111</f>
        <v>148900</v>
      </c>
      <c r="M109" s="213">
        <f>M110+M111</f>
        <v>95400</v>
      </c>
      <c r="N109" s="214">
        <f t="shared" ref="N109:N120" si="49">O109</f>
        <v>0</v>
      </c>
      <c r="O109" s="213">
        <f>O110+O111+O112</f>
        <v>0</v>
      </c>
      <c r="P109" s="432">
        <f>+J109+E109</f>
        <v>4467077</v>
      </c>
    </row>
    <row r="110" spans="1:16" ht="183">
      <c r="A110" s="217" t="s">
        <v>107</v>
      </c>
      <c r="B110" s="217" t="s">
        <v>339</v>
      </c>
      <c r="C110" s="217" t="s">
        <v>363</v>
      </c>
      <c r="D110" s="217" t="s">
        <v>33</v>
      </c>
      <c r="E110" s="62">
        <f t="shared" si="48"/>
        <v>769000</v>
      </c>
      <c r="F110" s="62">
        <v>769000</v>
      </c>
      <c r="G110" s="62"/>
      <c r="H110" s="62"/>
      <c r="I110" s="62"/>
      <c r="J110" s="62">
        <f t="shared" si="47"/>
        <v>0</v>
      </c>
      <c r="K110" s="214"/>
      <c r="L110" s="214"/>
      <c r="M110" s="214"/>
      <c r="N110" s="214">
        <f t="shared" si="49"/>
        <v>0</v>
      </c>
      <c r="O110" s="214"/>
      <c r="P110" s="303">
        <f>+J110+E110</f>
        <v>769000</v>
      </c>
    </row>
    <row r="111" spans="1:16" ht="91.5">
      <c r="A111" s="217" t="s">
        <v>370</v>
      </c>
      <c r="B111" s="217" t="s">
        <v>371</v>
      </c>
      <c r="C111" s="217" t="s">
        <v>363</v>
      </c>
      <c r="D111" s="217" t="s">
        <v>34</v>
      </c>
      <c r="E111" s="62">
        <f t="shared" si="48"/>
        <v>2617077</v>
      </c>
      <c r="F111" s="62">
        <v>2617077</v>
      </c>
      <c r="G111" s="62">
        <v>1397600</v>
      </c>
      <c r="H111" s="62">
        <v>497977</v>
      </c>
      <c r="I111" s="62"/>
      <c r="J111" s="62">
        <f t="shared" si="47"/>
        <v>320000</v>
      </c>
      <c r="K111" s="214">
        <v>320000</v>
      </c>
      <c r="L111" s="214">
        <v>148900</v>
      </c>
      <c r="M111" s="214">
        <v>95400</v>
      </c>
      <c r="N111" s="214">
        <f t="shared" si="49"/>
        <v>0</v>
      </c>
      <c r="O111" s="214"/>
      <c r="P111" s="303">
        <f t="shared" ref="P111:P126" si="50">E111+J111</f>
        <v>2937077</v>
      </c>
    </row>
    <row r="112" spans="1:16" ht="91.5">
      <c r="A112" s="217" t="s">
        <v>780</v>
      </c>
      <c r="B112" s="217" t="s">
        <v>781</v>
      </c>
      <c r="C112" s="217" t="s">
        <v>363</v>
      </c>
      <c r="D112" s="217" t="s">
        <v>782</v>
      </c>
      <c r="E112" s="62">
        <f t="shared" si="48"/>
        <v>761000</v>
      </c>
      <c r="F112" s="62">
        <v>761000</v>
      </c>
      <c r="G112" s="62"/>
      <c r="H112" s="62"/>
      <c r="I112" s="62"/>
      <c r="J112" s="62">
        <f t="shared" si="47"/>
        <v>0</v>
      </c>
      <c r="K112" s="214"/>
      <c r="L112" s="214"/>
      <c r="M112" s="214"/>
      <c r="N112" s="214"/>
      <c r="O112" s="214"/>
      <c r="P112" s="303">
        <f t="shared" si="50"/>
        <v>761000</v>
      </c>
    </row>
    <row r="113" spans="1:16" ht="91.5">
      <c r="A113" s="431" t="s">
        <v>110</v>
      </c>
      <c r="B113" s="431" t="s">
        <v>365</v>
      </c>
      <c r="C113" s="431"/>
      <c r="D113" s="431" t="s">
        <v>111</v>
      </c>
      <c r="E113" s="212">
        <f t="shared" si="48"/>
        <v>8702100</v>
      </c>
      <c r="F113" s="62">
        <f>F114+F115</f>
        <v>8702100</v>
      </c>
      <c r="G113" s="62">
        <f>G114+G115</f>
        <v>0</v>
      </c>
      <c r="H113" s="62">
        <f>H114+H115</f>
        <v>0</v>
      </c>
      <c r="I113" s="220"/>
      <c r="J113" s="212">
        <f t="shared" si="47"/>
        <v>0</v>
      </c>
      <c r="K113" s="62">
        <f>K114+K115</f>
        <v>0</v>
      </c>
      <c r="L113" s="215"/>
      <c r="M113" s="215"/>
      <c r="N113" s="214">
        <f t="shared" si="49"/>
        <v>0</v>
      </c>
      <c r="O113" s="213">
        <f>O114+O115</f>
        <v>0</v>
      </c>
      <c r="P113" s="432">
        <f t="shared" si="50"/>
        <v>8702100</v>
      </c>
    </row>
    <row r="114" spans="1:16" ht="137.25">
      <c r="A114" s="217" t="s">
        <v>112</v>
      </c>
      <c r="B114" s="217" t="s">
        <v>366</v>
      </c>
      <c r="C114" s="217" t="s">
        <v>380</v>
      </c>
      <c r="D114" s="217" t="s">
        <v>113</v>
      </c>
      <c r="E114" s="62">
        <f t="shared" si="48"/>
        <v>7229900</v>
      </c>
      <c r="F114" s="62">
        <v>7229900</v>
      </c>
      <c r="G114" s="303"/>
      <c r="H114" s="303"/>
      <c r="I114" s="303"/>
      <c r="J114" s="303">
        <f t="shared" si="47"/>
        <v>0</v>
      </c>
      <c r="K114" s="303"/>
      <c r="L114" s="303"/>
      <c r="M114" s="303"/>
      <c r="N114" s="214">
        <f t="shared" si="49"/>
        <v>0</v>
      </c>
      <c r="O114" s="298"/>
      <c r="P114" s="303">
        <f t="shared" si="50"/>
        <v>7229900</v>
      </c>
    </row>
    <row r="115" spans="1:16" ht="137.25">
      <c r="A115" s="217" t="s">
        <v>114</v>
      </c>
      <c r="B115" s="217" t="s">
        <v>367</v>
      </c>
      <c r="C115" s="217" t="s">
        <v>380</v>
      </c>
      <c r="D115" s="217" t="s">
        <v>11</v>
      </c>
      <c r="E115" s="62">
        <f t="shared" si="48"/>
        <v>1472200</v>
      </c>
      <c r="F115" s="62">
        <v>1472200</v>
      </c>
      <c r="G115" s="303"/>
      <c r="H115" s="303"/>
      <c r="I115" s="303"/>
      <c r="J115" s="303">
        <f t="shared" si="47"/>
        <v>0</v>
      </c>
      <c r="K115" s="303"/>
      <c r="L115" s="303"/>
      <c r="M115" s="303"/>
      <c r="N115" s="214">
        <f t="shared" si="49"/>
        <v>0</v>
      </c>
      <c r="O115" s="298"/>
      <c r="P115" s="303">
        <f t="shared" si="50"/>
        <v>1472200</v>
      </c>
    </row>
    <row r="116" spans="1:16" ht="137.25">
      <c r="A116" s="431" t="s">
        <v>115</v>
      </c>
      <c r="B116" s="431" t="s">
        <v>368</v>
      </c>
      <c r="C116" s="431"/>
      <c r="D116" s="431" t="s">
        <v>771</v>
      </c>
      <c r="E116" s="212">
        <f t="shared" si="48"/>
        <v>11500</v>
      </c>
      <c r="F116" s="62">
        <f>F117</f>
        <v>11500</v>
      </c>
      <c r="G116" s="213">
        <f>G117</f>
        <v>0</v>
      </c>
      <c r="H116" s="213">
        <f>H117</f>
        <v>0</v>
      </c>
      <c r="I116" s="303"/>
      <c r="J116" s="432">
        <f t="shared" si="47"/>
        <v>0</v>
      </c>
      <c r="K116" s="62">
        <f>K117</f>
        <v>0</v>
      </c>
      <c r="L116" s="213">
        <f>L117</f>
        <v>0</v>
      </c>
      <c r="M116" s="213">
        <f>M117</f>
        <v>0</v>
      </c>
      <c r="N116" s="214">
        <f>N117</f>
        <v>0</v>
      </c>
      <c r="O116" s="213">
        <f>O117</f>
        <v>0</v>
      </c>
      <c r="P116" s="432">
        <f t="shared" si="50"/>
        <v>11500</v>
      </c>
    </row>
    <row r="117" spans="1:16" ht="183">
      <c r="A117" s="217" t="s">
        <v>116</v>
      </c>
      <c r="B117" s="217" t="s">
        <v>369</v>
      </c>
      <c r="C117" s="217" t="s">
        <v>380</v>
      </c>
      <c r="D117" s="217" t="s">
        <v>772</v>
      </c>
      <c r="E117" s="62">
        <f>F117</f>
        <v>11500</v>
      </c>
      <c r="F117" s="62">
        <v>11500</v>
      </c>
      <c r="G117" s="62"/>
      <c r="H117" s="62"/>
      <c r="I117" s="303"/>
      <c r="J117" s="303">
        <f t="shared" si="47"/>
        <v>0</v>
      </c>
      <c r="K117" s="62"/>
      <c r="L117" s="62"/>
      <c r="M117" s="62"/>
      <c r="N117" s="214">
        <f>N120</f>
        <v>0</v>
      </c>
      <c r="O117" s="62"/>
      <c r="P117" s="303">
        <f t="shared" si="50"/>
        <v>11500</v>
      </c>
    </row>
    <row r="118" spans="1:16" ht="91.5">
      <c r="A118" s="431" t="s">
        <v>80</v>
      </c>
      <c r="B118" s="431" t="s">
        <v>375</v>
      </c>
      <c r="C118" s="431"/>
      <c r="D118" s="431" t="s">
        <v>81</v>
      </c>
      <c r="E118" s="212">
        <f t="shared" si="48"/>
        <v>18754460</v>
      </c>
      <c r="F118" s="62">
        <f>F119+F120</f>
        <v>18754460</v>
      </c>
      <c r="G118" s="213">
        <f>G119+G120</f>
        <v>10666900</v>
      </c>
      <c r="H118" s="213">
        <f>H119+H120</f>
        <v>1023730</v>
      </c>
      <c r="I118" s="213">
        <f>I119+I120</f>
        <v>0</v>
      </c>
      <c r="J118" s="432">
        <f t="shared" si="47"/>
        <v>3030100</v>
      </c>
      <c r="K118" s="62">
        <f>K119+K120</f>
        <v>1547800</v>
      </c>
      <c r="L118" s="213">
        <f>L119+L120</f>
        <v>720900</v>
      </c>
      <c r="M118" s="213">
        <f>M119+M120</f>
        <v>222700</v>
      </c>
      <c r="N118" s="214">
        <f>N119+N120</f>
        <v>1482300</v>
      </c>
      <c r="O118" s="62">
        <f>O119+O120</f>
        <v>1436800</v>
      </c>
      <c r="P118" s="432">
        <f t="shared" si="50"/>
        <v>21784560</v>
      </c>
    </row>
    <row r="119" spans="1:16" ht="183">
      <c r="A119" s="217" t="s">
        <v>79</v>
      </c>
      <c r="B119" s="217" t="s">
        <v>376</v>
      </c>
      <c r="C119" s="217" t="s">
        <v>380</v>
      </c>
      <c r="D119" s="217" t="s">
        <v>117</v>
      </c>
      <c r="E119" s="62">
        <f t="shared" si="48"/>
        <v>15491860</v>
      </c>
      <c r="F119" s="62">
        <v>15491860</v>
      </c>
      <c r="G119" s="62">
        <v>10666900</v>
      </c>
      <c r="H119" s="62">
        <v>1023730</v>
      </c>
      <c r="I119" s="62"/>
      <c r="J119" s="62">
        <f t="shared" si="47"/>
        <v>3030100</v>
      </c>
      <c r="K119" s="62">
        <v>1547800</v>
      </c>
      <c r="L119" s="62">
        <v>720900</v>
      </c>
      <c r="M119" s="62">
        <v>222700</v>
      </c>
      <c r="N119" s="214">
        <f>O119+45500</f>
        <v>1482300</v>
      </c>
      <c r="O119" s="213">
        <f>1436800</f>
        <v>1436800</v>
      </c>
      <c r="P119" s="303">
        <f t="shared" si="50"/>
        <v>18521960</v>
      </c>
    </row>
    <row r="120" spans="1:16" ht="183">
      <c r="A120" s="217" t="s">
        <v>82</v>
      </c>
      <c r="B120" s="217" t="s">
        <v>377</v>
      </c>
      <c r="C120" s="217" t="s">
        <v>380</v>
      </c>
      <c r="D120" s="217" t="s">
        <v>118</v>
      </c>
      <c r="E120" s="62">
        <f t="shared" si="48"/>
        <v>3262600</v>
      </c>
      <c r="F120" s="62">
        <v>3262600</v>
      </c>
      <c r="G120" s="62"/>
      <c r="H120" s="62"/>
      <c r="I120" s="62"/>
      <c r="J120" s="62"/>
      <c r="K120" s="62"/>
      <c r="L120" s="62"/>
      <c r="M120" s="62"/>
      <c r="N120" s="214">
        <f t="shared" si="49"/>
        <v>0</v>
      </c>
      <c r="O120" s="213"/>
      <c r="P120" s="303">
        <f t="shared" si="50"/>
        <v>3262600</v>
      </c>
    </row>
    <row r="121" spans="1:16" ht="91.5">
      <c r="A121" s="431" t="s">
        <v>119</v>
      </c>
      <c r="B121" s="431" t="s">
        <v>378</v>
      </c>
      <c r="C121" s="431"/>
      <c r="D121" s="431" t="s">
        <v>83</v>
      </c>
      <c r="E121" s="212">
        <f t="shared" si="48"/>
        <v>1471558</v>
      </c>
      <c r="F121" s="62">
        <f>F122+F123</f>
        <v>1471558</v>
      </c>
      <c r="G121" s="213">
        <f>G122+G123</f>
        <v>590447</v>
      </c>
      <c r="H121" s="213">
        <f>H122+H123</f>
        <v>0</v>
      </c>
      <c r="I121" s="213">
        <f>I122+I123</f>
        <v>0</v>
      </c>
      <c r="J121" s="432">
        <f t="shared" ref="J121:J126" si="51">K121+N121</f>
        <v>25000</v>
      </c>
      <c r="K121" s="62">
        <f>K122+K123</f>
        <v>25000</v>
      </c>
      <c r="L121" s="213">
        <f>L122+L123</f>
        <v>0</v>
      </c>
      <c r="M121" s="213">
        <f>M122+M123</f>
        <v>0</v>
      </c>
      <c r="N121" s="214">
        <f>N122+N123</f>
        <v>0</v>
      </c>
      <c r="O121" s="298">
        <f>O122+O123</f>
        <v>0</v>
      </c>
      <c r="P121" s="432">
        <f t="shared" si="50"/>
        <v>1496558</v>
      </c>
    </row>
    <row r="122" spans="1:16" ht="274.5">
      <c r="A122" s="221" t="s">
        <v>84</v>
      </c>
      <c r="B122" s="221" t="s">
        <v>379</v>
      </c>
      <c r="C122" s="221" t="s">
        <v>380</v>
      </c>
      <c r="D122" s="217" t="s">
        <v>85</v>
      </c>
      <c r="E122" s="62">
        <f t="shared" si="48"/>
        <v>557400</v>
      </c>
      <c r="F122" s="62">
        <v>557400</v>
      </c>
      <c r="G122" s="303"/>
      <c r="H122" s="303"/>
      <c r="I122" s="303"/>
      <c r="J122" s="303">
        <f>K122+N122</f>
        <v>0</v>
      </c>
      <c r="K122" s="303"/>
      <c r="L122" s="303"/>
      <c r="M122" s="303"/>
      <c r="N122" s="214">
        <f>O122</f>
        <v>0</v>
      </c>
      <c r="O122" s="303"/>
      <c r="P122" s="303">
        <f t="shared" si="50"/>
        <v>557400</v>
      </c>
    </row>
    <row r="123" spans="1:16" ht="91.5">
      <c r="A123" s="221" t="s">
        <v>86</v>
      </c>
      <c r="B123" s="221" t="s">
        <v>381</v>
      </c>
      <c r="C123" s="221" t="s">
        <v>380</v>
      </c>
      <c r="D123" s="217" t="s">
        <v>87</v>
      </c>
      <c r="E123" s="62">
        <f>F123</f>
        <v>914158</v>
      </c>
      <c r="F123" s="62">
        <v>914158</v>
      </c>
      <c r="G123" s="303">
        <v>590447</v>
      </c>
      <c r="H123" s="303"/>
      <c r="I123" s="303"/>
      <c r="J123" s="303">
        <f t="shared" si="51"/>
        <v>25000</v>
      </c>
      <c r="K123" s="303">
        <f>20900+4100</f>
        <v>25000</v>
      </c>
      <c r="L123" s="303"/>
      <c r="M123" s="303"/>
      <c r="N123" s="214">
        <f>O123</f>
        <v>0</v>
      </c>
      <c r="O123" s="303"/>
      <c r="P123" s="303">
        <f t="shared" si="50"/>
        <v>939158</v>
      </c>
    </row>
    <row r="124" spans="1:16" ht="91.5">
      <c r="A124" s="222" t="s">
        <v>718</v>
      </c>
      <c r="B124" s="222" t="s">
        <v>720</v>
      </c>
      <c r="C124" s="222"/>
      <c r="D124" s="431" t="s">
        <v>719</v>
      </c>
      <c r="E124" s="212">
        <f>F124</f>
        <v>10920</v>
      </c>
      <c r="F124" s="62">
        <f>F125</f>
        <v>10920</v>
      </c>
      <c r="G124" s="213"/>
      <c r="H124" s="213"/>
      <c r="I124" s="213"/>
      <c r="J124" s="432">
        <f t="shared" si="51"/>
        <v>0</v>
      </c>
      <c r="K124" s="62"/>
      <c r="L124" s="213"/>
      <c r="M124" s="213"/>
      <c r="N124" s="214">
        <f>O124</f>
        <v>0</v>
      </c>
      <c r="O124" s="298"/>
      <c r="P124" s="432">
        <f t="shared" si="50"/>
        <v>10920</v>
      </c>
    </row>
    <row r="125" spans="1:16" ht="274.5">
      <c r="A125" s="221" t="s">
        <v>724</v>
      </c>
      <c r="B125" s="221" t="s">
        <v>723</v>
      </c>
      <c r="C125" s="221" t="s">
        <v>722</v>
      </c>
      <c r="D125" s="217" t="s">
        <v>721</v>
      </c>
      <c r="E125" s="62">
        <f>F125</f>
        <v>10920</v>
      </c>
      <c r="F125" s="62">
        <v>10920</v>
      </c>
      <c r="G125" s="303"/>
      <c r="H125" s="303"/>
      <c r="I125" s="303"/>
      <c r="J125" s="303">
        <f t="shared" si="51"/>
        <v>0</v>
      </c>
      <c r="K125" s="303"/>
      <c r="L125" s="303"/>
      <c r="M125" s="303"/>
      <c r="N125" s="214">
        <f>O125</f>
        <v>0</v>
      </c>
      <c r="O125" s="303"/>
      <c r="P125" s="303">
        <f t="shared" si="50"/>
        <v>10920</v>
      </c>
    </row>
    <row r="126" spans="1:16" ht="91.5">
      <c r="A126" s="222" t="s">
        <v>382</v>
      </c>
      <c r="B126" s="222" t="s">
        <v>383</v>
      </c>
      <c r="C126" s="222" t="s">
        <v>334</v>
      </c>
      <c r="D126" s="431" t="s">
        <v>91</v>
      </c>
      <c r="E126" s="212">
        <f>F126</f>
        <v>0</v>
      </c>
      <c r="F126" s="62"/>
      <c r="G126" s="213"/>
      <c r="H126" s="213"/>
      <c r="I126" s="213"/>
      <c r="J126" s="432">
        <f t="shared" si="51"/>
        <v>2500000</v>
      </c>
      <c r="K126" s="62"/>
      <c r="L126" s="213"/>
      <c r="M126" s="213"/>
      <c r="N126" s="214">
        <f>O126</f>
        <v>2500000</v>
      </c>
      <c r="O126" s="298">
        <v>2500000</v>
      </c>
      <c r="P126" s="432">
        <f t="shared" si="50"/>
        <v>2500000</v>
      </c>
    </row>
    <row r="127" spans="1:16" ht="180">
      <c r="A127" s="271" t="s">
        <v>320</v>
      </c>
      <c r="B127" s="271"/>
      <c r="C127" s="271"/>
      <c r="D127" s="271" t="s">
        <v>67</v>
      </c>
      <c r="E127" s="278">
        <f>E128</f>
        <v>140985621</v>
      </c>
      <c r="F127" s="278">
        <f t="shared" ref="F127:P127" si="52">F128</f>
        <v>140985621</v>
      </c>
      <c r="G127" s="278">
        <f t="shared" si="52"/>
        <v>839900</v>
      </c>
      <c r="H127" s="278">
        <f t="shared" si="52"/>
        <v>11500</v>
      </c>
      <c r="I127" s="278">
        <f t="shared" si="52"/>
        <v>0</v>
      </c>
      <c r="J127" s="278">
        <f t="shared" si="52"/>
        <v>139908210</v>
      </c>
      <c r="K127" s="278">
        <f t="shared" si="52"/>
        <v>7400</v>
      </c>
      <c r="L127" s="278">
        <f t="shared" si="52"/>
        <v>0</v>
      </c>
      <c r="M127" s="278">
        <f t="shared" si="52"/>
        <v>0</v>
      </c>
      <c r="N127" s="278">
        <f t="shared" si="52"/>
        <v>139900810</v>
      </c>
      <c r="O127" s="277">
        <f t="shared" si="52"/>
        <v>139900810</v>
      </c>
      <c r="P127" s="278">
        <f t="shared" si="52"/>
        <v>280893831</v>
      </c>
    </row>
    <row r="128" spans="1:16" ht="180">
      <c r="A128" s="272" t="s">
        <v>321</v>
      </c>
      <c r="B128" s="272"/>
      <c r="C128" s="272"/>
      <c r="D128" s="272" t="s">
        <v>97</v>
      </c>
      <c r="E128" s="277">
        <f>E129+E134+E135+E136+E138+E140+E142+E143+E144+E145</f>
        <v>140985621</v>
      </c>
      <c r="F128" s="278">
        <f>F129+F134+F135+F136+F138+F140+F142+F143+F144+F145</f>
        <v>140985621</v>
      </c>
      <c r="G128" s="277">
        <f>G129+G134+G135+G136+G138+G140+G142+G143+G144+G145</f>
        <v>839900</v>
      </c>
      <c r="H128" s="277">
        <f>H129+H134+H135+H136+H138+H140+H142+H143+H144+H145</f>
        <v>11500</v>
      </c>
      <c r="I128" s="277">
        <f>I129+I134+I135+I136+I138+I140+I142+I143+I144+I145</f>
        <v>0</v>
      </c>
      <c r="J128" s="277">
        <f t="shared" ref="J128:J145" si="53">K128+N128</f>
        <v>139908210</v>
      </c>
      <c r="K128" s="278">
        <f>K129+K134+K135+K136+K138+K140+K142+K143+K144+K145</f>
        <v>7400</v>
      </c>
      <c r="L128" s="277">
        <f>L129+L134+L135+L136+L138+L140+L142+L143+L144+L145</f>
        <v>0</v>
      </c>
      <c r="M128" s="277">
        <f>M129+M134+M135+M136+M138+M140+M142+M143+M144+M145</f>
        <v>0</v>
      </c>
      <c r="N128" s="278">
        <f>N129+N134+N135+N136+N137+N138+N140+N142+N143+N144+N145</f>
        <v>139900810</v>
      </c>
      <c r="O128" s="277">
        <f>O129+O134+O135+O136+O137+O138+O140+O142+O143+O144+O145</f>
        <v>139900810</v>
      </c>
      <c r="P128" s="277">
        <f>E128+J128</f>
        <v>280893831</v>
      </c>
    </row>
    <row r="129" spans="1:16" ht="137.25">
      <c r="A129" s="431" t="s">
        <v>538</v>
      </c>
      <c r="B129" s="431" t="s">
        <v>539</v>
      </c>
      <c r="C129" s="431"/>
      <c r="D129" s="431" t="s">
        <v>542</v>
      </c>
      <c r="E129" s="432">
        <f t="shared" ref="E129:E145" si="54">F129</f>
        <v>3734550</v>
      </c>
      <c r="F129" s="303">
        <f>SUM(F130:F133)</f>
        <v>3734550</v>
      </c>
      <c r="G129" s="213"/>
      <c r="H129" s="298"/>
      <c r="I129" s="303"/>
      <c r="J129" s="432">
        <f t="shared" si="53"/>
        <v>40400000</v>
      </c>
      <c r="K129" s="303">
        <f>SUM(K130:K133)</f>
        <v>0</v>
      </c>
      <c r="L129" s="298"/>
      <c r="M129" s="298"/>
      <c r="N129" s="303">
        <f t="shared" ref="N129:N133" si="55">O129</f>
        <v>40400000</v>
      </c>
      <c r="O129" s="303">
        <f>SUM(O130:O133)</f>
        <v>40400000</v>
      </c>
      <c r="P129" s="432">
        <f t="shared" ref="P129" si="56">E129+J129</f>
        <v>44134550</v>
      </c>
    </row>
    <row r="130" spans="1:16" ht="137.25">
      <c r="A130" s="217" t="s">
        <v>540</v>
      </c>
      <c r="B130" s="217" t="s">
        <v>541</v>
      </c>
      <c r="C130" s="217" t="s">
        <v>544</v>
      </c>
      <c r="D130" s="217" t="s">
        <v>543</v>
      </c>
      <c r="E130" s="62">
        <f t="shared" si="54"/>
        <v>3189750</v>
      </c>
      <c r="F130" s="62">
        <v>3189750</v>
      </c>
      <c r="G130" s="62"/>
      <c r="H130" s="62"/>
      <c r="I130" s="62"/>
      <c r="J130" s="62">
        <f t="shared" si="53"/>
        <v>1400000</v>
      </c>
      <c r="K130" s="214"/>
      <c r="L130" s="214"/>
      <c r="M130" s="214"/>
      <c r="N130" s="214">
        <f t="shared" si="55"/>
        <v>1400000</v>
      </c>
      <c r="O130" s="214">
        <v>1400000</v>
      </c>
      <c r="P130" s="303">
        <f>+J130+E130</f>
        <v>4589750</v>
      </c>
    </row>
    <row r="131" spans="1:16" ht="137.25">
      <c r="A131" s="217" t="s">
        <v>548</v>
      </c>
      <c r="B131" s="217" t="s">
        <v>549</v>
      </c>
      <c r="C131" s="217" t="s">
        <v>544</v>
      </c>
      <c r="D131" s="217" t="s">
        <v>550</v>
      </c>
      <c r="E131" s="62">
        <f t="shared" si="54"/>
        <v>484800</v>
      </c>
      <c r="F131" s="62">
        <v>484800</v>
      </c>
      <c r="G131" s="62"/>
      <c r="H131" s="62"/>
      <c r="I131" s="62"/>
      <c r="J131" s="62">
        <f t="shared" si="53"/>
        <v>0</v>
      </c>
      <c r="K131" s="214"/>
      <c r="L131" s="214"/>
      <c r="M131" s="214"/>
      <c r="N131" s="214">
        <f t="shared" si="55"/>
        <v>0</v>
      </c>
      <c r="O131" s="214"/>
      <c r="P131" s="303">
        <f>+J131+E131</f>
        <v>484800</v>
      </c>
    </row>
    <row r="132" spans="1:16" ht="137.25">
      <c r="A132" s="217" t="s">
        <v>579</v>
      </c>
      <c r="B132" s="217" t="s">
        <v>580</v>
      </c>
      <c r="C132" s="217" t="s">
        <v>544</v>
      </c>
      <c r="D132" s="217" t="s">
        <v>581</v>
      </c>
      <c r="E132" s="62">
        <f t="shared" si="54"/>
        <v>0</v>
      </c>
      <c r="F132" s="62"/>
      <c r="G132" s="62"/>
      <c r="H132" s="62"/>
      <c r="I132" s="62"/>
      <c r="J132" s="62">
        <f t="shared" si="53"/>
        <v>5000000</v>
      </c>
      <c r="K132" s="214"/>
      <c r="L132" s="214"/>
      <c r="M132" s="214"/>
      <c r="N132" s="214">
        <f t="shared" si="55"/>
        <v>5000000</v>
      </c>
      <c r="O132" s="214">
        <v>5000000</v>
      </c>
      <c r="P132" s="303">
        <f>+J132+E132</f>
        <v>5000000</v>
      </c>
    </row>
    <row r="133" spans="1:16" ht="183">
      <c r="A133" s="217" t="s">
        <v>545</v>
      </c>
      <c r="B133" s="217" t="s">
        <v>546</v>
      </c>
      <c r="C133" s="217" t="s">
        <v>544</v>
      </c>
      <c r="D133" s="217" t="s">
        <v>547</v>
      </c>
      <c r="E133" s="62">
        <f t="shared" si="54"/>
        <v>60000</v>
      </c>
      <c r="F133" s="62">
        <v>60000</v>
      </c>
      <c r="G133" s="62"/>
      <c r="H133" s="62"/>
      <c r="I133" s="62"/>
      <c r="J133" s="62">
        <f t="shared" si="53"/>
        <v>34000000</v>
      </c>
      <c r="K133" s="214"/>
      <c r="L133" s="214"/>
      <c r="M133" s="214"/>
      <c r="N133" s="214">
        <f t="shared" si="55"/>
        <v>34000000</v>
      </c>
      <c r="O133" s="214">
        <v>34000000</v>
      </c>
      <c r="P133" s="303">
        <f>+J133+E133</f>
        <v>34060000</v>
      </c>
    </row>
    <row r="134" spans="1:16" ht="228.75">
      <c r="A134" s="431" t="s">
        <v>573</v>
      </c>
      <c r="B134" s="431" t="s">
        <v>574</v>
      </c>
      <c r="C134" s="431" t="s">
        <v>544</v>
      </c>
      <c r="D134" s="431" t="s">
        <v>575</v>
      </c>
      <c r="E134" s="212">
        <f t="shared" si="54"/>
        <v>1247401</v>
      </c>
      <c r="F134" s="62">
        <f>138000+1109401</f>
        <v>1247401</v>
      </c>
      <c r="G134" s="213"/>
      <c r="H134" s="213"/>
      <c r="I134" s="213"/>
      <c r="J134" s="432">
        <f t="shared" si="53"/>
        <v>0</v>
      </c>
      <c r="K134" s="62"/>
      <c r="L134" s="213"/>
      <c r="M134" s="213"/>
      <c r="N134" s="214">
        <f>O134</f>
        <v>0</v>
      </c>
      <c r="O134" s="298"/>
      <c r="P134" s="432">
        <f t="shared" ref="P134:P138" si="57">E134+J134</f>
        <v>1247401</v>
      </c>
    </row>
    <row r="135" spans="1:16" ht="91.5">
      <c r="A135" s="431" t="s">
        <v>551</v>
      </c>
      <c r="B135" s="431" t="s">
        <v>552</v>
      </c>
      <c r="C135" s="431" t="s">
        <v>544</v>
      </c>
      <c r="D135" s="431" t="s">
        <v>553</v>
      </c>
      <c r="E135" s="212">
        <f t="shared" si="54"/>
        <v>88681880</v>
      </c>
      <c r="F135" s="62">
        <v>88681880</v>
      </c>
      <c r="G135" s="213"/>
      <c r="H135" s="213"/>
      <c r="I135" s="213"/>
      <c r="J135" s="432">
        <f t="shared" si="53"/>
        <v>10282110</v>
      </c>
      <c r="K135" s="62"/>
      <c r="L135" s="213"/>
      <c r="M135" s="213"/>
      <c r="N135" s="214">
        <f>O135</f>
        <v>10282110</v>
      </c>
      <c r="O135" s="298">
        <v>10282110</v>
      </c>
      <c r="P135" s="432">
        <f t="shared" si="57"/>
        <v>98963990</v>
      </c>
    </row>
    <row r="136" spans="1:16" ht="92.25">
      <c r="A136" s="431" t="s">
        <v>583</v>
      </c>
      <c r="B136" s="431" t="s">
        <v>584</v>
      </c>
      <c r="C136" s="431" t="s">
        <v>582</v>
      </c>
      <c r="D136" s="431" t="s">
        <v>585</v>
      </c>
      <c r="E136" s="212">
        <f t="shared" si="54"/>
        <v>0</v>
      </c>
      <c r="F136" s="62"/>
      <c r="G136" s="213"/>
      <c r="H136" s="213"/>
      <c r="I136" s="213"/>
      <c r="J136" s="432">
        <f t="shared" si="53"/>
        <v>20000000</v>
      </c>
      <c r="K136" s="62"/>
      <c r="L136" s="213"/>
      <c r="M136" s="213"/>
      <c r="N136" s="214">
        <f>O136</f>
        <v>20000000</v>
      </c>
      <c r="O136" s="298">
        <v>20000000</v>
      </c>
      <c r="P136" s="432">
        <f t="shared" si="57"/>
        <v>20000000</v>
      </c>
    </row>
    <row r="137" spans="1:16" ht="183">
      <c r="A137" s="431" t="s">
        <v>737</v>
      </c>
      <c r="B137" s="431" t="s">
        <v>621</v>
      </c>
      <c r="C137" s="431" t="s">
        <v>582</v>
      </c>
      <c r="D137" s="431" t="s">
        <v>738</v>
      </c>
      <c r="E137" s="212">
        <v>0</v>
      </c>
      <c r="F137" s="62"/>
      <c r="G137" s="213"/>
      <c r="H137" s="213"/>
      <c r="I137" s="213"/>
      <c r="J137" s="432">
        <f t="shared" si="53"/>
        <v>700000</v>
      </c>
      <c r="K137" s="62"/>
      <c r="L137" s="213"/>
      <c r="M137" s="213"/>
      <c r="N137" s="214">
        <f>O137</f>
        <v>700000</v>
      </c>
      <c r="O137" s="298">
        <v>700000</v>
      </c>
      <c r="P137" s="432">
        <f t="shared" si="57"/>
        <v>700000</v>
      </c>
    </row>
    <row r="138" spans="1:16" ht="137.25">
      <c r="A138" s="431" t="s">
        <v>555</v>
      </c>
      <c r="B138" s="431" t="s">
        <v>556</v>
      </c>
      <c r="C138" s="431"/>
      <c r="D138" s="431" t="s">
        <v>558</v>
      </c>
      <c r="E138" s="432">
        <f t="shared" si="54"/>
        <v>15000000</v>
      </c>
      <c r="F138" s="303">
        <f>SUM(F139)</f>
        <v>15000000</v>
      </c>
      <c r="G138" s="213"/>
      <c r="H138" s="298"/>
      <c r="I138" s="303"/>
      <c r="J138" s="432">
        <f t="shared" si="53"/>
        <v>0</v>
      </c>
      <c r="K138" s="303">
        <f>SUM(K139)</f>
        <v>0</v>
      </c>
      <c r="L138" s="298"/>
      <c r="M138" s="298"/>
      <c r="N138" s="303">
        <f t="shared" ref="N138:N141" si="58">O138</f>
        <v>0</v>
      </c>
      <c r="O138" s="303">
        <f>SUM(O139)</f>
        <v>0</v>
      </c>
      <c r="P138" s="432">
        <f t="shared" si="57"/>
        <v>15000000</v>
      </c>
    </row>
    <row r="139" spans="1:16" ht="91.5">
      <c r="A139" s="217" t="s">
        <v>554</v>
      </c>
      <c r="B139" s="217" t="s">
        <v>557</v>
      </c>
      <c r="C139" s="217" t="s">
        <v>560</v>
      </c>
      <c r="D139" s="217" t="s">
        <v>559</v>
      </c>
      <c r="E139" s="62">
        <f t="shared" si="54"/>
        <v>15000000</v>
      </c>
      <c r="F139" s="62">
        <v>15000000</v>
      </c>
      <c r="G139" s="62"/>
      <c r="H139" s="62"/>
      <c r="I139" s="62"/>
      <c r="J139" s="62">
        <f t="shared" si="53"/>
        <v>0</v>
      </c>
      <c r="K139" s="214"/>
      <c r="L139" s="214"/>
      <c r="M139" s="214"/>
      <c r="N139" s="214">
        <f t="shared" si="58"/>
        <v>0</v>
      </c>
      <c r="O139" s="214"/>
      <c r="P139" s="303">
        <f>+J139+E139</f>
        <v>15000000</v>
      </c>
    </row>
    <row r="140" spans="1:16" ht="137.25">
      <c r="A140" s="431" t="s">
        <v>561</v>
      </c>
      <c r="B140" s="431" t="s">
        <v>562</v>
      </c>
      <c r="C140" s="431"/>
      <c r="D140" s="431" t="s">
        <v>563</v>
      </c>
      <c r="E140" s="432">
        <f t="shared" si="54"/>
        <v>30000000</v>
      </c>
      <c r="F140" s="303">
        <f>SUM(F141)</f>
        <v>30000000</v>
      </c>
      <c r="G140" s="213"/>
      <c r="H140" s="298"/>
      <c r="I140" s="303"/>
      <c r="J140" s="432">
        <f t="shared" si="53"/>
        <v>58865000</v>
      </c>
      <c r="K140" s="303">
        <f>SUM(K141)</f>
        <v>0</v>
      </c>
      <c r="L140" s="298"/>
      <c r="M140" s="298"/>
      <c r="N140" s="303">
        <f t="shared" si="58"/>
        <v>58865000</v>
      </c>
      <c r="O140" s="303">
        <f>SUM(O141)</f>
        <v>58865000</v>
      </c>
      <c r="P140" s="432">
        <f t="shared" ref="P140" si="59">E140+J140</f>
        <v>88865000</v>
      </c>
    </row>
    <row r="141" spans="1:16" ht="228.75">
      <c r="A141" s="217" t="s">
        <v>564</v>
      </c>
      <c r="B141" s="217" t="s">
        <v>565</v>
      </c>
      <c r="C141" s="217" t="s">
        <v>567</v>
      </c>
      <c r="D141" s="217" t="s">
        <v>566</v>
      </c>
      <c r="E141" s="62">
        <f t="shared" si="54"/>
        <v>30000000</v>
      </c>
      <c r="F141" s="62">
        <v>30000000</v>
      </c>
      <c r="G141" s="62"/>
      <c r="H141" s="62"/>
      <c r="I141" s="62"/>
      <c r="J141" s="62">
        <f t="shared" si="53"/>
        <v>58865000</v>
      </c>
      <c r="K141" s="214"/>
      <c r="L141" s="214"/>
      <c r="M141" s="214"/>
      <c r="N141" s="214">
        <f t="shared" si="58"/>
        <v>58865000</v>
      </c>
      <c r="O141" s="214">
        <v>58865000</v>
      </c>
      <c r="P141" s="303">
        <f>+J141+E141</f>
        <v>88865000</v>
      </c>
    </row>
    <row r="142" spans="1:16" ht="46.5">
      <c r="A142" s="431" t="s">
        <v>568</v>
      </c>
      <c r="B142" s="431" t="s">
        <v>413</v>
      </c>
      <c r="C142" s="431" t="s">
        <v>414</v>
      </c>
      <c r="D142" s="431" t="s">
        <v>102</v>
      </c>
      <c r="E142" s="212">
        <f t="shared" si="54"/>
        <v>1018300</v>
      </c>
      <c r="F142" s="62">
        <v>1018300</v>
      </c>
      <c r="G142" s="213"/>
      <c r="H142" s="213"/>
      <c r="I142" s="213"/>
      <c r="J142" s="432">
        <f t="shared" si="53"/>
        <v>2000000</v>
      </c>
      <c r="K142" s="62"/>
      <c r="L142" s="213"/>
      <c r="M142" s="213"/>
      <c r="N142" s="214">
        <f>O142</f>
        <v>2000000</v>
      </c>
      <c r="O142" s="298">
        <v>2000000</v>
      </c>
      <c r="P142" s="432">
        <f t="shared" ref="P142:P145" si="60">E142+J142</f>
        <v>3018300</v>
      </c>
    </row>
    <row r="143" spans="1:16" ht="91.5">
      <c r="A143" s="431" t="s">
        <v>587</v>
      </c>
      <c r="B143" s="431" t="s">
        <v>383</v>
      </c>
      <c r="C143" s="431" t="s">
        <v>334</v>
      </c>
      <c r="D143" s="431" t="s">
        <v>91</v>
      </c>
      <c r="E143" s="212">
        <f t="shared" si="54"/>
        <v>0</v>
      </c>
      <c r="F143" s="62"/>
      <c r="G143" s="213"/>
      <c r="H143" s="213"/>
      <c r="I143" s="213"/>
      <c r="J143" s="432">
        <f t="shared" si="53"/>
        <v>7653700</v>
      </c>
      <c r="K143" s="62"/>
      <c r="L143" s="213"/>
      <c r="M143" s="213"/>
      <c r="N143" s="214">
        <f>O143</f>
        <v>7653700</v>
      </c>
      <c r="O143" s="298">
        <v>7653700</v>
      </c>
      <c r="P143" s="432">
        <f t="shared" si="60"/>
        <v>7653700</v>
      </c>
    </row>
    <row r="144" spans="1:16" ht="137.25">
      <c r="A144" s="431" t="s">
        <v>569</v>
      </c>
      <c r="B144" s="431" t="s">
        <v>570</v>
      </c>
      <c r="C144" s="431" t="s">
        <v>500</v>
      </c>
      <c r="D144" s="431" t="s">
        <v>717</v>
      </c>
      <c r="E144" s="212">
        <f t="shared" si="54"/>
        <v>252990</v>
      </c>
      <c r="F144" s="62">
        <v>252990</v>
      </c>
      <c r="G144" s="213"/>
      <c r="H144" s="213"/>
      <c r="I144" s="213"/>
      <c r="J144" s="432">
        <f t="shared" si="53"/>
        <v>0</v>
      </c>
      <c r="K144" s="62"/>
      <c r="L144" s="213"/>
      <c r="M144" s="213"/>
      <c r="N144" s="214">
        <f>O144</f>
        <v>0</v>
      </c>
      <c r="O144" s="298"/>
      <c r="P144" s="432">
        <f t="shared" si="60"/>
        <v>252990</v>
      </c>
    </row>
    <row r="145" spans="1:16" ht="91.5">
      <c r="A145" s="431" t="s">
        <v>498</v>
      </c>
      <c r="B145" s="431" t="s">
        <v>499</v>
      </c>
      <c r="C145" s="431" t="s">
        <v>500</v>
      </c>
      <c r="D145" s="431" t="s">
        <v>497</v>
      </c>
      <c r="E145" s="212">
        <f t="shared" si="54"/>
        <v>1050500</v>
      </c>
      <c r="F145" s="62">
        <v>1050500</v>
      </c>
      <c r="G145" s="213">
        <v>839900</v>
      </c>
      <c r="H145" s="213">
        <v>11500</v>
      </c>
      <c r="I145" s="213"/>
      <c r="J145" s="432">
        <f t="shared" si="53"/>
        <v>7400</v>
      </c>
      <c r="K145" s="62">
        <v>7400</v>
      </c>
      <c r="L145" s="213"/>
      <c r="M145" s="213"/>
      <c r="N145" s="214">
        <f>O145</f>
        <v>0</v>
      </c>
      <c r="O145" s="298"/>
      <c r="P145" s="432">
        <f t="shared" si="60"/>
        <v>1057900</v>
      </c>
    </row>
    <row r="146" spans="1:16" ht="270">
      <c r="A146" s="271" t="s">
        <v>69</v>
      </c>
      <c r="B146" s="271"/>
      <c r="C146" s="271"/>
      <c r="D146" s="271" t="s">
        <v>71</v>
      </c>
      <c r="E146" s="278">
        <f>E147</f>
        <v>0</v>
      </c>
      <c r="F146" s="278">
        <f t="shared" ref="F146:P146" si="61">F147</f>
        <v>0</v>
      </c>
      <c r="G146" s="278">
        <f t="shared" si="61"/>
        <v>0</v>
      </c>
      <c r="H146" s="278">
        <f t="shared" si="61"/>
        <v>0</v>
      </c>
      <c r="I146" s="278">
        <f t="shared" si="61"/>
        <v>0</v>
      </c>
      <c r="J146" s="278">
        <f t="shared" si="61"/>
        <v>56890000</v>
      </c>
      <c r="K146" s="278">
        <f t="shared" si="61"/>
        <v>0</v>
      </c>
      <c r="L146" s="278">
        <f t="shared" si="61"/>
        <v>0</v>
      </c>
      <c r="M146" s="278">
        <f t="shared" si="61"/>
        <v>0</v>
      </c>
      <c r="N146" s="278">
        <f t="shared" si="61"/>
        <v>56890000</v>
      </c>
      <c r="O146" s="277">
        <f>O147</f>
        <v>56890000</v>
      </c>
      <c r="P146" s="278">
        <f t="shared" si="61"/>
        <v>56890000</v>
      </c>
    </row>
    <row r="147" spans="1:16" ht="270">
      <c r="A147" s="272" t="s">
        <v>70</v>
      </c>
      <c r="B147" s="272"/>
      <c r="C147" s="272"/>
      <c r="D147" s="272" t="s">
        <v>98</v>
      </c>
      <c r="E147" s="277">
        <f>E148+E151+E152</f>
        <v>0</v>
      </c>
      <c r="F147" s="278">
        <f t="shared" ref="F147:I147" si="62">F148+F151+F152</f>
        <v>0</v>
      </c>
      <c r="G147" s="277">
        <f t="shared" si="62"/>
        <v>0</v>
      </c>
      <c r="H147" s="277">
        <f t="shared" si="62"/>
        <v>0</v>
      </c>
      <c r="I147" s="277">
        <f t="shared" si="62"/>
        <v>0</v>
      </c>
      <c r="J147" s="277">
        <f t="shared" ref="J147:J152" si="63">K147+N147</f>
        <v>56890000</v>
      </c>
      <c r="K147" s="278">
        <f t="shared" ref="K147:O147" si="64">K148+K151+K152</f>
        <v>0</v>
      </c>
      <c r="L147" s="277">
        <f t="shared" si="64"/>
        <v>0</v>
      </c>
      <c r="M147" s="277">
        <f t="shared" si="64"/>
        <v>0</v>
      </c>
      <c r="N147" s="278">
        <f t="shared" si="64"/>
        <v>56890000</v>
      </c>
      <c r="O147" s="277">
        <f t="shared" si="64"/>
        <v>56890000</v>
      </c>
      <c r="P147" s="277">
        <f t="shared" ref="P147" si="65">+J147+E147</f>
        <v>56890000</v>
      </c>
    </row>
    <row r="148" spans="1:16" ht="91.5">
      <c r="A148" s="431" t="s">
        <v>611</v>
      </c>
      <c r="B148" s="431" t="s">
        <v>612</v>
      </c>
      <c r="C148" s="431"/>
      <c r="D148" s="431" t="s">
        <v>610</v>
      </c>
      <c r="E148" s="212">
        <f t="shared" ref="E148:E150" si="66">F148</f>
        <v>0</v>
      </c>
      <c r="F148" s="62">
        <f>F149+F150</f>
        <v>0</v>
      </c>
      <c r="G148" s="213">
        <f>G149+G150</f>
        <v>0</v>
      </c>
      <c r="H148" s="213">
        <f>H149+H150</f>
        <v>0</v>
      </c>
      <c r="I148" s="213">
        <f>I149+I150</f>
        <v>0</v>
      </c>
      <c r="J148" s="432">
        <f t="shared" si="63"/>
        <v>41398000</v>
      </c>
      <c r="K148" s="62">
        <f>K149+K150</f>
        <v>0</v>
      </c>
      <c r="L148" s="213">
        <f>L149+L150</f>
        <v>0</v>
      </c>
      <c r="M148" s="213">
        <f>M149+M150</f>
        <v>0</v>
      </c>
      <c r="N148" s="214">
        <f>N149+N150</f>
        <v>41398000</v>
      </c>
      <c r="O148" s="62">
        <f>O149+O150</f>
        <v>41398000</v>
      </c>
      <c r="P148" s="432">
        <f t="shared" ref="P148:P150" si="67">E148+J148</f>
        <v>41398000</v>
      </c>
    </row>
    <row r="149" spans="1:16" ht="91.5">
      <c r="A149" s="217" t="s">
        <v>614</v>
      </c>
      <c r="B149" s="217" t="s">
        <v>615</v>
      </c>
      <c r="C149" s="217" t="s">
        <v>582</v>
      </c>
      <c r="D149" s="217" t="s">
        <v>613</v>
      </c>
      <c r="E149" s="303">
        <f t="shared" si="66"/>
        <v>0</v>
      </c>
      <c r="F149" s="303"/>
      <c r="G149" s="303"/>
      <c r="H149" s="303"/>
      <c r="I149" s="303"/>
      <c r="J149" s="303">
        <f t="shared" si="63"/>
        <v>35888000</v>
      </c>
      <c r="K149" s="303"/>
      <c r="L149" s="303"/>
      <c r="M149" s="303"/>
      <c r="N149" s="303">
        <f>O149</f>
        <v>35888000</v>
      </c>
      <c r="O149" s="298">
        <v>35888000</v>
      </c>
      <c r="P149" s="303">
        <f t="shared" si="67"/>
        <v>35888000</v>
      </c>
    </row>
    <row r="150" spans="1:16" ht="137.25">
      <c r="A150" s="217" t="s">
        <v>616</v>
      </c>
      <c r="B150" s="217" t="s">
        <v>617</v>
      </c>
      <c r="C150" s="217" t="s">
        <v>582</v>
      </c>
      <c r="D150" s="217" t="s">
        <v>618</v>
      </c>
      <c r="E150" s="303">
        <f t="shared" si="66"/>
        <v>0</v>
      </c>
      <c r="F150" s="303"/>
      <c r="G150" s="303"/>
      <c r="H150" s="303"/>
      <c r="I150" s="303"/>
      <c r="J150" s="303">
        <f t="shared" si="63"/>
        <v>5510000</v>
      </c>
      <c r="K150" s="303"/>
      <c r="L150" s="303"/>
      <c r="M150" s="303"/>
      <c r="N150" s="303">
        <f>O150</f>
        <v>5510000</v>
      </c>
      <c r="O150" s="303">
        <f>5000000+510000</f>
        <v>5510000</v>
      </c>
      <c r="P150" s="303">
        <f t="shared" si="67"/>
        <v>5510000</v>
      </c>
    </row>
    <row r="151" spans="1:16" ht="183">
      <c r="A151" s="431" t="s">
        <v>620</v>
      </c>
      <c r="B151" s="431" t="s">
        <v>621</v>
      </c>
      <c r="C151" s="431" t="s">
        <v>582</v>
      </c>
      <c r="D151" s="431" t="s">
        <v>619</v>
      </c>
      <c r="E151" s="432">
        <f>F151</f>
        <v>0</v>
      </c>
      <c r="F151" s="303"/>
      <c r="G151" s="298"/>
      <c r="H151" s="298"/>
      <c r="I151" s="303"/>
      <c r="J151" s="432">
        <f t="shared" si="63"/>
        <v>15312000</v>
      </c>
      <c r="K151" s="303"/>
      <c r="L151" s="298"/>
      <c r="M151" s="298"/>
      <c r="N151" s="303">
        <f t="shared" ref="N151" si="68">O151</f>
        <v>15312000</v>
      </c>
      <c r="O151" s="245">
        <f>14952000+360000</f>
        <v>15312000</v>
      </c>
      <c r="P151" s="432">
        <f>E151+J151</f>
        <v>15312000</v>
      </c>
    </row>
    <row r="152" spans="1:16" ht="91.5">
      <c r="A152" s="431" t="s">
        <v>622</v>
      </c>
      <c r="B152" s="431" t="s">
        <v>383</v>
      </c>
      <c r="C152" s="431" t="s">
        <v>334</v>
      </c>
      <c r="D152" s="431" t="s">
        <v>91</v>
      </c>
      <c r="E152" s="212">
        <f t="shared" ref="E152" si="69">F152</f>
        <v>0</v>
      </c>
      <c r="F152" s="62"/>
      <c r="G152" s="213"/>
      <c r="H152" s="213"/>
      <c r="I152" s="213"/>
      <c r="J152" s="432">
        <f t="shared" si="63"/>
        <v>180000</v>
      </c>
      <c r="K152" s="62"/>
      <c r="L152" s="213"/>
      <c r="M152" s="213"/>
      <c r="N152" s="214">
        <f>O152</f>
        <v>180000</v>
      </c>
      <c r="O152" s="298">
        <v>180000</v>
      </c>
      <c r="P152" s="432">
        <f t="shared" ref="P152" si="70">E152+J152</f>
        <v>180000</v>
      </c>
    </row>
    <row r="153" spans="1:16" ht="225">
      <c r="A153" s="271" t="s">
        <v>322</v>
      </c>
      <c r="B153" s="271"/>
      <c r="C153" s="271"/>
      <c r="D153" s="271" t="s">
        <v>72</v>
      </c>
      <c r="E153" s="278">
        <f>E154</f>
        <v>0</v>
      </c>
      <c r="F153" s="278">
        <f t="shared" ref="F153:P154" si="71">F154</f>
        <v>0</v>
      </c>
      <c r="G153" s="278">
        <f t="shared" si="71"/>
        <v>0</v>
      </c>
      <c r="H153" s="278">
        <f t="shared" si="71"/>
        <v>0</v>
      </c>
      <c r="I153" s="278">
        <f t="shared" si="71"/>
        <v>0</v>
      </c>
      <c r="J153" s="278">
        <f t="shared" si="71"/>
        <v>780000</v>
      </c>
      <c r="K153" s="278">
        <f t="shared" si="71"/>
        <v>0</v>
      </c>
      <c r="L153" s="278">
        <f t="shared" si="71"/>
        <v>0</v>
      </c>
      <c r="M153" s="278">
        <f t="shared" si="71"/>
        <v>0</v>
      </c>
      <c r="N153" s="278">
        <f t="shared" si="71"/>
        <v>780000</v>
      </c>
      <c r="O153" s="277">
        <f t="shared" si="71"/>
        <v>780000</v>
      </c>
      <c r="P153" s="278">
        <f t="shared" si="71"/>
        <v>780000</v>
      </c>
    </row>
    <row r="154" spans="1:16" ht="225">
      <c r="A154" s="272" t="s">
        <v>323</v>
      </c>
      <c r="B154" s="272"/>
      <c r="C154" s="272"/>
      <c r="D154" s="272" t="s">
        <v>99</v>
      </c>
      <c r="E154" s="277">
        <f>E155</f>
        <v>0</v>
      </c>
      <c r="F154" s="278">
        <f>E154</f>
        <v>0</v>
      </c>
      <c r="G154" s="277">
        <f t="shared" si="71"/>
        <v>0</v>
      </c>
      <c r="H154" s="277">
        <f t="shared" si="71"/>
        <v>0</v>
      </c>
      <c r="I154" s="277">
        <f t="shared" si="71"/>
        <v>0</v>
      </c>
      <c r="J154" s="277">
        <f>K154+N154</f>
        <v>780000</v>
      </c>
      <c r="K154" s="278">
        <f t="shared" si="71"/>
        <v>0</v>
      </c>
      <c r="L154" s="277">
        <f t="shared" si="71"/>
        <v>0</v>
      </c>
      <c r="M154" s="277">
        <f>M155</f>
        <v>0</v>
      </c>
      <c r="N154" s="278">
        <f>N155</f>
        <v>780000</v>
      </c>
      <c r="O154" s="277">
        <f>O155</f>
        <v>780000</v>
      </c>
      <c r="P154" s="277">
        <f>+J154+E154</f>
        <v>780000</v>
      </c>
    </row>
    <row r="155" spans="1:16" ht="137.25">
      <c r="A155" s="431" t="s">
        <v>592</v>
      </c>
      <c r="B155" s="431" t="s">
        <v>593</v>
      </c>
      <c r="C155" s="431" t="s">
        <v>582</v>
      </c>
      <c r="D155" s="431" t="s">
        <v>594</v>
      </c>
      <c r="E155" s="432">
        <f>F155</f>
        <v>0</v>
      </c>
      <c r="F155" s="303">
        <v>0</v>
      </c>
      <c r="G155" s="298"/>
      <c r="H155" s="298"/>
      <c r="I155" s="303"/>
      <c r="J155" s="432">
        <f>K155+N155</f>
        <v>780000</v>
      </c>
      <c r="K155" s="303"/>
      <c r="L155" s="298"/>
      <c r="M155" s="298"/>
      <c r="N155" s="303">
        <f>O155</f>
        <v>780000</v>
      </c>
      <c r="O155" s="298">
        <v>780000</v>
      </c>
      <c r="P155" s="432">
        <f>E155+J155</f>
        <v>780000</v>
      </c>
    </row>
    <row r="156" spans="1:16" ht="135">
      <c r="A156" s="271" t="s">
        <v>328</v>
      </c>
      <c r="B156" s="271"/>
      <c r="C156" s="271"/>
      <c r="D156" s="271" t="s">
        <v>783</v>
      </c>
      <c r="E156" s="278">
        <f>E157</f>
        <v>4170800</v>
      </c>
      <c r="F156" s="278">
        <f t="shared" ref="F156:P156" si="72">F157</f>
        <v>4170800</v>
      </c>
      <c r="G156" s="278">
        <f t="shared" si="72"/>
        <v>0</v>
      </c>
      <c r="H156" s="278">
        <f t="shared" si="72"/>
        <v>0</v>
      </c>
      <c r="I156" s="278">
        <f t="shared" si="72"/>
        <v>0</v>
      </c>
      <c r="J156" s="278">
        <f t="shared" si="72"/>
        <v>1200000</v>
      </c>
      <c r="K156" s="278">
        <f t="shared" si="72"/>
        <v>0</v>
      </c>
      <c r="L156" s="278">
        <f t="shared" si="72"/>
        <v>0</v>
      </c>
      <c r="M156" s="278">
        <f t="shared" si="72"/>
        <v>0</v>
      </c>
      <c r="N156" s="278">
        <f t="shared" si="72"/>
        <v>1200000</v>
      </c>
      <c r="O156" s="277">
        <f t="shared" si="72"/>
        <v>1200000</v>
      </c>
      <c r="P156" s="278">
        <f t="shared" si="72"/>
        <v>5370800</v>
      </c>
    </row>
    <row r="157" spans="1:16" ht="135">
      <c r="A157" s="272" t="s">
        <v>329</v>
      </c>
      <c r="B157" s="272"/>
      <c r="C157" s="272"/>
      <c r="D157" s="272" t="s">
        <v>784</v>
      </c>
      <c r="E157" s="277">
        <f>SUM(E158:E161)</f>
        <v>4170800</v>
      </c>
      <c r="F157" s="278">
        <f t="shared" ref="F157:I157" si="73">SUM(F158:F161)</f>
        <v>4170800</v>
      </c>
      <c r="G157" s="278">
        <f t="shared" si="73"/>
        <v>0</v>
      </c>
      <c r="H157" s="278">
        <f t="shared" si="73"/>
        <v>0</v>
      </c>
      <c r="I157" s="278">
        <f t="shared" si="73"/>
        <v>0</v>
      </c>
      <c r="J157" s="277">
        <f>K157+N157</f>
        <v>1200000</v>
      </c>
      <c r="K157" s="278">
        <f>SUM(K158:K161)</f>
        <v>0</v>
      </c>
      <c r="L157" s="277">
        <f t="shared" ref="L157:M157" si="74">SUM(L158:L161)</f>
        <v>0</v>
      </c>
      <c r="M157" s="277">
        <f t="shared" si="74"/>
        <v>0</v>
      </c>
      <c r="N157" s="278">
        <f>SUM(N158:N161)</f>
        <v>1200000</v>
      </c>
      <c r="O157" s="277">
        <f>SUM(O158:O161)</f>
        <v>1200000</v>
      </c>
      <c r="P157" s="277">
        <f>E157+J157</f>
        <v>5370800</v>
      </c>
    </row>
    <row r="158" spans="1:16" ht="137.25">
      <c r="A158" s="431" t="s">
        <v>773</v>
      </c>
      <c r="B158" s="431" t="s">
        <v>774</v>
      </c>
      <c r="C158" s="431" t="s">
        <v>334</v>
      </c>
      <c r="D158" s="431" t="s">
        <v>512</v>
      </c>
      <c r="E158" s="432">
        <f>F158</f>
        <v>0</v>
      </c>
      <c r="F158" s="303"/>
      <c r="G158" s="298"/>
      <c r="H158" s="298"/>
      <c r="I158" s="303"/>
      <c r="J158" s="432">
        <f>K158+N158</f>
        <v>1200000</v>
      </c>
      <c r="K158" s="303"/>
      <c r="L158" s="298"/>
      <c r="M158" s="298"/>
      <c r="N158" s="303">
        <f>O158</f>
        <v>1200000</v>
      </c>
      <c r="O158" s="298">
        <f>1000000+200000</f>
        <v>1200000</v>
      </c>
      <c r="P158" s="432">
        <f>E158+J158</f>
        <v>1200000</v>
      </c>
    </row>
    <row r="159" spans="1:16" ht="91.5">
      <c r="A159" s="431" t="s">
        <v>510</v>
      </c>
      <c r="B159" s="431" t="s">
        <v>511</v>
      </c>
      <c r="C159" s="431" t="s">
        <v>509</v>
      </c>
      <c r="D159" s="431" t="s">
        <v>508</v>
      </c>
      <c r="E159" s="432">
        <f t="shared" ref="E159:E162" si="75">F159</f>
        <v>1500000</v>
      </c>
      <c r="F159" s="303">
        <v>1500000</v>
      </c>
      <c r="G159" s="298"/>
      <c r="H159" s="298"/>
      <c r="I159" s="303"/>
      <c r="J159" s="432">
        <f t="shared" ref="J159:J162" si="76">K159+N159</f>
        <v>0</v>
      </c>
      <c r="K159" s="303"/>
      <c r="L159" s="298"/>
      <c r="M159" s="298"/>
      <c r="N159" s="303">
        <f t="shared" ref="N159:N162" si="77">O159</f>
        <v>0</v>
      </c>
      <c r="O159" s="298"/>
      <c r="P159" s="432">
        <f t="shared" ref="P159:P162" si="78">E159+J159</f>
        <v>1500000</v>
      </c>
    </row>
    <row r="160" spans="1:16" ht="137.25">
      <c r="A160" s="431" t="s">
        <v>501</v>
      </c>
      <c r="B160" s="431" t="s">
        <v>503</v>
      </c>
      <c r="C160" s="431" t="s">
        <v>414</v>
      </c>
      <c r="D160" s="431" t="s">
        <v>502</v>
      </c>
      <c r="E160" s="432">
        <f t="shared" si="75"/>
        <v>475000</v>
      </c>
      <c r="F160" s="303">
        <v>475000</v>
      </c>
      <c r="G160" s="298"/>
      <c r="H160" s="298"/>
      <c r="I160" s="303"/>
      <c r="J160" s="432">
        <f t="shared" si="76"/>
        <v>0</v>
      </c>
      <c r="K160" s="303"/>
      <c r="L160" s="298"/>
      <c r="M160" s="298"/>
      <c r="N160" s="303">
        <f t="shared" si="77"/>
        <v>0</v>
      </c>
      <c r="O160" s="298"/>
      <c r="P160" s="432">
        <f t="shared" si="78"/>
        <v>475000</v>
      </c>
    </row>
    <row r="161" spans="1:16" ht="46.5">
      <c r="A161" s="431" t="s">
        <v>505</v>
      </c>
      <c r="B161" s="431" t="s">
        <v>459</v>
      </c>
      <c r="C161" s="431" t="s">
        <v>334</v>
      </c>
      <c r="D161" s="431" t="s">
        <v>457</v>
      </c>
      <c r="E161" s="432">
        <f t="shared" si="75"/>
        <v>2195800</v>
      </c>
      <c r="F161" s="303">
        <f>SUM(F162:F162)</f>
        <v>2195800</v>
      </c>
      <c r="G161" s="298"/>
      <c r="H161" s="298"/>
      <c r="I161" s="303"/>
      <c r="J161" s="432">
        <f t="shared" si="76"/>
        <v>0</v>
      </c>
      <c r="K161" s="303">
        <f>SUM(K162:K162)</f>
        <v>0</v>
      </c>
      <c r="L161" s="298"/>
      <c r="M161" s="298"/>
      <c r="N161" s="303">
        <f t="shared" si="77"/>
        <v>0</v>
      </c>
      <c r="O161" s="298">
        <f>SUM(O162:O162)</f>
        <v>0</v>
      </c>
      <c r="P161" s="432">
        <f t="shared" si="78"/>
        <v>2195800</v>
      </c>
    </row>
    <row r="162" spans="1:16" ht="91.5">
      <c r="A162" s="217" t="s">
        <v>506</v>
      </c>
      <c r="B162" s="217" t="s">
        <v>507</v>
      </c>
      <c r="C162" s="217" t="s">
        <v>334</v>
      </c>
      <c r="D162" s="217" t="s">
        <v>504</v>
      </c>
      <c r="E162" s="303">
        <f t="shared" si="75"/>
        <v>2195800</v>
      </c>
      <c r="F162" s="303">
        <f>4195800-1965302-34698</f>
        <v>2195800</v>
      </c>
      <c r="G162" s="303"/>
      <c r="H162" s="303"/>
      <c r="I162" s="303"/>
      <c r="J162" s="303">
        <f t="shared" si="76"/>
        <v>0</v>
      </c>
      <c r="K162" s="303"/>
      <c r="L162" s="303"/>
      <c r="M162" s="303"/>
      <c r="N162" s="303">
        <f t="shared" si="77"/>
        <v>0</v>
      </c>
      <c r="O162" s="303"/>
      <c r="P162" s="303">
        <f t="shared" si="78"/>
        <v>2195800</v>
      </c>
    </row>
    <row r="163" spans="1:16" ht="135">
      <c r="A163" s="271" t="s">
        <v>326</v>
      </c>
      <c r="B163" s="271"/>
      <c r="C163" s="271"/>
      <c r="D163" s="271" t="s">
        <v>73</v>
      </c>
      <c r="E163" s="278">
        <f>E164</f>
        <v>0</v>
      </c>
      <c r="F163" s="278">
        <f t="shared" ref="F163:P163" si="79">F164</f>
        <v>0</v>
      </c>
      <c r="G163" s="278">
        <f t="shared" si="79"/>
        <v>0</v>
      </c>
      <c r="H163" s="278">
        <f t="shared" si="79"/>
        <v>0</v>
      </c>
      <c r="I163" s="278">
        <f t="shared" si="79"/>
        <v>0</v>
      </c>
      <c r="J163" s="278">
        <f t="shared" si="79"/>
        <v>565000</v>
      </c>
      <c r="K163" s="278">
        <f t="shared" si="79"/>
        <v>0</v>
      </c>
      <c r="L163" s="278">
        <f t="shared" si="79"/>
        <v>0</v>
      </c>
      <c r="M163" s="278">
        <f t="shared" si="79"/>
        <v>0</v>
      </c>
      <c r="N163" s="278">
        <f t="shared" si="79"/>
        <v>565000</v>
      </c>
      <c r="O163" s="277">
        <f t="shared" si="79"/>
        <v>0</v>
      </c>
      <c r="P163" s="278">
        <f t="shared" si="79"/>
        <v>565000</v>
      </c>
    </row>
    <row r="164" spans="1:16" ht="180">
      <c r="A164" s="272" t="s">
        <v>327</v>
      </c>
      <c r="B164" s="272"/>
      <c r="C164" s="272"/>
      <c r="D164" s="272" t="s">
        <v>100</v>
      </c>
      <c r="E164" s="277">
        <v>0</v>
      </c>
      <c r="F164" s="278"/>
      <c r="G164" s="277"/>
      <c r="H164" s="277"/>
      <c r="I164" s="278"/>
      <c r="J164" s="277">
        <f>K164+N164</f>
        <v>565000</v>
      </c>
      <c r="K164" s="278"/>
      <c r="L164" s="277"/>
      <c r="M164" s="277"/>
      <c r="N164" s="278">
        <f>N168+N169+N165</f>
        <v>565000</v>
      </c>
      <c r="O164" s="277"/>
      <c r="P164" s="277">
        <f>E164+J164</f>
        <v>565000</v>
      </c>
    </row>
    <row r="165" spans="1:16" ht="137.25">
      <c r="A165" s="431" t="s">
        <v>595</v>
      </c>
      <c r="B165" s="431" t="s">
        <v>596</v>
      </c>
      <c r="C165" s="431"/>
      <c r="D165" s="431" t="s">
        <v>597</v>
      </c>
      <c r="E165" s="212">
        <f t="shared" ref="E165:E167" si="80">F165</f>
        <v>0</v>
      </c>
      <c r="F165" s="62">
        <f>F166+F167</f>
        <v>0</v>
      </c>
      <c r="G165" s="213">
        <f>G166+G167</f>
        <v>0</v>
      </c>
      <c r="H165" s="213">
        <f>H166+H167</f>
        <v>0</v>
      </c>
      <c r="I165" s="213">
        <f>I166+I167</f>
        <v>0</v>
      </c>
      <c r="J165" s="432">
        <f t="shared" ref="J165:J167" si="81">K165+N165</f>
        <v>346000</v>
      </c>
      <c r="K165" s="62">
        <f>K166+K167</f>
        <v>0</v>
      </c>
      <c r="L165" s="213">
        <f>L166+L167</f>
        <v>0</v>
      </c>
      <c r="M165" s="213">
        <f>M166+M167</f>
        <v>0</v>
      </c>
      <c r="N165" s="214">
        <f>N166+N167</f>
        <v>346000</v>
      </c>
      <c r="O165" s="62">
        <f>O166+O167</f>
        <v>0</v>
      </c>
      <c r="P165" s="432">
        <f t="shared" ref="P165:P167" si="82">E165+J165</f>
        <v>346000</v>
      </c>
    </row>
    <row r="166" spans="1:16" ht="91.5">
      <c r="A166" s="217" t="s">
        <v>598</v>
      </c>
      <c r="B166" s="217" t="s">
        <v>599</v>
      </c>
      <c r="C166" s="217" t="s">
        <v>122</v>
      </c>
      <c r="D166" s="217" t="s">
        <v>123</v>
      </c>
      <c r="E166" s="303">
        <f t="shared" si="80"/>
        <v>0</v>
      </c>
      <c r="F166" s="303"/>
      <c r="G166" s="303"/>
      <c r="H166" s="303"/>
      <c r="I166" s="303"/>
      <c r="J166" s="303">
        <f t="shared" si="81"/>
        <v>276000</v>
      </c>
      <c r="K166" s="303"/>
      <c r="L166" s="303"/>
      <c r="M166" s="303"/>
      <c r="N166" s="303">
        <f>O166+276000</f>
        <v>276000</v>
      </c>
      <c r="O166" s="298"/>
      <c r="P166" s="303">
        <f t="shared" si="82"/>
        <v>276000</v>
      </c>
    </row>
    <row r="167" spans="1:16" ht="46.5">
      <c r="A167" s="217" t="s">
        <v>600</v>
      </c>
      <c r="B167" s="217" t="s">
        <v>601</v>
      </c>
      <c r="C167" s="217" t="s">
        <v>124</v>
      </c>
      <c r="D167" s="217" t="s">
        <v>602</v>
      </c>
      <c r="E167" s="303">
        <f t="shared" si="80"/>
        <v>0</v>
      </c>
      <c r="F167" s="303"/>
      <c r="G167" s="303"/>
      <c r="H167" s="303"/>
      <c r="I167" s="303"/>
      <c r="J167" s="303">
        <f t="shared" si="81"/>
        <v>70000</v>
      </c>
      <c r="K167" s="303"/>
      <c r="L167" s="303"/>
      <c r="M167" s="303"/>
      <c r="N167" s="303">
        <f>O167+70000</f>
        <v>70000</v>
      </c>
      <c r="O167" s="303"/>
      <c r="P167" s="303">
        <f t="shared" si="82"/>
        <v>70000</v>
      </c>
    </row>
    <row r="168" spans="1:16" ht="91.5">
      <c r="A168" s="431" t="s">
        <v>603</v>
      </c>
      <c r="B168" s="431" t="s">
        <v>604</v>
      </c>
      <c r="C168" s="431" t="s">
        <v>126</v>
      </c>
      <c r="D168" s="431" t="s">
        <v>133</v>
      </c>
      <c r="E168" s="432">
        <v>0</v>
      </c>
      <c r="F168" s="303"/>
      <c r="G168" s="298"/>
      <c r="H168" s="298"/>
      <c r="I168" s="303"/>
      <c r="J168" s="432">
        <f>K168+N168</f>
        <v>40000</v>
      </c>
      <c r="K168" s="303"/>
      <c r="L168" s="298"/>
      <c r="M168" s="298"/>
      <c r="N168" s="214">
        <f>O168+40000</f>
        <v>40000</v>
      </c>
      <c r="O168" s="298"/>
      <c r="P168" s="432">
        <f>E168+J168</f>
        <v>40000</v>
      </c>
    </row>
    <row r="169" spans="1:16" ht="91.5">
      <c r="A169" s="431" t="s">
        <v>605</v>
      </c>
      <c r="B169" s="431" t="s">
        <v>606</v>
      </c>
      <c r="C169" s="431" t="s">
        <v>125</v>
      </c>
      <c r="D169" s="431" t="s">
        <v>607</v>
      </c>
      <c r="E169" s="432">
        <v>0</v>
      </c>
      <c r="F169" s="303"/>
      <c r="G169" s="298"/>
      <c r="H169" s="298"/>
      <c r="I169" s="303"/>
      <c r="J169" s="432">
        <f>K169+N169</f>
        <v>179000</v>
      </c>
      <c r="K169" s="303"/>
      <c r="L169" s="298"/>
      <c r="M169" s="298"/>
      <c r="N169" s="214">
        <f>O169+179000</f>
        <v>179000</v>
      </c>
      <c r="O169" s="298"/>
      <c r="P169" s="432">
        <f>E169+J169</f>
        <v>179000</v>
      </c>
    </row>
    <row r="170" spans="1:16" ht="225">
      <c r="A170" s="271" t="s">
        <v>324</v>
      </c>
      <c r="B170" s="271"/>
      <c r="C170" s="271"/>
      <c r="D170" s="271" t="s">
        <v>785</v>
      </c>
      <c r="E170" s="278">
        <f>E171</f>
        <v>0</v>
      </c>
      <c r="F170" s="278">
        <f t="shared" ref="F170:P170" si="83">F171</f>
        <v>0</v>
      </c>
      <c r="G170" s="278">
        <f t="shared" si="83"/>
        <v>0</v>
      </c>
      <c r="H170" s="278">
        <f t="shared" si="83"/>
        <v>0</v>
      </c>
      <c r="I170" s="278">
        <f t="shared" si="83"/>
        <v>0</v>
      </c>
      <c r="J170" s="278">
        <f t="shared" si="83"/>
        <v>300000</v>
      </c>
      <c r="K170" s="278">
        <f t="shared" si="83"/>
        <v>0</v>
      </c>
      <c r="L170" s="278">
        <f t="shared" si="83"/>
        <v>0</v>
      </c>
      <c r="M170" s="278">
        <f t="shared" si="83"/>
        <v>0</v>
      </c>
      <c r="N170" s="278">
        <f t="shared" si="83"/>
        <v>300000</v>
      </c>
      <c r="O170" s="277">
        <f t="shared" si="83"/>
        <v>300000</v>
      </c>
      <c r="P170" s="278">
        <f t="shared" si="83"/>
        <v>300000</v>
      </c>
    </row>
    <row r="171" spans="1:16" ht="270">
      <c r="A171" s="272" t="s">
        <v>325</v>
      </c>
      <c r="B171" s="272"/>
      <c r="C171" s="272"/>
      <c r="D171" s="272" t="s">
        <v>786</v>
      </c>
      <c r="E171" s="277">
        <f>E172</f>
        <v>0</v>
      </c>
      <c r="F171" s="278">
        <f>E171</f>
        <v>0</v>
      </c>
      <c r="G171" s="277"/>
      <c r="H171" s="277"/>
      <c r="I171" s="278"/>
      <c r="J171" s="277">
        <f>K171+N171</f>
        <v>300000</v>
      </c>
      <c r="K171" s="278"/>
      <c r="L171" s="277"/>
      <c r="M171" s="277"/>
      <c r="N171" s="278">
        <f>O171</f>
        <v>300000</v>
      </c>
      <c r="O171" s="277">
        <f>O172</f>
        <v>300000</v>
      </c>
      <c r="P171" s="277">
        <f>+J171+E171</f>
        <v>300000</v>
      </c>
    </row>
    <row r="172" spans="1:16" ht="91.5">
      <c r="A172" s="431" t="s">
        <v>589</v>
      </c>
      <c r="B172" s="431" t="s">
        <v>590</v>
      </c>
      <c r="C172" s="431" t="s">
        <v>591</v>
      </c>
      <c r="D172" s="431" t="s">
        <v>588</v>
      </c>
      <c r="E172" s="432">
        <f>F172</f>
        <v>0</v>
      </c>
      <c r="F172" s="303">
        <v>0</v>
      </c>
      <c r="G172" s="298"/>
      <c r="H172" s="298"/>
      <c r="I172" s="303"/>
      <c r="J172" s="432">
        <f>K172+N172</f>
        <v>300000</v>
      </c>
      <c r="K172" s="303"/>
      <c r="L172" s="298"/>
      <c r="M172" s="298"/>
      <c r="N172" s="303">
        <f>O172</f>
        <v>300000</v>
      </c>
      <c r="O172" s="298">
        <v>300000</v>
      </c>
      <c r="P172" s="432">
        <f>E172+J172</f>
        <v>300000</v>
      </c>
    </row>
    <row r="173" spans="1:16" ht="135">
      <c r="A173" s="271" t="s">
        <v>330</v>
      </c>
      <c r="B173" s="271"/>
      <c r="C173" s="271"/>
      <c r="D173" s="271" t="s">
        <v>75</v>
      </c>
      <c r="E173" s="278">
        <f>E174</f>
        <v>33040315.920000002</v>
      </c>
      <c r="F173" s="278">
        <f t="shared" ref="F173:P173" si="84">F174</f>
        <v>33040315.920000002</v>
      </c>
      <c r="G173" s="278">
        <f t="shared" si="84"/>
        <v>0</v>
      </c>
      <c r="H173" s="278">
        <f t="shared" si="84"/>
        <v>0</v>
      </c>
      <c r="I173" s="278">
        <f t="shared" si="84"/>
        <v>0</v>
      </c>
      <c r="J173" s="278">
        <f t="shared" si="84"/>
        <v>0</v>
      </c>
      <c r="K173" s="278">
        <f t="shared" si="84"/>
        <v>0</v>
      </c>
      <c r="L173" s="278">
        <f t="shared" si="84"/>
        <v>0</v>
      </c>
      <c r="M173" s="278">
        <f t="shared" si="84"/>
        <v>0</v>
      </c>
      <c r="N173" s="278">
        <f t="shared" si="84"/>
        <v>0</v>
      </c>
      <c r="O173" s="277">
        <f t="shared" si="84"/>
        <v>0</v>
      </c>
      <c r="P173" s="278">
        <f t="shared" si="84"/>
        <v>33040315.920000002</v>
      </c>
    </row>
    <row r="174" spans="1:16" ht="135">
      <c r="A174" s="272" t="s">
        <v>331</v>
      </c>
      <c r="B174" s="272"/>
      <c r="C174" s="272"/>
      <c r="D174" s="272" t="s">
        <v>101</v>
      </c>
      <c r="E174" s="277">
        <f>E175+E176+E178</f>
        <v>33040315.920000002</v>
      </c>
      <c r="F174" s="278">
        <f>F175+F176+F178</f>
        <v>33040315.920000002</v>
      </c>
      <c r="G174" s="277">
        <f>SUM(G175:G178)</f>
        <v>0</v>
      </c>
      <c r="H174" s="277">
        <f>SUM(H175:H178)</f>
        <v>0</v>
      </c>
      <c r="I174" s="278">
        <v>0</v>
      </c>
      <c r="J174" s="277">
        <f>K174+N174</f>
        <v>0</v>
      </c>
      <c r="K174" s="278">
        <f>SUM(K175:K176)</f>
        <v>0</v>
      </c>
      <c r="L174" s="277">
        <f>SUM(L175:L178)</f>
        <v>0</v>
      </c>
      <c r="M174" s="277">
        <f>SUM(M175:M178)</f>
        <v>0</v>
      </c>
      <c r="N174" s="278">
        <f>SUM(N175:N176)</f>
        <v>0</v>
      </c>
      <c r="O174" s="277">
        <f>SUM(O175:O176)</f>
        <v>0</v>
      </c>
      <c r="P174" s="277">
        <f>E174+J174</f>
        <v>33040315.920000002</v>
      </c>
    </row>
    <row r="175" spans="1:16" ht="46.5">
      <c r="A175" s="244">
        <v>3718700</v>
      </c>
      <c r="B175" s="244">
        <v>8700</v>
      </c>
      <c r="C175" s="431" t="s">
        <v>105</v>
      </c>
      <c r="D175" s="218" t="s">
        <v>103</v>
      </c>
      <c r="E175" s="432">
        <f>F175</f>
        <v>1920999</v>
      </c>
      <c r="F175" s="303">
        <f>3000000+1200000+1500000-700000-1969600-1109401</f>
        <v>1920999</v>
      </c>
      <c r="G175" s="298"/>
      <c r="H175" s="298"/>
      <c r="I175" s="303"/>
      <c r="J175" s="432">
        <f>K175+N175</f>
        <v>0</v>
      </c>
      <c r="K175" s="303"/>
      <c r="L175" s="298"/>
      <c r="M175" s="298"/>
      <c r="N175" s="303"/>
      <c r="O175" s="298"/>
      <c r="P175" s="432">
        <f>E175+J175</f>
        <v>1920999</v>
      </c>
    </row>
    <row r="176" spans="1:16" ht="274.5">
      <c r="A176" s="244">
        <v>3718870</v>
      </c>
      <c r="B176" s="244">
        <v>8870</v>
      </c>
      <c r="C176" s="431"/>
      <c r="D176" s="423" t="s">
        <v>332</v>
      </c>
      <c r="E176" s="432">
        <f>F176</f>
        <v>3012416.92</v>
      </c>
      <c r="F176" s="303">
        <f>F177</f>
        <v>3012416.92</v>
      </c>
      <c r="G176" s="298"/>
      <c r="H176" s="298"/>
      <c r="I176" s="303"/>
      <c r="J176" s="432">
        <f t="shared" ref="J176:J177" si="85">K176+N176</f>
        <v>0</v>
      </c>
      <c r="K176" s="303"/>
      <c r="L176" s="298"/>
      <c r="M176" s="298"/>
      <c r="N176" s="303"/>
      <c r="O176" s="298"/>
      <c r="P176" s="432">
        <f>E176+J176</f>
        <v>3012416.92</v>
      </c>
    </row>
    <row r="177" spans="1:17" ht="46.5">
      <c r="A177" s="224">
        <v>3718872</v>
      </c>
      <c r="B177" s="224">
        <v>8872</v>
      </c>
      <c r="C177" s="217" t="s">
        <v>334</v>
      </c>
      <c r="D177" s="18" t="s">
        <v>333</v>
      </c>
      <c r="E177" s="216">
        <f>F177</f>
        <v>3012416.92</v>
      </c>
      <c r="F177" s="303">
        <v>3012416.92</v>
      </c>
      <c r="G177" s="303"/>
      <c r="H177" s="303"/>
      <c r="I177" s="303"/>
      <c r="J177" s="216">
        <f t="shared" si="85"/>
        <v>0</v>
      </c>
      <c r="K177" s="303"/>
      <c r="L177" s="303"/>
      <c r="M177" s="303"/>
      <c r="N177" s="303"/>
      <c r="O177" s="303"/>
      <c r="P177" s="216">
        <f>E177+J177</f>
        <v>3012416.92</v>
      </c>
    </row>
    <row r="178" spans="1:17" ht="46.5">
      <c r="A178" s="244">
        <v>3719110</v>
      </c>
      <c r="B178" s="244">
        <v>9110</v>
      </c>
      <c r="C178" s="431" t="s">
        <v>106</v>
      </c>
      <c r="D178" s="218" t="s">
        <v>104</v>
      </c>
      <c r="E178" s="432">
        <f>F178</f>
        <v>28106900</v>
      </c>
      <c r="F178" s="303">
        <v>28106900</v>
      </c>
      <c r="G178" s="298"/>
      <c r="H178" s="298"/>
      <c r="I178" s="303"/>
      <c r="J178" s="432">
        <f>K178+N178</f>
        <v>0</v>
      </c>
      <c r="K178" s="303"/>
      <c r="L178" s="298"/>
      <c r="M178" s="298"/>
      <c r="N178" s="303"/>
      <c r="O178" s="298"/>
      <c r="P178" s="432">
        <f>E178+J178</f>
        <v>28106900</v>
      </c>
    </row>
    <row r="179" spans="1:17" s="5" customFormat="1" ht="45.75">
      <c r="A179" s="582" t="s">
        <v>8</v>
      </c>
      <c r="B179" s="582"/>
      <c r="C179" s="582"/>
      <c r="D179" s="582"/>
      <c r="E179" s="254">
        <f>E13+E26+E106+E40+E51+E96+E128+E147+E154+E174+E157+E164+E171</f>
        <v>2574400543.9200001</v>
      </c>
      <c r="F179" s="255">
        <f>F13+F26+F106+F40+F50+F96+F128+F147+F154+F174+F157+F164+F171</f>
        <v>2574400543.9200001</v>
      </c>
      <c r="G179" s="254">
        <f t="shared" ref="G179:O179" si="86">G13+G26+G106+G40+G51+G96+G128+G147+G154+G174+G157+G164+G171</f>
        <v>710423047</v>
      </c>
      <c r="H179" s="254">
        <f t="shared" si="86"/>
        <v>97864188</v>
      </c>
      <c r="I179" s="255">
        <f t="shared" si="86"/>
        <v>0</v>
      </c>
      <c r="J179" s="254">
        <f t="shared" si="86"/>
        <v>356217587</v>
      </c>
      <c r="K179" s="255">
        <f t="shared" si="86"/>
        <v>112458018</v>
      </c>
      <c r="L179" s="254">
        <f t="shared" si="86"/>
        <v>27569000</v>
      </c>
      <c r="M179" s="254">
        <f t="shared" si="86"/>
        <v>6634600</v>
      </c>
      <c r="N179" s="255">
        <f t="shared" si="86"/>
        <v>243759569</v>
      </c>
      <c r="O179" s="254">
        <f t="shared" si="86"/>
        <v>240613369</v>
      </c>
      <c r="P179" s="254">
        <f>P13+P26+P106+P40+P50+P96+P128+P147+P154+P174+P157+P164+P171</f>
        <v>2930618130.9200001</v>
      </c>
      <c r="Q179" s="232" t="b">
        <f>O179='dod5'!J212</f>
        <v>0</v>
      </c>
    </row>
    <row r="180" spans="1:17" ht="31.5" customHeight="1">
      <c r="A180" s="583" t="s">
        <v>586</v>
      </c>
      <c r="B180" s="584"/>
      <c r="C180" s="584"/>
      <c r="D180" s="584"/>
      <c r="E180" s="584"/>
      <c r="F180" s="584"/>
      <c r="G180" s="584"/>
      <c r="H180" s="584"/>
      <c r="I180" s="584"/>
      <c r="J180" s="584"/>
      <c r="K180" s="584"/>
      <c r="L180" s="584"/>
      <c r="M180" s="584"/>
      <c r="N180" s="584"/>
      <c r="O180" s="584"/>
      <c r="P180" s="584"/>
      <c r="Q180" s="26"/>
    </row>
    <row r="181" spans="1:17" ht="31.5" customHeight="1">
      <c r="A181" s="338"/>
      <c r="B181" s="339"/>
      <c r="C181" s="339"/>
      <c r="D181" s="339"/>
      <c r="E181" s="339"/>
      <c r="F181" s="341"/>
      <c r="G181" s="339"/>
      <c r="H181" s="339"/>
      <c r="I181" s="339"/>
      <c r="J181" s="339"/>
      <c r="K181" s="341"/>
      <c r="L181" s="339"/>
      <c r="M181" s="339"/>
      <c r="N181" s="341"/>
      <c r="O181" s="339"/>
      <c r="P181" s="339"/>
      <c r="Q181" s="26"/>
    </row>
    <row r="182" spans="1:17" ht="61.5" customHeight="1">
      <c r="A182" s="429"/>
      <c r="B182" s="429"/>
      <c r="C182" s="429"/>
      <c r="D182" s="581" t="s">
        <v>296</v>
      </c>
      <c r="E182" s="581"/>
      <c r="F182" s="581"/>
      <c r="G182" s="581"/>
      <c r="H182" s="581"/>
      <c r="I182" s="581"/>
      <c r="J182" s="581"/>
      <c r="K182" s="581"/>
      <c r="L182" s="581"/>
      <c r="M182" s="581"/>
      <c r="N182" s="581"/>
      <c r="O182" s="581"/>
      <c r="P182" s="581"/>
      <c r="Q182" s="27"/>
    </row>
    <row r="183" spans="1:17" ht="45.75">
      <c r="E183" s="89"/>
      <c r="F183" s="13"/>
      <c r="J183" s="11"/>
      <c r="N183" s="78"/>
      <c r="O183" s="88"/>
      <c r="P183" s="73"/>
    </row>
    <row r="184" spans="1:17" ht="45">
      <c r="D184" s="7"/>
      <c r="E184" s="77"/>
      <c r="F184" s="406"/>
      <c r="H184" s="7"/>
      <c r="I184" s="7"/>
      <c r="J184" s="77"/>
      <c r="N184" s="346"/>
      <c r="O184" s="77"/>
      <c r="P184" s="77"/>
      <c r="Q184" s="28"/>
    </row>
    <row r="185" spans="1:17">
      <c r="E185" s="9"/>
      <c r="F185" s="13"/>
      <c r="J185" s="9"/>
      <c r="O185" s="6"/>
    </row>
    <row r="186" spans="1:17">
      <c r="E186" s="9"/>
      <c r="F186" s="13"/>
      <c r="J186" s="9"/>
    </row>
    <row r="187" spans="1:17" ht="45.75">
      <c r="E187" s="73"/>
      <c r="F187" s="76"/>
      <c r="G187" s="6"/>
      <c r="I187" s="237"/>
      <c r="J187" s="238"/>
      <c r="K187" s="343"/>
      <c r="L187" s="237"/>
      <c r="M187" s="237"/>
      <c r="N187" s="347"/>
      <c r="O187" s="239"/>
      <c r="P187" s="232" t="b">
        <f>E179+J179=P179</f>
        <v>1</v>
      </c>
    </row>
    <row r="188" spans="1:17" ht="13.5">
      <c r="E188" s="12"/>
      <c r="F188" s="15"/>
      <c r="G188" s="4"/>
      <c r="H188" s="4"/>
      <c r="I188" s="4"/>
      <c r="J188" s="9"/>
    </row>
    <row r="189" spans="1:17" ht="45.75">
      <c r="A189"/>
      <c r="B189"/>
      <c r="C189"/>
      <c r="D189"/>
      <c r="E189" s="232" t="b">
        <f>E179=F179</f>
        <v>1</v>
      </c>
      <c r="F189" s="78">
        <f>F175/P179*100</f>
        <v>6.5549277121169883E-2</v>
      </c>
      <c r="G189" s="393" t="s">
        <v>664</v>
      </c>
      <c r="J189" s="8"/>
      <c r="K189" s="344"/>
      <c r="L189"/>
      <c r="M189"/>
      <c r="N189" s="344"/>
      <c r="O189"/>
      <c r="P189"/>
    </row>
    <row r="190" spans="1:17" ht="60.75">
      <c r="E190" s="79"/>
      <c r="G190" s="81"/>
      <c r="P190" s="327">
        <v>8287748</v>
      </c>
      <c r="Q190" s="328" t="s">
        <v>537</v>
      </c>
    </row>
    <row r="191" spans="1:17" ht="60.75">
      <c r="A191"/>
      <c r="B191"/>
      <c r="C191"/>
      <c r="D191"/>
      <c r="E191" s="77"/>
      <c r="F191" s="78"/>
      <c r="G191" s="6"/>
      <c r="J191" s="9"/>
      <c r="K191" s="344"/>
      <c r="L191"/>
      <c r="M191"/>
      <c r="N191" s="344"/>
      <c r="O191"/>
      <c r="P191" s="327">
        <f>дод1!C101</f>
        <v>3068143417.6999998</v>
      </c>
      <c r="Q191" s="328" t="s">
        <v>572</v>
      </c>
    </row>
    <row r="192" spans="1:17" ht="60.75">
      <c r="E192" s="79"/>
      <c r="F192" s="80"/>
      <c r="P192" s="327">
        <f>P191-P179</f>
        <v>137525286.77999973</v>
      </c>
    </row>
    <row r="193" spans="1:16" ht="60.75">
      <c r="A193"/>
      <c r="B193"/>
      <c r="C193"/>
      <c r="D193"/>
      <c r="E193" s="77"/>
      <c r="F193" s="78"/>
      <c r="G193" s="6"/>
      <c r="J193" s="9"/>
      <c r="K193" s="344"/>
      <c r="L193"/>
      <c r="M193"/>
      <c r="N193" s="344"/>
      <c r="O193"/>
      <c r="P193" s="327">
        <f>P192+P190</f>
        <v>145813034.77999973</v>
      </c>
    </row>
    <row r="194" spans="1:16" ht="45.75">
      <c r="A194"/>
      <c r="B194"/>
      <c r="C194"/>
      <c r="D194"/>
      <c r="E194" s="77"/>
      <c r="F194" s="78"/>
      <c r="J194" s="9"/>
      <c r="K194" s="344"/>
      <c r="L194"/>
      <c r="M194"/>
      <c r="N194" s="344"/>
      <c r="O194"/>
      <c r="P194"/>
    </row>
    <row r="195" spans="1:16" ht="45.75">
      <c r="E195" s="79"/>
      <c r="F195" s="80"/>
    </row>
    <row r="196" spans="1:16" ht="45.75">
      <c r="A196"/>
      <c r="B196"/>
      <c r="C196"/>
      <c r="D196"/>
      <c r="E196" s="77"/>
      <c r="F196" s="78"/>
      <c r="K196" s="344"/>
      <c r="L196"/>
      <c r="M196"/>
      <c r="N196" s="344"/>
      <c r="O196"/>
      <c r="P196"/>
    </row>
    <row r="197" spans="1:16" ht="45.75">
      <c r="E197" s="79"/>
      <c r="F197" s="80"/>
    </row>
    <row r="198" spans="1:16" ht="45.75">
      <c r="E198" s="79"/>
      <c r="F198" s="80"/>
    </row>
    <row r="199" spans="1:16" ht="45.75">
      <c r="E199" s="79"/>
      <c r="F199" s="80"/>
    </row>
    <row r="200" spans="1:16" ht="45.75">
      <c r="A200"/>
      <c r="B200"/>
      <c r="C200"/>
      <c r="D200"/>
      <c r="E200" s="79"/>
      <c r="F200" s="80"/>
      <c r="G200"/>
      <c r="H200"/>
      <c r="I200"/>
      <c r="J200"/>
      <c r="K200" s="344"/>
      <c r="L200"/>
      <c r="M200"/>
      <c r="N200" s="344"/>
      <c r="O200"/>
      <c r="P200"/>
    </row>
    <row r="201" spans="1:16" ht="45.75">
      <c r="A201"/>
      <c r="B201"/>
      <c r="C201"/>
      <c r="D201"/>
      <c r="E201" s="79"/>
      <c r="F201" s="80"/>
      <c r="G201"/>
      <c r="H201"/>
      <c r="I201"/>
      <c r="J201"/>
      <c r="K201" s="344"/>
      <c r="L201"/>
      <c r="M201"/>
      <c r="N201" s="344"/>
      <c r="O201"/>
      <c r="P201"/>
    </row>
    <row r="202" spans="1:16" ht="45.75">
      <c r="A202"/>
      <c r="B202"/>
      <c r="C202"/>
      <c r="D202"/>
      <c r="E202" s="79"/>
      <c r="F202" s="80"/>
      <c r="G202"/>
      <c r="H202"/>
      <c r="I202"/>
      <c r="J202"/>
      <c r="K202" s="344"/>
      <c r="L202"/>
      <c r="M202"/>
      <c r="N202" s="344"/>
      <c r="O202"/>
      <c r="P202"/>
    </row>
    <row r="203" spans="1:16" ht="45.75">
      <c r="A203"/>
      <c r="B203"/>
      <c r="C203"/>
      <c r="D203"/>
      <c r="E203" s="79"/>
      <c r="F203" s="80"/>
      <c r="G203"/>
      <c r="H203"/>
      <c r="I203"/>
      <c r="J203"/>
      <c r="K203" s="344"/>
      <c r="L203"/>
      <c r="M203"/>
      <c r="N203" s="344"/>
      <c r="O203"/>
      <c r="P203"/>
    </row>
  </sheetData>
  <mergeCells count="67">
    <mergeCell ref="P90:P91"/>
    <mergeCell ref="A179:D179"/>
    <mergeCell ref="A180:P180"/>
    <mergeCell ref="D182:P182"/>
    <mergeCell ref="J90:J91"/>
    <mergeCell ref="K90:K91"/>
    <mergeCell ref="L90:L91"/>
    <mergeCell ref="M90:M91"/>
    <mergeCell ref="N90:N91"/>
    <mergeCell ref="O90:O91"/>
    <mergeCell ref="O73:O74"/>
    <mergeCell ref="P73:P74"/>
    <mergeCell ref="A90:A91"/>
    <mergeCell ref="B90:B91"/>
    <mergeCell ref="C90:C91"/>
    <mergeCell ref="E90:E91"/>
    <mergeCell ref="F90:F91"/>
    <mergeCell ref="G90:G91"/>
    <mergeCell ref="H90:H91"/>
    <mergeCell ref="I90:I91"/>
    <mergeCell ref="I73:I74"/>
    <mergeCell ref="J73:J74"/>
    <mergeCell ref="K73:K74"/>
    <mergeCell ref="L73:L74"/>
    <mergeCell ref="M73:M74"/>
    <mergeCell ref="N73:N74"/>
    <mergeCell ref="G73:G74"/>
    <mergeCell ref="H73:H74"/>
    <mergeCell ref="H21:H22"/>
    <mergeCell ref="I21:I22"/>
    <mergeCell ref="J21:J22"/>
    <mergeCell ref="G21:G22"/>
    <mergeCell ref="A73:A74"/>
    <mergeCell ref="B73:B74"/>
    <mergeCell ref="C73:C74"/>
    <mergeCell ref="E73:E74"/>
    <mergeCell ref="F73:F74"/>
    <mergeCell ref="A21:A22"/>
    <mergeCell ref="B21:B22"/>
    <mergeCell ref="C21:C22"/>
    <mergeCell ref="E21:E22"/>
    <mergeCell ref="F21:F22"/>
    <mergeCell ref="P8:P10"/>
    <mergeCell ref="E9:E10"/>
    <mergeCell ref="F9:F10"/>
    <mergeCell ref="G9:H9"/>
    <mergeCell ref="I9:I10"/>
    <mergeCell ref="J9:J10"/>
    <mergeCell ref="K9:K10"/>
    <mergeCell ref="L9:M9"/>
    <mergeCell ref="N9:N10"/>
    <mergeCell ref="N21:N22"/>
    <mergeCell ref="O21:O22"/>
    <mergeCell ref="P21:P22"/>
    <mergeCell ref="K21:K22"/>
    <mergeCell ref="L21:L22"/>
    <mergeCell ref="M21:M22"/>
    <mergeCell ref="N1:P1"/>
    <mergeCell ref="N2:P2"/>
    <mergeCell ref="N3:P3"/>
    <mergeCell ref="A5:P5"/>
    <mergeCell ref="A6:P6"/>
    <mergeCell ref="A8:A10"/>
    <mergeCell ref="B8:B10"/>
    <mergeCell ref="D8:D10"/>
    <mergeCell ref="E8:I8"/>
    <mergeCell ref="J8:N8"/>
  </mergeCells>
  <pageMargins left="0.23622047244094491" right="0.27559055118110237" top="0.27559055118110237" bottom="0.15748031496062992" header="0.23622047244094491" footer="0.27559055118110237"/>
  <pageSetup paperSize="9" scale="17" fitToHeight="2" orientation="landscape" r:id="rId1"/>
  <headerFooter alignWithMargins="0">
    <oddFooter>&amp;C&amp;"Times New Roman Cyr,курсив"Сторінка &amp;P з &amp;N</oddFooter>
  </headerFooter>
  <rowBreaks count="2" manualBreakCount="2">
    <brk id="48" max="15" man="1"/>
    <brk id="9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13</vt:i4>
      </vt:variant>
    </vt:vector>
  </HeadingPairs>
  <TitlesOfParts>
    <vt:vector size="23" baseType="lpstr">
      <vt:lpstr>дод1</vt:lpstr>
      <vt:lpstr>dod2</vt:lpstr>
      <vt:lpstr>dod3</vt:lpstr>
      <vt:lpstr>dod4</vt:lpstr>
      <vt:lpstr>dod5</vt:lpstr>
      <vt:lpstr>dod6</vt:lpstr>
      <vt:lpstr>dod7</vt:lpstr>
      <vt:lpstr>dod8</vt:lpstr>
      <vt:lpstr>dod3 базовий</vt:lpstr>
      <vt:lpstr>РІЗНИЦЯ</vt:lpstr>
      <vt:lpstr>'dod3'!Заголовки_для_печати</vt:lpstr>
      <vt:lpstr>'dod3 базовий'!Заголовки_для_печати</vt:lpstr>
      <vt:lpstr>РІЗНИЦЯ!Заголовки_для_печати</vt:lpstr>
      <vt:lpstr>'dod2'!Область_печати</vt:lpstr>
      <vt:lpstr>'dod3'!Область_печати</vt:lpstr>
      <vt:lpstr>'dod3 базовий'!Область_печати</vt:lpstr>
      <vt:lpstr>'dod4'!Область_печати</vt:lpstr>
      <vt:lpstr>'dod5'!Область_печати</vt:lpstr>
      <vt:lpstr>'dod6'!Область_печати</vt:lpstr>
      <vt:lpstr>'dod7'!Область_печати</vt:lpstr>
      <vt:lpstr>'dod8'!Область_печати</vt:lpstr>
      <vt:lpstr>дод1!Область_печати</vt:lpstr>
      <vt:lpstr>РІЗНИЦЯ!Область_печати</vt:lpstr>
    </vt:vector>
  </TitlesOfParts>
  <Company>Міське фінуправління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a_babiy</cp:lastModifiedBy>
  <cp:lastPrinted>2018-03-20T14:50:50Z</cp:lastPrinted>
  <dcterms:created xsi:type="dcterms:W3CDTF">2001-12-03T09:30:42Z</dcterms:created>
  <dcterms:modified xsi:type="dcterms:W3CDTF">2018-03-21T10:05:40Z</dcterms:modified>
</cp:coreProperties>
</file>