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1970" tabRatio="585" activeTab="7"/>
  </bookViews>
  <sheets>
    <sheet name="дод1" sheetId="105" r:id="rId1"/>
    <sheet name="dod2" sheetId="115" r:id="rId2"/>
    <sheet name="dod3" sheetId="97" r:id="rId3"/>
    <sheet name="dod4" sheetId="107" r:id="rId4"/>
    <sheet name="dod5" sheetId="98" r:id="rId5"/>
    <sheet name="dod6" sheetId="108" r:id="rId6"/>
    <sheet name="dod7" sheetId="109" r:id="rId7"/>
    <sheet name="dod8" sheetId="104" r:id="rId8"/>
  </sheets>
  <definedNames>
    <definedName name="_GoBack" localSheetId="4">'dod5'!#REF!</definedName>
    <definedName name="_xlnm.Print_Titles" localSheetId="2">'dod3'!$11:$11</definedName>
    <definedName name="_xlnm.Print_Area" localSheetId="1">'dod2'!$A$1:$F$27</definedName>
    <definedName name="_xlnm.Print_Area" localSheetId="2">'dod3'!$A$1:$P$200</definedName>
    <definedName name="_xlnm.Print_Area" localSheetId="3">'dod4'!$B$1:$Q$15</definedName>
    <definedName name="_xlnm.Print_Area" localSheetId="4">'dod5'!$B$1:$J$265</definedName>
    <definedName name="_xlnm.Print_Area" localSheetId="5">'dod6'!$A$1:$E$33</definedName>
    <definedName name="_xlnm.Print_Area" localSheetId="7">'dod8'!$B$1:$I$184</definedName>
    <definedName name="С16" localSheetId="1">#REF!</definedName>
    <definedName name="С16" localSheetId="0">#REF!</definedName>
    <definedName name="С16">#REF!</definedName>
  </definedNames>
  <calcPr calcId="124519"/>
</workbook>
</file>

<file path=xl/calcChain.xml><?xml version="1.0" encoding="utf-8"?>
<calcChain xmlns="http://schemas.openxmlformats.org/spreadsheetml/2006/main">
  <c r="H143" i="104"/>
  <c r="H142" l="1"/>
  <c r="I143"/>
  <c r="J13" i="98"/>
  <c r="O21" i="97"/>
  <c r="F14"/>
  <c r="H14"/>
  <c r="F186"/>
  <c r="G181" i="104"/>
  <c r="H29"/>
  <c r="G180"/>
  <c r="J145" i="98" l="1"/>
  <c r="J99"/>
  <c r="J95"/>
  <c r="J98"/>
  <c r="F152" i="97" l="1"/>
  <c r="O162"/>
  <c r="O157"/>
  <c r="O158"/>
  <c r="O148"/>
  <c r="O151"/>
  <c r="O14" l="1"/>
  <c r="J8" i="98"/>
  <c r="J118" l="1"/>
  <c r="J242"/>
  <c r="O160" i="97"/>
  <c r="O170"/>
  <c r="F97"/>
  <c r="F101"/>
  <c r="J56" i="98"/>
  <c r="J54"/>
  <c r="O70" i="97"/>
  <c r="O68"/>
  <c r="F160"/>
  <c r="F159"/>
  <c r="J81" i="98"/>
  <c r="J82"/>
  <c r="J181" l="1"/>
  <c r="D25" i="108"/>
  <c r="D28"/>
  <c r="K26" i="97"/>
  <c r="N26"/>
  <c r="F24" l="1"/>
  <c r="L34" l="1"/>
  <c r="M34"/>
  <c r="J73" i="98"/>
  <c r="O130" i="97"/>
  <c r="J119" i="98"/>
  <c r="O161" i="97"/>
  <c r="F29" l="1"/>
  <c r="H29"/>
  <c r="F30" l="1"/>
  <c r="H30" l="1"/>
  <c r="O176"/>
  <c r="J258" i="98"/>
  <c r="J254"/>
  <c r="J253"/>
  <c r="J252"/>
  <c r="J251"/>
  <c r="J247"/>
  <c r="O173" i="97"/>
  <c r="O167"/>
  <c r="J238" i="98"/>
  <c r="J236"/>
  <c r="J217"/>
  <c r="J228"/>
  <c r="J221"/>
  <c r="J220"/>
  <c r="J216"/>
  <c r="J204"/>
  <c r="J230"/>
  <c r="J231"/>
  <c r="J211"/>
  <c r="J209"/>
  <c r="O169" i="97"/>
  <c r="J174" i="98"/>
  <c r="J152"/>
  <c r="J150"/>
  <c r="J127"/>
  <c r="J126"/>
  <c r="J125"/>
  <c r="J124"/>
  <c r="J123"/>
  <c r="J122"/>
  <c r="J121"/>
  <c r="J105"/>
  <c r="J103"/>
  <c r="J101"/>
  <c r="F161" i="97" l="1"/>
  <c r="F157"/>
  <c r="F146"/>
  <c r="O140" l="1"/>
  <c r="O139"/>
  <c r="F66"/>
  <c r="G163" l="1"/>
  <c r="F126" l="1"/>
  <c r="H140" l="1"/>
  <c r="F140"/>
  <c r="F70"/>
  <c r="F68"/>
  <c r="F67"/>
  <c r="G30"/>
  <c r="J44" i="98" l="1"/>
  <c r="J85"/>
  <c r="F31" i="97"/>
  <c r="F32"/>
  <c r="F57"/>
  <c r="F69"/>
  <c r="J52" i="98"/>
  <c r="O66" i="97"/>
  <c r="F71"/>
  <c r="G71"/>
  <c r="F15"/>
  <c r="H15"/>
  <c r="F139"/>
  <c r="H139"/>
  <c r="F138"/>
  <c r="H138"/>
  <c r="G138"/>
  <c r="F137"/>
  <c r="H137"/>
  <c r="O29" l="1"/>
  <c r="J24" i="98"/>
  <c r="J32"/>
  <c r="O33" i="97"/>
  <c r="F37" l="1"/>
  <c r="F34"/>
  <c r="F35"/>
  <c r="F33"/>
  <c r="G32"/>
  <c r="G31"/>
  <c r="G34"/>
  <c r="G37"/>
  <c r="G35"/>
  <c r="G33"/>
  <c r="J41"/>
  <c r="E41"/>
  <c r="J29" i="98"/>
  <c r="O30" i="97"/>
  <c r="J30" i="98"/>
  <c r="F38" i="97"/>
  <c r="F36"/>
  <c r="I23" i="104"/>
  <c r="J15" i="98"/>
  <c r="O25" i="97"/>
  <c r="O23"/>
  <c r="G20" i="104"/>
  <c r="H19"/>
  <c r="G19"/>
  <c r="F23" i="97"/>
  <c r="G29"/>
  <c r="J9" i="98"/>
  <c r="O15" i="97"/>
  <c r="G24"/>
  <c r="J86" i="98"/>
  <c r="O138" i="97"/>
  <c r="F142"/>
  <c r="J88" i="98"/>
  <c r="F104" i="97"/>
  <c r="F131"/>
  <c r="H130"/>
  <c r="F130"/>
  <c r="G130"/>
  <c r="J69" i="98"/>
  <c r="O120" i="97"/>
  <c r="F120"/>
  <c r="G120"/>
  <c r="F49"/>
  <c r="J48" i="98"/>
  <c r="O61" i="97"/>
  <c r="H119"/>
  <c r="F119"/>
  <c r="J43" i="98"/>
  <c r="O56" i="97"/>
  <c r="F51"/>
  <c r="F45"/>
  <c r="G45"/>
  <c r="F48"/>
  <c r="F56"/>
  <c r="G56"/>
  <c r="F28" l="1"/>
  <c r="P41"/>
  <c r="J109" i="98"/>
  <c r="J110"/>
  <c r="E47" i="97" l="1"/>
  <c r="N34"/>
  <c r="E76"/>
  <c r="E70"/>
  <c r="J132" i="98" l="1"/>
  <c r="N30" i="97" l="1"/>
  <c r="C11" i="115" l="1"/>
  <c r="C10" s="1"/>
  <c r="D11"/>
  <c r="D19" s="1"/>
  <c r="E11"/>
  <c r="E19" s="1"/>
  <c r="D13"/>
  <c r="F24"/>
  <c r="F20"/>
  <c r="F17"/>
  <c r="F12"/>
  <c r="E18" l="1"/>
  <c r="F11"/>
  <c r="C19"/>
  <c r="C18" s="1"/>
  <c r="F21"/>
  <c r="E10"/>
  <c r="F13"/>
  <c r="D10"/>
  <c r="D18" l="1"/>
  <c r="F22" s="1"/>
  <c r="F19"/>
  <c r="F10"/>
  <c r="E63" i="105"/>
  <c r="H148" i="104"/>
  <c r="H146"/>
  <c r="F18" i="115" l="1"/>
  <c r="K184" i="97" l="1"/>
  <c r="H159" i="104" l="1"/>
  <c r="G178" l="1"/>
  <c r="E164" i="97"/>
  <c r="N164"/>
  <c r="I27" i="104"/>
  <c r="N29" i="97"/>
  <c r="H127" i="104"/>
  <c r="I127" s="1"/>
  <c r="I128"/>
  <c r="H162"/>
  <c r="J76" i="98"/>
  <c r="O132" i="97"/>
  <c r="F132"/>
  <c r="E133"/>
  <c r="N133"/>
  <c r="G90" i="104"/>
  <c r="F92" i="97"/>
  <c r="F184" l="1"/>
  <c r="G156" i="104"/>
  <c r="J164" i="97"/>
  <c r="E132"/>
  <c r="N132"/>
  <c r="J133"/>
  <c r="H156" i="104" l="1"/>
  <c r="J132" i="97"/>
  <c r="I156" i="104"/>
  <c r="P164" i="97"/>
  <c r="P133"/>
  <c r="P132" l="1"/>
  <c r="E173"/>
  <c r="N160" l="1"/>
  <c r="G182" i="104"/>
  <c r="G177"/>
  <c r="G167" l="1"/>
  <c r="G166" s="1"/>
  <c r="E176" i="97"/>
  <c r="H14" i="104" l="1"/>
  <c r="I14" s="1"/>
  <c r="J94" i="98" l="1"/>
  <c r="K147" i="97"/>
  <c r="F147"/>
  <c r="N151"/>
  <c r="E151"/>
  <c r="O147" l="1"/>
  <c r="J151"/>
  <c r="F19"/>
  <c r="O19"/>
  <c r="P151" l="1"/>
  <c r="H16" i="104" l="1"/>
  <c r="D86" i="105"/>
  <c r="C94"/>
  <c r="D11" i="108" l="1"/>
  <c r="J70" i="98"/>
  <c r="O127" i="97"/>
  <c r="F136" l="1"/>
  <c r="J190" l="1"/>
  <c r="J195"/>
  <c r="K189"/>
  <c r="E190"/>
  <c r="P190" l="1"/>
  <c r="F156"/>
  <c r="E154"/>
  <c r="O153"/>
  <c r="J155" i="98"/>
  <c r="J151"/>
  <c r="J148"/>
  <c r="J147"/>
  <c r="J107"/>
  <c r="J100" s="1"/>
  <c r="J97"/>
  <c r="J96"/>
  <c r="G146" i="104" l="1"/>
  <c r="I146" s="1"/>
  <c r="O145" i="97"/>
  <c r="P154"/>
  <c r="J120" i="98"/>
  <c r="I162" i="104"/>
  <c r="H160"/>
  <c r="I160" s="1"/>
  <c r="I159"/>
  <c r="J235" i="98"/>
  <c r="J237"/>
  <c r="J229"/>
  <c r="J227"/>
  <c r="J226"/>
  <c r="J223"/>
  <c r="J222"/>
  <c r="J219"/>
  <c r="J218"/>
  <c r="J214"/>
  <c r="J213"/>
  <c r="J212"/>
  <c r="J210"/>
  <c r="J208"/>
  <c r="J207"/>
  <c r="J206"/>
  <c r="J205"/>
  <c r="J203"/>
  <c r="E170" i="97"/>
  <c r="N169"/>
  <c r="E169"/>
  <c r="E168"/>
  <c r="E167"/>
  <c r="J202" i="98" l="1"/>
  <c r="J92"/>
  <c r="N170" i="97"/>
  <c r="N167"/>
  <c r="O168"/>
  <c r="H161" i="104"/>
  <c r="I161" s="1"/>
  <c r="N168" i="97"/>
  <c r="J169"/>
  <c r="J168" l="1"/>
  <c r="J167"/>
  <c r="P169"/>
  <c r="J170"/>
  <c r="H176" i="104"/>
  <c r="M184" i="97"/>
  <c r="L184"/>
  <c r="I184"/>
  <c r="H184"/>
  <c r="G184"/>
  <c r="N185"/>
  <c r="E185"/>
  <c r="G15"/>
  <c r="G14"/>
  <c r="P168" l="1"/>
  <c r="J166"/>
  <c r="P170"/>
  <c r="J185"/>
  <c r="P167"/>
  <c r="J67" i="98"/>
  <c r="O119" i="97"/>
  <c r="P185" l="1"/>
  <c r="J12" i="98"/>
  <c r="J7" s="1"/>
  <c r="I21" i="104"/>
  <c r="I22"/>
  <c r="D24" i="108"/>
  <c r="D23"/>
  <c r="F17" i="97"/>
  <c r="O17"/>
  <c r="N25"/>
  <c r="E25"/>
  <c r="E21"/>
  <c r="N21"/>
  <c r="J25" l="1"/>
  <c r="J21"/>
  <c r="P25" l="1"/>
  <c r="P21"/>
  <c r="G48"/>
  <c r="J66" i="98"/>
  <c r="G74" i="104"/>
  <c r="H74"/>
  <c r="G119" i="97"/>
  <c r="J75" i="98"/>
  <c r="J74"/>
  <c r="O131" i="97"/>
  <c r="J28" i="98"/>
  <c r="J27"/>
  <c r="J26"/>
  <c r="J25"/>
  <c r="O36" i="97"/>
  <c r="J33" i="98"/>
  <c r="O35" i="97"/>
  <c r="G61" i="104"/>
  <c r="H55"/>
  <c r="G46"/>
  <c r="J41" i="98"/>
  <c r="J39"/>
  <c r="N12" i="107"/>
  <c r="N13"/>
  <c r="F11"/>
  <c r="N11" s="1"/>
  <c r="G12"/>
  <c r="H61" i="104" s="1"/>
  <c r="F63" i="97"/>
  <c r="F60"/>
  <c r="F52"/>
  <c r="G49"/>
  <c r="F62" l="1"/>
  <c r="O12" i="107"/>
  <c r="J38" i="98"/>
  <c r="J37" s="1"/>
  <c r="F10" i="107"/>
  <c r="L71" i="97"/>
  <c r="F73"/>
  <c r="E69"/>
  <c r="O71"/>
  <c r="J53" i="98"/>
  <c r="O67" i="97"/>
  <c r="H34"/>
  <c r="J31" i="98"/>
  <c r="O32" i="97"/>
  <c r="J51" i="98" l="1"/>
  <c r="J23"/>
  <c r="N10" i="107"/>
  <c r="F9"/>
  <c r="N9" s="1"/>
  <c r="J83" i="98"/>
  <c r="J80"/>
  <c r="L135" i="97"/>
  <c r="K135"/>
  <c r="N141"/>
  <c r="E141"/>
  <c r="J141" l="1"/>
  <c r="N143"/>
  <c r="E143"/>
  <c r="G142"/>
  <c r="N140"/>
  <c r="G140"/>
  <c r="N139"/>
  <c r="E138"/>
  <c r="O137"/>
  <c r="N127"/>
  <c r="J127" s="1"/>
  <c r="I127"/>
  <c r="E127"/>
  <c r="C92" i="105"/>
  <c r="C91"/>
  <c r="C90"/>
  <c r="C85"/>
  <c r="D95"/>
  <c r="C95" s="1"/>
  <c r="C100"/>
  <c r="F22" i="109"/>
  <c r="D29" i="108"/>
  <c r="D15"/>
  <c r="D17" s="1"/>
  <c r="P14" i="107"/>
  <c r="O14"/>
  <c r="N14"/>
  <c r="L14"/>
  <c r="J14"/>
  <c r="H14"/>
  <c r="K13"/>
  <c r="O13" s="1"/>
  <c r="C99" i="105"/>
  <c r="C98"/>
  <c r="C97"/>
  <c r="C96"/>
  <c r="C93"/>
  <c r="C89"/>
  <c r="C87"/>
  <c r="C84"/>
  <c r="C83"/>
  <c r="E82"/>
  <c r="C78"/>
  <c r="C77"/>
  <c r="F76"/>
  <c r="F75" s="1"/>
  <c r="E76"/>
  <c r="C76" s="1"/>
  <c r="C74"/>
  <c r="C73"/>
  <c r="F72"/>
  <c r="F71" s="1"/>
  <c r="E72"/>
  <c r="C72" s="1"/>
  <c r="D71"/>
  <c r="C70"/>
  <c r="C69"/>
  <c r="E68"/>
  <c r="D68"/>
  <c r="D62" s="1"/>
  <c r="C67"/>
  <c r="C66"/>
  <c r="C65"/>
  <c r="C64"/>
  <c r="C63"/>
  <c r="C61"/>
  <c r="C60"/>
  <c r="E59"/>
  <c r="D59"/>
  <c r="C58"/>
  <c r="C57"/>
  <c r="C56"/>
  <c r="D55"/>
  <c r="D51" s="1"/>
  <c r="C51" s="1"/>
  <c r="C54"/>
  <c r="C53"/>
  <c r="C50"/>
  <c r="C49"/>
  <c r="D48"/>
  <c r="C48" s="1"/>
  <c r="C46"/>
  <c r="F45"/>
  <c r="C44"/>
  <c r="C43"/>
  <c r="C42"/>
  <c r="E41"/>
  <c r="D41"/>
  <c r="C40"/>
  <c r="C39"/>
  <c r="D38"/>
  <c r="C38" s="1"/>
  <c r="C37"/>
  <c r="C36"/>
  <c r="D35"/>
  <c r="C35" s="1"/>
  <c r="C34"/>
  <c r="C33"/>
  <c r="C32"/>
  <c r="C31"/>
  <c r="C30"/>
  <c r="C29"/>
  <c r="C28"/>
  <c r="C27"/>
  <c r="C25"/>
  <c r="D24"/>
  <c r="C20"/>
  <c r="C19"/>
  <c r="D18"/>
  <c r="C18" s="1"/>
  <c r="C17"/>
  <c r="C16"/>
  <c r="C15"/>
  <c r="C14"/>
  <c r="C13"/>
  <c r="D12"/>
  <c r="C12" s="1"/>
  <c r="I178" i="104"/>
  <c r="E186" i="97"/>
  <c r="M183"/>
  <c r="L183"/>
  <c r="K183"/>
  <c r="G183"/>
  <c r="H183"/>
  <c r="I183"/>
  <c r="N158"/>
  <c r="N138"/>
  <c r="J262" i="98"/>
  <c r="J260" s="1"/>
  <c r="J259" s="1"/>
  <c r="I180" i="104"/>
  <c r="O187" i="97"/>
  <c r="E187"/>
  <c r="O40"/>
  <c r="E40"/>
  <c r="I182" i="104"/>
  <c r="F193" i="97"/>
  <c r="M28"/>
  <c r="M27" s="1"/>
  <c r="H28"/>
  <c r="H27" s="1"/>
  <c r="G68" i="104"/>
  <c r="I12"/>
  <c r="I16"/>
  <c r="J6" i="98"/>
  <c r="N23" i="97"/>
  <c r="I20" i="104"/>
  <c r="E23" i="97"/>
  <c r="N14"/>
  <c r="E14"/>
  <c r="N162"/>
  <c r="H175" i="104"/>
  <c r="E15" i="97"/>
  <c r="N15"/>
  <c r="E29"/>
  <c r="N32"/>
  <c r="E35"/>
  <c r="E32"/>
  <c r="J61" i="98"/>
  <c r="J60" s="1"/>
  <c r="H60" i="104"/>
  <c r="E31" i="97"/>
  <c r="N148"/>
  <c r="E38"/>
  <c r="O31"/>
  <c r="G38"/>
  <c r="N33"/>
  <c r="E33"/>
  <c r="I26" i="104"/>
  <c r="I29"/>
  <c r="I67"/>
  <c r="G179"/>
  <c r="I181"/>
  <c r="I177"/>
  <c r="I138"/>
  <c r="I137"/>
  <c r="I135"/>
  <c r="H125"/>
  <c r="I70"/>
  <c r="I66"/>
  <c r="I19"/>
  <c r="I18"/>
  <c r="I17"/>
  <c r="I15"/>
  <c r="I13"/>
  <c r="J50" i="98"/>
  <c r="J36"/>
  <c r="J11"/>
  <c r="N186" i="97"/>
  <c r="N142"/>
  <c r="M140"/>
  <c r="G139"/>
  <c r="G137"/>
  <c r="N136"/>
  <c r="L134"/>
  <c r="K134"/>
  <c r="I134"/>
  <c r="N131"/>
  <c r="E131"/>
  <c r="N130"/>
  <c r="E130"/>
  <c r="N120"/>
  <c r="N119"/>
  <c r="G118"/>
  <c r="M118"/>
  <c r="L118"/>
  <c r="K118"/>
  <c r="I118"/>
  <c r="H118"/>
  <c r="N126"/>
  <c r="E126"/>
  <c r="O125"/>
  <c r="M125"/>
  <c r="L125"/>
  <c r="K125"/>
  <c r="I125"/>
  <c r="H125"/>
  <c r="G125"/>
  <c r="F125"/>
  <c r="N73"/>
  <c r="E73"/>
  <c r="N72"/>
  <c r="E72"/>
  <c r="N71"/>
  <c r="E71"/>
  <c r="N70"/>
  <c r="O69"/>
  <c r="N68"/>
  <c r="E68"/>
  <c r="N67"/>
  <c r="E67"/>
  <c r="N66"/>
  <c r="E66"/>
  <c r="M65"/>
  <c r="M64" s="1"/>
  <c r="L65"/>
  <c r="L64" s="1"/>
  <c r="K65"/>
  <c r="K64" s="1"/>
  <c r="H65"/>
  <c r="H64" s="1"/>
  <c r="I64"/>
  <c r="N63"/>
  <c r="E63"/>
  <c r="O62"/>
  <c r="E62"/>
  <c r="N61"/>
  <c r="E61"/>
  <c r="N60"/>
  <c r="G60"/>
  <c r="F58"/>
  <c r="N59"/>
  <c r="E59"/>
  <c r="O58"/>
  <c r="M58"/>
  <c r="L58"/>
  <c r="K58"/>
  <c r="I58"/>
  <c r="H58"/>
  <c r="N57"/>
  <c r="E57"/>
  <c r="K56"/>
  <c r="G55"/>
  <c r="F55"/>
  <c r="M55"/>
  <c r="L55"/>
  <c r="I55"/>
  <c r="H55"/>
  <c r="E54"/>
  <c r="O53"/>
  <c r="M53"/>
  <c r="L53"/>
  <c r="K53"/>
  <c r="H53"/>
  <c r="G53"/>
  <c r="F53"/>
  <c r="N52"/>
  <c r="E52"/>
  <c r="N51"/>
  <c r="E51"/>
  <c r="O50"/>
  <c r="K50"/>
  <c r="H50"/>
  <c r="G50"/>
  <c r="F50"/>
  <c r="N49"/>
  <c r="E49"/>
  <c r="N48"/>
  <c r="G46"/>
  <c r="E48"/>
  <c r="N47"/>
  <c r="O46"/>
  <c r="M46"/>
  <c r="L46"/>
  <c r="K46"/>
  <c r="I46"/>
  <c r="H46"/>
  <c r="N45"/>
  <c r="G44"/>
  <c r="F44"/>
  <c r="O44"/>
  <c r="M44"/>
  <c r="L44"/>
  <c r="K44"/>
  <c r="I44"/>
  <c r="H44"/>
  <c r="N24"/>
  <c r="E24"/>
  <c r="N22"/>
  <c r="E22"/>
  <c r="N17"/>
  <c r="E17"/>
  <c r="O16"/>
  <c r="M16"/>
  <c r="L16"/>
  <c r="K16"/>
  <c r="I16"/>
  <c r="H16"/>
  <c r="G16"/>
  <c r="F16"/>
  <c r="N20"/>
  <c r="E20"/>
  <c r="N19"/>
  <c r="F18"/>
  <c r="O18"/>
  <c r="M18"/>
  <c r="L18"/>
  <c r="K18"/>
  <c r="I18"/>
  <c r="H18"/>
  <c r="G18"/>
  <c r="I12"/>
  <c r="J160"/>
  <c r="E157"/>
  <c r="N161"/>
  <c r="N157"/>
  <c r="E146"/>
  <c r="N182"/>
  <c r="N179"/>
  <c r="H174" i="104"/>
  <c r="I174" s="1"/>
  <c r="H171"/>
  <c r="I171" s="1"/>
  <c r="I173"/>
  <c r="I168"/>
  <c r="I167" s="1"/>
  <c r="I166" s="1"/>
  <c r="H167"/>
  <c r="H166" s="1"/>
  <c r="I165"/>
  <c r="I164" s="1"/>
  <c r="I163" s="1"/>
  <c r="H164"/>
  <c r="H163" s="1"/>
  <c r="I111"/>
  <c r="H109"/>
  <c r="H105"/>
  <c r="H93"/>
  <c r="I90"/>
  <c r="H89"/>
  <c r="I79"/>
  <c r="I76"/>
  <c r="I31"/>
  <c r="I30"/>
  <c r="I28"/>
  <c r="E156" i="97"/>
  <c r="N156"/>
  <c r="O150"/>
  <c r="J245" i="98"/>
  <c r="J246"/>
  <c r="F117" i="97"/>
  <c r="F115"/>
  <c r="E81"/>
  <c r="P81" s="1"/>
  <c r="E78"/>
  <c r="E108"/>
  <c r="F124"/>
  <c r="F123"/>
  <c r="F194"/>
  <c r="F163"/>
  <c r="E37"/>
  <c r="G36"/>
  <c r="E36"/>
  <c r="E34"/>
  <c r="F155"/>
  <c r="E159"/>
  <c r="E104"/>
  <c r="F102"/>
  <c r="F195"/>
  <c r="O189"/>
  <c r="O188" s="1"/>
  <c r="N189"/>
  <c r="N188" s="1"/>
  <c r="K188"/>
  <c r="E39"/>
  <c r="O149"/>
  <c r="O91"/>
  <c r="M91"/>
  <c r="L91"/>
  <c r="K91"/>
  <c r="I91"/>
  <c r="H91"/>
  <c r="G91"/>
  <c r="N94"/>
  <c r="O77"/>
  <c r="M77"/>
  <c r="L77"/>
  <c r="K77"/>
  <c r="I77"/>
  <c r="H77"/>
  <c r="G77"/>
  <c r="O95"/>
  <c r="M95"/>
  <c r="L95"/>
  <c r="K95"/>
  <c r="I95"/>
  <c r="H95"/>
  <c r="G95"/>
  <c r="N102"/>
  <c r="E103"/>
  <c r="N103"/>
  <c r="N104"/>
  <c r="O105"/>
  <c r="M105"/>
  <c r="L105"/>
  <c r="K105"/>
  <c r="I105"/>
  <c r="H105"/>
  <c r="G105"/>
  <c r="O121"/>
  <c r="M121"/>
  <c r="L121"/>
  <c r="K121"/>
  <c r="I121"/>
  <c r="H121"/>
  <c r="G121"/>
  <c r="N124"/>
  <c r="N78"/>
  <c r="N123"/>
  <c r="E162"/>
  <c r="H145"/>
  <c r="H144" s="1"/>
  <c r="E158"/>
  <c r="M147"/>
  <c r="L147"/>
  <c r="K145"/>
  <c r="K144" s="1"/>
  <c r="E147"/>
  <c r="E148"/>
  <c r="J250" i="98"/>
  <c r="J249" s="1"/>
  <c r="I188" i="97"/>
  <c r="F177"/>
  <c r="G177"/>
  <c r="H177"/>
  <c r="I177"/>
  <c r="K177"/>
  <c r="L177"/>
  <c r="M177"/>
  <c r="O177"/>
  <c r="E177"/>
  <c r="G171"/>
  <c r="H171"/>
  <c r="I171"/>
  <c r="K171"/>
  <c r="L171"/>
  <c r="M171"/>
  <c r="G174"/>
  <c r="H174"/>
  <c r="I174"/>
  <c r="K174"/>
  <c r="L174"/>
  <c r="M174"/>
  <c r="G165"/>
  <c r="H165"/>
  <c r="I165"/>
  <c r="K165"/>
  <c r="L165"/>
  <c r="M165"/>
  <c r="I74"/>
  <c r="I144"/>
  <c r="N173"/>
  <c r="N146"/>
  <c r="N152"/>
  <c r="N155"/>
  <c r="N159"/>
  <c r="N163"/>
  <c r="E160"/>
  <c r="E161"/>
  <c r="E92"/>
  <c r="E89"/>
  <c r="E88"/>
  <c r="E101"/>
  <c r="E100"/>
  <c r="E97"/>
  <c r="E122"/>
  <c r="N89"/>
  <c r="N90"/>
  <c r="N92"/>
  <c r="J92" s="1"/>
  <c r="N76"/>
  <c r="N115"/>
  <c r="N117"/>
  <c r="N88"/>
  <c r="N81"/>
  <c r="N101"/>
  <c r="N100"/>
  <c r="N97"/>
  <c r="J97" s="1"/>
  <c r="N114"/>
  <c r="N116"/>
  <c r="N122"/>
  <c r="N106"/>
  <c r="N107"/>
  <c r="N108"/>
  <c r="N109"/>
  <c r="N110"/>
  <c r="N111"/>
  <c r="N112"/>
  <c r="N113"/>
  <c r="N35"/>
  <c r="N36"/>
  <c r="N37"/>
  <c r="N38"/>
  <c r="N39"/>
  <c r="E106"/>
  <c r="N176"/>
  <c r="O172"/>
  <c r="O171" s="1"/>
  <c r="E114"/>
  <c r="E116"/>
  <c r="E113"/>
  <c r="E112"/>
  <c r="E111"/>
  <c r="E110"/>
  <c r="E109"/>
  <c r="E107"/>
  <c r="I28"/>
  <c r="E175"/>
  <c r="F175" s="1"/>
  <c r="F174" s="1"/>
  <c r="J180"/>
  <c r="J181"/>
  <c r="G189"/>
  <c r="G188" s="1"/>
  <c r="H189"/>
  <c r="H188" s="1"/>
  <c r="L189"/>
  <c r="L188" s="1"/>
  <c r="M189"/>
  <c r="M188" s="1"/>
  <c r="J193"/>
  <c r="J194"/>
  <c r="O175"/>
  <c r="E90"/>
  <c r="I74" i="104"/>
  <c r="I61"/>
  <c r="E19" i="97"/>
  <c r="F105"/>
  <c r="F183"/>
  <c r="E119"/>
  <c r="E94"/>
  <c r="F91"/>
  <c r="E45"/>
  <c r="G11" i="107"/>
  <c r="G10" s="1"/>
  <c r="G9" s="1"/>
  <c r="G14" s="1"/>
  <c r="I12"/>
  <c r="E120" i="97"/>
  <c r="E105" l="1"/>
  <c r="G142" i="104"/>
  <c r="J78" i="97"/>
  <c r="M145"/>
  <c r="M144" s="1"/>
  <c r="E91"/>
  <c r="L145"/>
  <c r="L144" s="1"/>
  <c r="E125"/>
  <c r="G151" i="104"/>
  <c r="G148"/>
  <c r="I148" s="1"/>
  <c r="G149"/>
  <c r="G152"/>
  <c r="G153"/>
  <c r="G154"/>
  <c r="G150"/>
  <c r="G141"/>
  <c r="H151"/>
  <c r="E184" i="97"/>
  <c r="E183" s="1"/>
  <c r="F189"/>
  <c r="F188" s="1"/>
  <c r="O184"/>
  <c r="O183" s="1"/>
  <c r="K75"/>
  <c r="F153"/>
  <c r="J179"/>
  <c r="N69"/>
  <c r="G65"/>
  <c r="G64" s="1"/>
  <c r="E137"/>
  <c r="G92" i="104"/>
  <c r="I92" s="1"/>
  <c r="G88"/>
  <c r="P181" i="97"/>
  <c r="J100"/>
  <c r="J90"/>
  <c r="J173"/>
  <c r="J94"/>
  <c r="E194"/>
  <c r="E117"/>
  <c r="N150"/>
  <c r="J182"/>
  <c r="J130"/>
  <c r="J142"/>
  <c r="P141"/>
  <c r="J76"/>
  <c r="G86" i="104"/>
  <c r="J104" i="97"/>
  <c r="E195"/>
  <c r="E152"/>
  <c r="E163"/>
  <c r="E124"/>
  <c r="J120"/>
  <c r="J131"/>
  <c r="J136"/>
  <c r="N147"/>
  <c r="J162"/>
  <c r="J158"/>
  <c r="E140"/>
  <c r="J88"/>
  <c r="G87" i="104"/>
  <c r="J103" i="97"/>
  <c r="G145"/>
  <c r="G144" s="1"/>
  <c r="E115"/>
  <c r="P180"/>
  <c r="J176"/>
  <c r="J101"/>
  <c r="J89"/>
  <c r="J102"/>
  <c r="N149"/>
  <c r="E123"/>
  <c r="J66"/>
  <c r="J68"/>
  <c r="E139"/>
  <c r="J138"/>
  <c r="E142"/>
  <c r="G99" i="104"/>
  <c r="I99" s="1"/>
  <c r="J110" i="97"/>
  <c r="J146"/>
  <c r="J124"/>
  <c r="G96" i="104"/>
  <c r="I96" s="1"/>
  <c r="G123"/>
  <c r="G95"/>
  <c r="I95" s="1"/>
  <c r="G100"/>
  <c r="I100" s="1"/>
  <c r="J113" i="97"/>
  <c r="J109"/>
  <c r="J122"/>
  <c r="J117"/>
  <c r="G114" i="104"/>
  <c r="I114" s="1"/>
  <c r="J159" i="97"/>
  <c r="J123"/>
  <c r="G118" i="104"/>
  <c r="I118" s="1"/>
  <c r="J71" i="97"/>
  <c r="G97" i="104"/>
  <c r="I97" s="1"/>
  <c r="G101"/>
  <c r="I101" s="1"/>
  <c r="J112" i="97"/>
  <c r="J108"/>
  <c r="J116"/>
  <c r="J115"/>
  <c r="G115" i="104"/>
  <c r="I115" s="1"/>
  <c r="J70" i="97"/>
  <c r="G126" i="104"/>
  <c r="I126" s="1"/>
  <c r="G73"/>
  <c r="G102"/>
  <c r="I102" s="1"/>
  <c r="J106" i="97"/>
  <c r="J163"/>
  <c r="J161"/>
  <c r="J67"/>
  <c r="G120" i="104"/>
  <c r="G132"/>
  <c r="G117"/>
  <c r="I117" s="1"/>
  <c r="J73" i="97"/>
  <c r="G122" i="104"/>
  <c r="G98"/>
  <c r="I98" s="1"/>
  <c r="G103"/>
  <c r="I103" s="1"/>
  <c r="G94"/>
  <c r="I94" s="1"/>
  <c r="J111" i="97"/>
  <c r="J107"/>
  <c r="J114"/>
  <c r="G106" i="104"/>
  <c r="I106" s="1"/>
  <c r="J152" i="97"/>
  <c r="P156"/>
  <c r="J157"/>
  <c r="G69" i="104"/>
  <c r="G65" s="1"/>
  <c r="G64" s="1"/>
  <c r="J72" i="97"/>
  <c r="J126"/>
  <c r="E62" i="105"/>
  <c r="E45" s="1"/>
  <c r="M13" i="107"/>
  <c r="Q13" s="1"/>
  <c r="C55" i="105"/>
  <c r="K11" i="107"/>
  <c r="K10" s="1"/>
  <c r="K9" s="1"/>
  <c r="K14" s="1"/>
  <c r="J17" i="97"/>
  <c r="E58"/>
  <c r="J61"/>
  <c r="J63"/>
  <c r="J33"/>
  <c r="J148"/>
  <c r="K28"/>
  <c r="K27" s="1"/>
  <c r="J45"/>
  <c r="G47" i="104"/>
  <c r="G45" s="1"/>
  <c r="G58" i="97"/>
  <c r="L28"/>
  <c r="L27" s="1"/>
  <c r="N40"/>
  <c r="G44" i="104"/>
  <c r="G43" s="1"/>
  <c r="N16" i="97"/>
  <c r="N44"/>
  <c r="E50"/>
  <c r="N50"/>
  <c r="G52" i="104"/>
  <c r="G51" s="1"/>
  <c r="J60" i="97"/>
  <c r="N62"/>
  <c r="N31"/>
  <c r="E193"/>
  <c r="E155"/>
  <c r="J34"/>
  <c r="G13"/>
  <c r="G12" s="1"/>
  <c r="K13"/>
  <c r="K12" s="1"/>
  <c r="E16"/>
  <c r="G8" i="104"/>
  <c r="G7" s="1"/>
  <c r="E44" i="97"/>
  <c r="N46"/>
  <c r="E53"/>
  <c r="E55"/>
  <c r="J59"/>
  <c r="G62" i="104"/>
  <c r="G60" s="1"/>
  <c r="I60" s="1"/>
  <c r="N118" i="97"/>
  <c r="J38"/>
  <c r="G32" i="104"/>
  <c r="G11"/>
  <c r="P22" i="97"/>
  <c r="J49"/>
  <c r="G50" i="104"/>
  <c r="G37"/>
  <c r="J15" i="97"/>
  <c r="J37"/>
  <c r="G38" i="104"/>
  <c r="J20" i="97"/>
  <c r="J52"/>
  <c r="G57" i="104"/>
  <c r="G36"/>
  <c r="I36" s="1"/>
  <c r="G39"/>
  <c r="J36" i="97"/>
  <c r="G40" i="104"/>
  <c r="J48" i="97"/>
  <c r="G49" i="104"/>
  <c r="N54" i="97"/>
  <c r="G33" i="104"/>
  <c r="J32" i="97"/>
  <c r="G10" i="104"/>
  <c r="J39" i="97"/>
  <c r="J35"/>
  <c r="J19"/>
  <c r="J24"/>
  <c r="J47"/>
  <c r="G59" i="104"/>
  <c r="J51" i="97"/>
  <c r="C59" i="105"/>
  <c r="E18" i="97"/>
  <c r="F13"/>
  <c r="J155"/>
  <c r="N153"/>
  <c r="P78"/>
  <c r="N18"/>
  <c r="O13"/>
  <c r="O12" s="1"/>
  <c r="J186"/>
  <c r="N187"/>
  <c r="J79" i="98"/>
  <c r="J78" s="1"/>
  <c r="I179" i="104"/>
  <c r="G176"/>
  <c r="H158"/>
  <c r="H157" s="1"/>
  <c r="J14" i="97"/>
  <c r="G34" i="104"/>
  <c r="J23" i="97"/>
  <c r="E174"/>
  <c r="N172"/>
  <c r="J172" s="1"/>
  <c r="J171" s="1"/>
  <c r="P57"/>
  <c r="G55" i="104"/>
  <c r="I55" s="1"/>
  <c r="C41" i="105"/>
  <c r="F80"/>
  <c r="F101" s="1"/>
  <c r="E75"/>
  <c r="E71" s="1"/>
  <c r="C71" s="1"/>
  <c r="I68" i="104"/>
  <c r="H170"/>
  <c r="H169" s="1"/>
  <c r="J244" i="98"/>
  <c r="J243" s="1"/>
  <c r="J91"/>
  <c r="I11" i="107"/>
  <c r="Q12"/>
  <c r="N58" i="97"/>
  <c r="E60"/>
  <c r="E56"/>
  <c r="M13"/>
  <c r="M12" s="1"/>
  <c r="J119"/>
  <c r="F77"/>
  <c r="F65"/>
  <c r="F64" s="1"/>
  <c r="O118"/>
  <c r="H43"/>
  <c r="H42" s="1"/>
  <c r="F46"/>
  <c r="J26"/>
  <c r="H135"/>
  <c r="H134" s="1"/>
  <c r="M135"/>
  <c r="M134" s="1"/>
  <c r="H13"/>
  <c r="H12" s="1"/>
  <c r="L13"/>
  <c r="L12" s="1"/>
  <c r="I43"/>
  <c r="I42" s="1"/>
  <c r="O28"/>
  <c r="O27" s="1"/>
  <c r="N137"/>
  <c r="O135"/>
  <c r="O134" s="1"/>
  <c r="N91"/>
  <c r="L75"/>
  <c r="L74" s="1"/>
  <c r="P160"/>
  <c r="G135"/>
  <c r="G134" s="1"/>
  <c r="J30"/>
  <c r="P127"/>
  <c r="E136"/>
  <c r="F135"/>
  <c r="F134" s="1"/>
  <c r="J143"/>
  <c r="E65"/>
  <c r="E64" s="1"/>
  <c r="I27"/>
  <c r="J29"/>
  <c r="O174"/>
  <c r="N175"/>
  <c r="P92"/>
  <c r="J201" i="98"/>
  <c r="O166" i="97"/>
  <c r="O165" s="1"/>
  <c r="J189"/>
  <c r="J188" s="1"/>
  <c r="J22" i="98"/>
  <c r="O65" i="97"/>
  <c r="O64" s="1"/>
  <c r="F121"/>
  <c r="F118"/>
  <c r="D11" i="105"/>
  <c r="C11" s="1"/>
  <c r="D45"/>
  <c r="N95" i="97"/>
  <c r="J95" s="1"/>
  <c r="F95"/>
  <c r="E102"/>
  <c r="N125"/>
  <c r="J59" i="98"/>
  <c r="E30" i="97"/>
  <c r="N105"/>
  <c r="E166"/>
  <c r="M43"/>
  <c r="G75"/>
  <c r="G74" s="1"/>
  <c r="N121"/>
  <c r="N77"/>
  <c r="K55"/>
  <c r="C86" i="105"/>
  <c r="D82"/>
  <c r="C82" s="1"/>
  <c r="P97" i="97"/>
  <c r="O55"/>
  <c r="N56"/>
  <c r="D23" i="105"/>
  <c r="C24"/>
  <c r="N178" i="97"/>
  <c r="H75"/>
  <c r="H74" s="1"/>
  <c r="L43"/>
  <c r="L42" s="1"/>
  <c r="M75"/>
  <c r="M74" s="1"/>
  <c r="G28"/>
  <c r="C68" i="105"/>
  <c r="H37" i="104" l="1"/>
  <c r="E121" i="97"/>
  <c r="J91"/>
  <c r="O75"/>
  <c r="O74" s="1"/>
  <c r="N184"/>
  <c r="J184" s="1"/>
  <c r="J118"/>
  <c r="E118"/>
  <c r="J153"/>
  <c r="P89"/>
  <c r="P88"/>
  <c r="G134" i="104"/>
  <c r="J77" i="97"/>
  <c r="J44"/>
  <c r="N65"/>
  <c r="N64" s="1"/>
  <c r="E77"/>
  <c r="E189"/>
  <c r="E188" s="1"/>
  <c r="J16"/>
  <c r="G43"/>
  <c r="G42" s="1"/>
  <c r="E28"/>
  <c r="H147" i="104"/>
  <c r="G147"/>
  <c r="H155"/>
  <c r="H150"/>
  <c r="I150" s="1"/>
  <c r="H141"/>
  <c r="H153"/>
  <c r="I153" s="1"/>
  <c r="H154"/>
  <c r="I154" s="1"/>
  <c r="I151"/>
  <c r="P162" i="97"/>
  <c r="H149" i="104"/>
  <c r="I149" s="1"/>
  <c r="H144"/>
  <c r="H152"/>
  <c r="I152" s="1"/>
  <c r="G155"/>
  <c r="G144"/>
  <c r="M11" i="107"/>
  <c r="M10" s="1"/>
  <c r="M9" s="1"/>
  <c r="M14" s="1"/>
  <c r="P94" i="97"/>
  <c r="P76"/>
  <c r="P158"/>
  <c r="P159"/>
  <c r="P194"/>
  <c r="H136" i="104"/>
  <c r="P103" i="97"/>
  <c r="H123" i="104"/>
  <c r="I123" s="1"/>
  <c r="P142" i="97"/>
  <c r="P104"/>
  <c r="G136" i="104"/>
  <c r="N145" i="97"/>
  <c r="N144" s="1"/>
  <c r="P120"/>
  <c r="P100"/>
  <c r="G124" i="104"/>
  <c r="N75" i="97"/>
  <c r="N74" s="1"/>
  <c r="P157"/>
  <c r="G133" i="104"/>
  <c r="H132"/>
  <c r="I132" s="1"/>
  <c r="J149" i="97"/>
  <c r="G89" i="104"/>
  <c r="I89" s="1"/>
  <c r="G75"/>
  <c r="P101" i="97"/>
  <c r="P130"/>
  <c r="P66"/>
  <c r="P131"/>
  <c r="H73" i="104"/>
  <c r="H86"/>
  <c r="I86" s="1"/>
  <c r="P195" i="97"/>
  <c r="P182"/>
  <c r="H88" i="104"/>
  <c r="I88" s="1"/>
  <c r="H120"/>
  <c r="I120" s="1"/>
  <c r="H87"/>
  <c r="I87" s="1"/>
  <c r="P176" i="97"/>
  <c r="J139"/>
  <c r="P68"/>
  <c r="N135"/>
  <c r="J135" s="1"/>
  <c r="J134" s="1"/>
  <c r="J187"/>
  <c r="P17"/>
  <c r="P71"/>
  <c r="P109"/>
  <c r="J140"/>
  <c r="J69"/>
  <c r="P179"/>
  <c r="P138"/>
  <c r="P143"/>
  <c r="P90"/>
  <c r="P23"/>
  <c r="P186"/>
  <c r="P72"/>
  <c r="G108" i="104"/>
  <c r="I108" s="1"/>
  <c r="P107" i="97"/>
  <c r="G119" i="104"/>
  <c r="I119" s="1"/>
  <c r="P106" i="97"/>
  <c r="G131" i="104"/>
  <c r="G107"/>
  <c r="I107" s="1"/>
  <c r="J150" i="97"/>
  <c r="P113"/>
  <c r="G104" i="104"/>
  <c r="I104" s="1"/>
  <c r="N171" i="97"/>
  <c r="G93" i="104"/>
  <c r="I93" s="1"/>
  <c r="G121"/>
  <c r="C75" i="105"/>
  <c r="J105" i="97"/>
  <c r="J125"/>
  <c r="P51"/>
  <c r="P19"/>
  <c r="P32"/>
  <c r="P48"/>
  <c r="P20"/>
  <c r="J46"/>
  <c r="H63" i="104"/>
  <c r="I63" s="1"/>
  <c r="H124"/>
  <c r="J121" i="97"/>
  <c r="P108"/>
  <c r="P126"/>
  <c r="P152"/>
  <c r="P60"/>
  <c r="J18"/>
  <c r="P47"/>
  <c r="N53"/>
  <c r="P36"/>
  <c r="P37"/>
  <c r="P49"/>
  <c r="P38"/>
  <c r="P34"/>
  <c r="J31"/>
  <c r="J50"/>
  <c r="P33"/>
  <c r="H69" i="104"/>
  <c r="P114" i="97"/>
  <c r="P117"/>
  <c r="P111"/>
  <c r="P161"/>
  <c r="P122"/>
  <c r="E135"/>
  <c r="E134" s="1"/>
  <c r="P67"/>
  <c r="P112"/>
  <c r="G125" i="104"/>
  <c r="I125" s="1"/>
  <c r="P116" i="97"/>
  <c r="P124"/>
  <c r="J147"/>
  <c r="P45"/>
  <c r="P115"/>
  <c r="P146"/>
  <c r="P73"/>
  <c r="P110"/>
  <c r="P70"/>
  <c r="P123"/>
  <c r="P163"/>
  <c r="H58" i="104"/>
  <c r="O144" i="97"/>
  <c r="P148"/>
  <c r="P61"/>
  <c r="G9" i="104"/>
  <c r="I9" s="1"/>
  <c r="G48"/>
  <c r="H44"/>
  <c r="H43" s="1"/>
  <c r="E80" i="105"/>
  <c r="E101" s="1"/>
  <c r="N28" i="97"/>
  <c r="N27" s="1"/>
  <c r="C45" i="105"/>
  <c r="C62"/>
  <c r="P155" i="97"/>
  <c r="I62" i="104"/>
  <c r="H38"/>
  <c r="I38" s="1"/>
  <c r="N55" i="97"/>
  <c r="P15"/>
  <c r="P16"/>
  <c r="H57" i="104"/>
  <c r="J62" i="97"/>
  <c r="O43"/>
  <c r="G58" i="104"/>
  <c r="N13" i="97"/>
  <c r="N12" s="1"/>
  <c r="P193"/>
  <c r="J40"/>
  <c r="P59"/>
  <c r="P39"/>
  <c r="J58"/>
  <c r="P63"/>
  <c r="P26"/>
  <c r="E46"/>
  <c r="H46" i="104"/>
  <c r="H8"/>
  <c r="H39"/>
  <c r="I39" s="1"/>
  <c r="H40"/>
  <c r="I40" s="1"/>
  <c r="H50"/>
  <c r="I50" s="1"/>
  <c r="H33"/>
  <c r="I33" s="1"/>
  <c r="P52" i="97"/>
  <c r="G54" i="104"/>
  <c r="G53" s="1"/>
  <c r="P14" i="97"/>
  <c r="P24"/>
  <c r="P35"/>
  <c r="P44"/>
  <c r="H49" i="104"/>
  <c r="H10"/>
  <c r="I10" s="1"/>
  <c r="I37"/>
  <c r="J54" i="97"/>
  <c r="H47" i="104"/>
  <c r="I47" s="1"/>
  <c r="H11"/>
  <c r="I11" s="1"/>
  <c r="H32"/>
  <c r="I32" s="1"/>
  <c r="H59"/>
  <c r="I59" s="1"/>
  <c r="I158"/>
  <c r="I157" s="1"/>
  <c r="G35"/>
  <c r="G25" s="1"/>
  <c r="G24" s="1"/>
  <c r="P118" i="97"/>
  <c r="P102"/>
  <c r="G116" i="104"/>
  <c r="J137" i="97"/>
  <c r="I170" i="104"/>
  <c r="I169" s="1"/>
  <c r="I196" i="97"/>
  <c r="P29"/>
  <c r="H34" i="104"/>
  <c r="I34" s="1"/>
  <c r="H35"/>
  <c r="F43" i="97"/>
  <c r="F42" s="1"/>
  <c r="P119"/>
  <c r="H122" i="104"/>
  <c r="J263" i="98"/>
  <c r="I10" i="107"/>
  <c r="E153" i="97"/>
  <c r="F145"/>
  <c r="P136"/>
  <c r="F12"/>
  <c r="E13"/>
  <c r="N174"/>
  <c r="J175"/>
  <c r="K43"/>
  <c r="M42"/>
  <c r="M196"/>
  <c r="E165"/>
  <c r="F166"/>
  <c r="F165" s="1"/>
  <c r="P30"/>
  <c r="L196"/>
  <c r="E95"/>
  <c r="F75"/>
  <c r="F74" s="1"/>
  <c r="I176" i="104"/>
  <c r="G175"/>
  <c r="I175" s="1"/>
  <c r="G27" i="97"/>
  <c r="J178"/>
  <c r="N177"/>
  <c r="J56"/>
  <c r="F27"/>
  <c r="N166"/>
  <c r="N165" s="1"/>
  <c r="C23" i="105"/>
  <c r="D10"/>
  <c r="K74" i="97"/>
  <c r="H196"/>
  <c r="I141" i="104" l="1"/>
  <c r="G196" i="97"/>
  <c r="I155" i="104"/>
  <c r="P150" i="97"/>
  <c r="J28"/>
  <c r="H145" i="104"/>
  <c r="H140" s="1"/>
  <c r="P121" i="97"/>
  <c r="G145" i="104"/>
  <c r="G140" s="1"/>
  <c r="G139" s="1"/>
  <c r="P91" i="97"/>
  <c r="I142" i="104"/>
  <c r="J53" i="97"/>
  <c r="J65"/>
  <c r="J64" s="1"/>
  <c r="P77"/>
  <c r="I43" i="104"/>
  <c r="G6"/>
  <c r="G5" s="1"/>
  <c r="I46"/>
  <c r="H45"/>
  <c r="I45" s="1"/>
  <c r="I49"/>
  <c r="H48"/>
  <c r="I48" s="1"/>
  <c r="I147"/>
  <c r="I145" s="1"/>
  <c r="Q11" i="107"/>
  <c r="I144" i="104"/>
  <c r="I124"/>
  <c r="I136"/>
  <c r="J145" i="97"/>
  <c r="J144" s="1"/>
  <c r="G130" i="104"/>
  <c r="G129" s="1"/>
  <c r="P149" i="97"/>
  <c r="I73" i="104"/>
  <c r="H131"/>
  <c r="I131" s="1"/>
  <c r="G105"/>
  <c r="I105" s="1"/>
  <c r="P69" i="97"/>
  <c r="H75" i="104"/>
  <c r="I75" s="1"/>
  <c r="N134" i="97"/>
  <c r="P189"/>
  <c r="P188" s="1"/>
  <c r="H133" i="104"/>
  <c r="I133" s="1"/>
  <c r="P140" i="97"/>
  <c r="P187"/>
  <c r="P139"/>
  <c r="I58" i="104"/>
  <c r="I44"/>
  <c r="O196" i="97"/>
  <c r="P105"/>
  <c r="P18"/>
  <c r="P125"/>
  <c r="P50"/>
  <c r="P147"/>
  <c r="P58"/>
  <c r="P31"/>
  <c r="P153"/>
  <c r="N43"/>
  <c r="N42" s="1"/>
  <c r="H65" i="104"/>
  <c r="I69"/>
  <c r="O42" i="97"/>
  <c r="J55"/>
  <c r="G56" i="104"/>
  <c r="G42" s="1"/>
  <c r="G41" s="1"/>
  <c r="J13" i="97"/>
  <c r="J12" s="1"/>
  <c r="N183"/>
  <c r="H7" i="104"/>
  <c r="H6" s="1"/>
  <c r="I8"/>
  <c r="H56"/>
  <c r="I57"/>
  <c r="E43" i="97"/>
  <c r="E42" s="1"/>
  <c r="P40"/>
  <c r="P62"/>
  <c r="P46"/>
  <c r="J27"/>
  <c r="H52" i="104"/>
  <c r="P54" i="97"/>
  <c r="E12"/>
  <c r="H25" i="104"/>
  <c r="H24" s="1"/>
  <c r="I24" s="1"/>
  <c r="P56" i="97"/>
  <c r="H54" i="104"/>
  <c r="P137" i="97"/>
  <c r="H134" i="104"/>
  <c r="I116"/>
  <c r="G109"/>
  <c r="I35"/>
  <c r="I122"/>
  <c r="H121"/>
  <c r="I9" i="107"/>
  <c r="Q10"/>
  <c r="J75" i="97"/>
  <c r="J74" s="1"/>
  <c r="F144"/>
  <c r="E145"/>
  <c r="P175"/>
  <c r="P174" s="1"/>
  <c r="J174"/>
  <c r="P184"/>
  <c r="P183" s="1"/>
  <c r="J183"/>
  <c r="P135"/>
  <c r="P134" s="1"/>
  <c r="P95"/>
  <c r="E75"/>
  <c r="K42"/>
  <c r="K196"/>
  <c r="P178"/>
  <c r="P177" s="1"/>
  <c r="J177"/>
  <c r="D80" i="105"/>
  <c r="C10"/>
  <c r="E27" i="97"/>
  <c r="I140" i="104" l="1"/>
  <c r="H139"/>
  <c r="P65" i="97"/>
  <c r="P64" s="1"/>
  <c r="P53"/>
  <c r="I52" i="104"/>
  <c r="H51"/>
  <c r="I51" s="1"/>
  <c r="Q196" i="97"/>
  <c r="K263" i="98"/>
  <c r="I139" i="104"/>
  <c r="H72"/>
  <c r="P55" i="97"/>
  <c r="H64" i="104"/>
  <c r="I64" s="1"/>
  <c r="I65"/>
  <c r="N196" i="97"/>
  <c r="J43"/>
  <c r="J42" s="1"/>
  <c r="P13"/>
  <c r="P12" s="1"/>
  <c r="I56" i="104"/>
  <c r="P28" i="97"/>
  <c r="P27" s="1"/>
  <c r="I7" i="104"/>
  <c r="I25"/>
  <c r="I134"/>
  <c r="H130"/>
  <c r="I109"/>
  <c r="G72"/>
  <c r="G71" s="1"/>
  <c r="G183" s="1"/>
  <c r="H53"/>
  <c r="I54"/>
  <c r="I121"/>
  <c r="I14" i="107"/>
  <c r="Q9"/>
  <c r="Q14" s="1"/>
  <c r="E144" i="97"/>
  <c r="P145"/>
  <c r="J165"/>
  <c r="P166"/>
  <c r="P165" s="1"/>
  <c r="D101" i="105"/>
  <c r="C101" s="1"/>
  <c r="C80"/>
  <c r="E74" i="97"/>
  <c r="P75"/>
  <c r="P74" s="1"/>
  <c r="H42" i="104" l="1"/>
  <c r="P43" i="97"/>
  <c r="P42" s="1"/>
  <c r="J196"/>
  <c r="H5" i="104"/>
  <c r="I5" s="1"/>
  <c r="I6"/>
  <c r="P144" i="97"/>
  <c r="I130" i="104"/>
  <c r="H129"/>
  <c r="I129" s="1"/>
  <c r="I53"/>
  <c r="H71"/>
  <c r="I72"/>
  <c r="H41" l="1"/>
  <c r="I41" s="1"/>
  <c r="I42"/>
  <c r="I71"/>
  <c r="H183" l="1"/>
  <c r="I183" s="1"/>
  <c r="E172" i="97"/>
  <c r="F172" l="1"/>
  <c r="P172"/>
  <c r="E171"/>
  <c r="E196"/>
  <c r="P173"/>
  <c r="P196" l="1"/>
  <c r="P203" s="1"/>
  <c r="P171"/>
  <c r="F171"/>
  <c r="F196"/>
  <c r="E205" s="1"/>
</calcChain>
</file>

<file path=xl/sharedStrings.xml><?xml version="1.0" encoding="utf-8"?>
<sst xmlns="http://schemas.openxmlformats.org/spreadsheetml/2006/main" count="2891" uniqueCount="962">
  <si>
    <t>Комплексна програма мобілізації зусиль Хмельницької міської ради та Державної податкової інспекції у м.Хмельницькому Головного управління Державної фіскальної служби у Хмельницькій області по забезпеченню надходжень до бюджетів усіх рівнів на 2016-2020 рр</t>
  </si>
  <si>
    <t>Програма забезпечення охорони прав і свобод людини, профілактики злочинності та підтримання публічної безпеки і порядку на території міста Хмельницького на 2016-2020 роки</t>
  </si>
  <si>
    <t>Програма військово-патріотичного виховання мешканців міста Хмельницького на 2016-2020 роки</t>
  </si>
  <si>
    <t>Програма шефської допомоги військовим частинам Збройних Сил України,  Національної гвардії України, які розташовані на території м.Хмельницького на 2016-2017 роки</t>
  </si>
  <si>
    <t>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у м.Хмельницькому на 2016-2020 роки</t>
  </si>
  <si>
    <t>Проект програми фінансової підтримки комунальної установи Хмельницької міської ради "Агенція розвитку міста" на 2017-2018 роки</t>
  </si>
  <si>
    <t>Проект програми розвитку підприємництва м.Хмельницького на 2017-2018 роки</t>
  </si>
  <si>
    <t>Внески до статутного капіталу  МКП "Хмельницькводоканал" на "Будівництво вуличних мереж водовідведення діам.160 мм по вул.Сковороди від ж.б. №38 до ж.б.№14 в м.Хмельницький" ( 70% від загальної кошторисної вартості проекту)</t>
  </si>
  <si>
    <t>Внески до статутного капіталу  МКП "Хмельницькводоканал"  на "Будівництво вуличних мереж водовідведення ,напірних каналізаційних колекторів, каналізаційно-насосної станції, електропостачання КНС мікрорайону Дубове  у м.Хмельницький"</t>
  </si>
  <si>
    <r>
      <t>Внески до статутного капіталу  МКП "Хмельницькводоканал" на "Будівництво вуличних мереж водопостачання мікрорайону Лезневе</t>
    </r>
    <r>
      <rPr>
        <b/>
        <sz val="11"/>
        <rFont val="Times New Roman"/>
        <family val="1"/>
        <charset val="204"/>
      </rPr>
      <t xml:space="preserve"> у</t>
    </r>
    <r>
      <rPr>
        <sz val="11"/>
        <rFont val="Times New Roman"/>
        <family val="1"/>
        <charset val="204"/>
      </rPr>
      <t xml:space="preserve"> м.Хмельницький"</t>
    </r>
  </si>
  <si>
    <t xml:space="preserve">  Внески до статутного капіталу  МКП "Хмельницькводоканал" на "Будівництво напірних каналізаційних колекторів діаметром 315 мм від колодязів    К1-4, К1-5 до КНС-3 по вул.Прибузькій, 3 у м.Хмельницький"</t>
  </si>
  <si>
    <t>Внески до статутного капіталу КП "Південно-Західні тепломережі"  "Технічне переоснащення водогрійного котла ПТВМ-30М № 2 з заміною пальників і комплексу автоматики в котельні по вул. Курчатова, 8/1Г в м. Хмельницькому"</t>
  </si>
  <si>
    <t>Внески до статутного капіталу МКП "Хмельницьктеплокомуненерго" "Реконструкція теплової мережі по вул. Зарічанській, 18-18/1 від ТК-4.10 до ТК-4.13, м.Хмельницький "</t>
  </si>
  <si>
    <t>Внески до статутного капіталу МКП "Хмельницьктеплокомуненерго" "Реконструкція теплової мережі по вул. Гречка від ТК-2-ТК-6 до котельні, м.Хмельницький "</t>
  </si>
  <si>
    <t>Внески до статутного капіталу МКП "Хмельницьктеплокомуненерго" "Реконструкція теплової мережі по вул. Майборського,13/1 до ТК-17-18.4, м.Хмельницький "</t>
  </si>
  <si>
    <t xml:space="preserve">Внески до статутного капіталу МКП "Хмельницьктеплокомуненерго" "Реконструкціяцентрального теплового пункту по вул.Прибузькій,36 під котельню, м. Хмельницький" </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</si>
  <si>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</si>
  <si>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Керівництво і управління у відповідній сфері у містах, селищах, селах</t>
  </si>
  <si>
    <t>Надання допомоги до досягнення дитиною трирічного віку</t>
  </si>
  <si>
    <t xml:space="preserve"> Надання допомоги по догляду за інвалідом I чи II групи внаслідок психічного розладу</t>
  </si>
  <si>
    <t>Реконструкція каналізаційної насосної станції з мережами водопроводу та каналізації в мікрорайоні Лезнево м.Хмельницький</t>
  </si>
  <si>
    <t>Виготовлення проектно-кошторисної документації на будівництво каналізаційних мереж в мікрорайоні Озерна</t>
  </si>
  <si>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</si>
  <si>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</si>
  <si>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Виготовлення проектно-кошторисної документації на будівництво міні-футбольного поля та двох баскетбольних майданчиків на території стадіону "Локомотив" СКЦ "Плоскирів" по вул. Курчатова,90 у м.Хмельницькому</t>
  </si>
  <si>
    <t>Будівництво на кладовищі Ракове, Шаровечка надгробків на могилах воїнів, загиблих в зоні АТО</t>
  </si>
  <si>
    <t>Будівництво 2-ї черги водогону від с.Чернелівка Красилівського району до м.Хмельницький</t>
  </si>
  <si>
    <t>Реконструкція з надбудовою приміщень навчально-виховного комплексу №10 по вул. Водопровідній, 9А в м.Хмельницькому</t>
  </si>
  <si>
    <t>Реконструкція з добудовою до приміщення середньої загальноосвітньої школи І-ІІІ ступенів №18 ім. В.Чорновола по вул. Кам"янецькій, 119 в м.Хмельницькому</t>
  </si>
  <si>
    <t>Реставрація приміщення кінотеатру ім. Т.Г.Шевченка по вул. Проскурівській, 40</t>
  </si>
  <si>
    <t>Департамент освіти та науки  Хмельницької міської ради (головний розпорядник)</t>
  </si>
  <si>
    <t xml:space="preserve">Внески до статутного капіталу КП "Чайка"(Придбання основних засобів) </t>
  </si>
  <si>
    <t xml:space="preserve">  Внески до статутного капіталу  МКП "Хмельницькводоканал" на "Будівництво напірного каналізаційного колектора діам. 400 мм. від КНС 15 до колодязя в районі автомобільного мосту по вул. Західно-Окружна в м.Хмельницький</t>
  </si>
  <si>
    <t>Виготовлення проектно-кошторисної документації на будівництво дороги по вулиці Лісогринівецькій (від вул. С.Бандери до Старокостянтинівського шосе)</t>
  </si>
  <si>
    <t>Внески до статутного капіталу КП "Південно-Західні тепломережі" "Реконструкція теплової мережі від т."А" до ТК-22 по вул. Проскурівського підпілля, 203, в м. Хмельницькому"</t>
  </si>
  <si>
    <t>Програма забезпечення антитерористичного та протидиверсійного захисту важливих державних об'єктів, місць масового перебування людей, об'єктів критичної та транспортної інфраструктури м. Хмельницького на 2017-2018 роки</t>
  </si>
  <si>
    <t>Внески до статутного капіталу міського комунального аварійно-технічного підприємства (придбання комп'ютерів в комплекті)</t>
  </si>
  <si>
    <t>Внески до статутного капіталу житлово-експлуатаційної контори № 1 (придбання комп'ютерів в комплекті)</t>
  </si>
  <si>
    <t>Внески до статутного капіталу  житлово-експлуатаційної контори № 2 (придбання комп'ютерів в комплекті)</t>
  </si>
  <si>
    <t>Внески до статутного капіталу  житлово-експлуатаційної контори № 3 (придбання комп'ютерів в комплекті)</t>
  </si>
  <si>
    <t>Внески до статутного капіталу  житлово-експлуатаційної контори № 5 (придбання комп'ютерів в комплекті)</t>
  </si>
  <si>
    <t>Внески до статутного капіталу  житлово-експлуатаційної контори № 6 (придбання комп'ютерів в комплекті)</t>
  </si>
  <si>
    <t>Внески до статутного капіталу  житлово-експлуатаційної контори № 7 (придбання комп'ютерів в комплекті)</t>
  </si>
  <si>
    <t>Внески до статутного капіталу МКП ЖКК "Будівельник" (придбання комп'ютерів в комплекті)</t>
  </si>
  <si>
    <t>Комплексна програма профілактики, попередження адміністративних правопорушень та покращення забезпечення громадського правопорядку для жителів міста Хмельницького на 2016-2020 роки</t>
  </si>
  <si>
    <t>Технічне переоснащення системи центрального опалення  Хмельницького міського перинатального центру по вул. Хотовицького, 6 в м. Хмельницькому</t>
  </si>
  <si>
    <t xml:space="preserve"> - в т.ч. лікування міських жителів в закладах не міської комунальної форми власності </t>
  </si>
  <si>
    <t>Всього</t>
  </si>
  <si>
    <t>Всього видатків</t>
  </si>
  <si>
    <t>1</t>
  </si>
  <si>
    <t>2</t>
  </si>
  <si>
    <t>Інші видатки</t>
  </si>
  <si>
    <t>Проведення навчально-тренувальних зборів і змагань та заходів з інвалідного спорту</t>
  </si>
  <si>
    <t>Проведення навчально-тренувальних зборів і змагань з неолімпійських видів спорту</t>
  </si>
  <si>
    <t>0310170</t>
  </si>
  <si>
    <t>4</t>
  </si>
  <si>
    <t>0310180</t>
  </si>
  <si>
    <t>0170</t>
  </si>
  <si>
    <t>0111</t>
  </si>
  <si>
    <t>0317210</t>
  </si>
  <si>
    <t>7210</t>
  </si>
  <si>
    <t>Підтримка засобів масової інформації</t>
  </si>
  <si>
    <t>0317211</t>
  </si>
  <si>
    <t>7211</t>
  </si>
  <si>
    <t>0830</t>
  </si>
  <si>
    <t>Сприяння діяльності телебачення і радіомовлення</t>
  </si>
  <si>
    <t>0317212</t>
  </si>
  <si>
    <t>7212</t>
  </si>
  <si>
    <t>Підтримка періодичних видань (газет та журналів)</t>
  </si>
  <si>
    <t>0316660</t>
  </si>
  <si>
    <t>6660</t>
  </si>
  <si>
    <t>Зв’язок, телекомунікації та інформатика</t>
  </si>
  <si>
    <t>0316662</t>
  </si>
  <si>
    <t>6662</t>
  </si>
  <si>
    <t>0460</t>
  </si>
  <si>
    <t>0318290</t>
  </si>
  <si>
    <t>8290</t>
  </si>
  <si>
    <t>Субвенція на утримання об'єктів спільного користування чи ліквідацію негативних наслідків діяльності об'єктів спільного користування</t>
  </si>
  <si>
    <t>0318600</t>
  </si>
  <si>
    <t>8600</t>
  </si>
  <si>
    <t xml:space="preserve"> Інші видатки</t>
  </si>
  <si>
    <t>0319180</t>
  </si>
  <si>
    <t>9180</t>
  </si>
  <si>
    <t>Цільові фонди, утворені Верховною Радою Автономної Республіки Крим, органами місцевого самоврядування і місцевими органами виконавчої влади</t>
  </si>
  <si>
    <t>Програма впровадження електронного урядування у Хмельницькій  міській раді на 2015-2020 роки</t>
  </si>
  <si>
    <t>1513300</t>
  </si>
  <si>
    <t>3300</t>
  </si>
  <si>
    <t>Інші установи та заклади</t>
  </si>
  <si>
    <t>1513400</t>
  </si>
  <si>
    <t>3400</t>
  </si>
  <si>
    <t xml:space="preserve"> Інші видатки на соціальний захист населення</t>
  </si>
  <si>
    <t>1513180</t>
  </si>
  <si>
    <t>3180</t>
  </si>
  <si>
    <t>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</si>
  <si>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1513181</t>
  </si>
  <si>
    <t>3181</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</si>
  <si>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</si>
  <si>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1513040</t>
  </si>
  <si>
    <t>3040</t>
  </si>
  <si>
    <t>Надання допомоги сім'ям з дітьми, малозабезпеченим  сім’ям, інвалідам з дитинства, дітям-інвалідам та тимчасової допомоги дітям</t>
  </si>
  <si>
    <t>1513010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</si>
  <si>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</si>
  <si>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</si>
  <si>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1513011</t>
  </si>
  <si>
    <t>3011</t>
  </si>
  <si>
    <t xml:space="preserve"> 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t>
  </si>
  <si>
    <t>1513012</t>
  </si>
  <si>
    <t>3012</t>
  </si>
  <si>
    <t>1513013</t>
  </si>
  <si>
    <t>3013</t>
  </si>
  <si>
    <t xml:space="preserve"> 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 </t>
  </si>
  <si>
    <t>1513015</t>
  </si>
  <si>
    <t>3015</t>
  </si>
  <si>
    <t xml:space="preserve">Надання пільг багатодітним сім'ям на житлово-комунальні послуги </t>
  </si>
  <si>
    <t>1513016</t>
  </si>
  <si>
    <t>3016</t>
  </si>
  <si>
    <t>Надання субсидій населенню для відшкодування витрат на оплату житлово-комунальних послуг</t>
  </si>
  <si>
    <t>1513021</t>
  </si>
  <si>
    <t>1513020</t>
  </si>
  <si>
    <t>3020</t>
  </si>
  <si>
    <t>Надання пільг та субсидій населенню на придбання твердого та рідкого пічного побутового палива і скрапленого газу</t>
  </si>
  <si>
    <t>3021</t>
  </si>
  <si>
    <t xml:space="preserve">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t>
  </si>
  <si>
    <t>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</si>
  <si>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1513050</t>
  </si>
  <si>
    <t>3050</t>
  </si>
  <si>
    <t>Пільгове медичне обслуговування осіб, які постраждали внаслідок Чорнобильської катастрофи</t>
  </si>
  <si>
    <t>1513182</t>
  </si>
  <si>
    <t>3182</t>
  </si>
  <si>
    <t>Компенсаційні виплати інвалідам на бензин, ремонт, технічне обслуговування автомобілів, мотоколясок і на транспортне обслуговування</t>
  </si>
  <si>
    <t>1513183</t>
  </si>
  <si>
    <t>3183</t>
  </si>
  <si>
    <t>Встановлення телефонів інвалідам I і II груп</t>
  </si>
  <si>
    <t xml:space="preserve"> Видатки на поховання учасників бойових дій та інвалідів війни</t>
  </si>
  <si>
    <t>1513090</t>
  </si>
  <si>
    <t>3090</t>
  </si>
  <si>
    <t>1513041</t>
  </si>
  <si>
    <t>3041</t>
  </si>
  <si>
    <t>Надання допомоги у зв'язку з вагітністю і пологами</t>
  </si>
  <si>
    <t>1513042</t>
  </si>
  <si>
    <t>3042</t>
  </si>
  <si>
    <t>1513043</t>
  </si>
  <si>
    <t>3043</t>
  </si>
  <si>
    <t>Надання допомоги при народженні дитини</t>
  </si>
  <si>
    <t>1513044</t>
  </si>
  <si>
    <t>3044</t>
  </si>
  <si>
    <t>Надання допомоги на дітей, над якими встановлено опіку чи піклування</t>
  </si>
  <si>
    <t>1513045</t>
  </si>
  <si>
    <t>3045</t>
  </si>
  <si>
    <t>Надання допомоги на дітей одиноким матерям</t>
  </si>
  <si>
    <t>1513046</t>
  </si>
  <si>
    <t>3046</t>
  </si>
  <si>
    <t>Надання тимчасової державної допомоги дітям</t>
  </si>
  <si>
    <t>1513047</t>
  </si>
  <si>
    <t>3047</t>
  </si>
  <si>
    <t xml:space="preserve"> Надання допомоги при усиновленні дитини</t>
  </si>
  <si>
    <t>1513048</t>
  </si>
  <si>
    <t>3048</t>
  </si>
  <si>
    <t>Надання державної соціальної допомоги малозабезпеченим сім'ям</t>
  </si>
  <si>
    <t>1513049</t>
  </si>
  <si>
    <t>3049</t>
  </si>
  <si>
    <t>Надання державної соціальної допомоги інвалідам з дитинства та дітям-інвалідам</t>
  </si>
  <si>
    <t>1513080</t>
  </si>
  <si>
    <t>3080</t>
  </si>
  <si>
    <t>1511060</t>
  </si>
  <si>
    <t>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t>
  </si>
  <si>
    <t>1513030</t>
  </si>
  <si>
    <t>3030</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</si>
  <si>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t>
  </si>
  <si>
    <t xml:space="preserve">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</si>
  <si>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1513031</t>
  </si>
  <si>
    <t>3031</t>
  </si>
  <si>
    <t xml:space="preserve">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t>
  </si>
  <si>
    <t xml:space="preserve">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t>
  </si>
  <si>
    <t>нацистських переслідувань та реабілітованим громадянам, які стали інвалідами внаслідок репресій або є пенсіонерами</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</si>
  <si>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</si>
  <si>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1513033</t>
  </si>
  <si>
    <t>3033</t>
  </si>
  <si>
    <t>1513034</t>
  </si>
  <si>
    <t>3034</t>
  </si>
  <si>
    <t>Надання пільг окремим категоріям громадян з оплати послуг зв'язку</t>
  </si>
  <si>
    <t>1513035</t>
  </si>
  <si>
    <t>3035</t>
  </si>
  <si>
    <t>Компенсаційні виплати на пільговий проїзд автомобільним транспортом окремим категоріям громадян</t>
  </si>
  <si>
    <t>1513037</t>
  </si>
  <si>
    <t>3037</t>
  </si>
  <si>
    <t>Компенсаційні виплати за пільговий проїзд окремих категорій громадян на залізничному транспорті</t>
  </si>
  <si>
    <t>1513038</t>
  </si>
  <si>
    <t>3038</t>
  </si>
  <si>
    <t>7318600</t>
  </si>
  <si>
    <t>Надання субсидій населенню для відшкодування витрат на придбання твердого та рідкого пічного побутового палива і скрапленого газу</t>
  </si>
  <si>
    <t>4716320</t>
  </si>
  <si>
    <t>6320</t>
  </si>
  <si>
    <t>Надання допомоги у вирішенні житлових питань</t>
  </si>
  <si>
    <t>4716324</t>
  </si>
  <si>
    <t>6324</t>
  </si>
  <si>
    <t>Будівництво та придбання житла для окремих категорій населення</t>
  </si>
  <si>
    <t>Програма розвитку міста Хмельницького у сфері культури на період до 2020 року "50 кроків, що змінять місто"</t>
  </si>
  <si>
    <t>Програму бюджетування за участі громадськості (Бюджет участі) міста Хмельницького на 2017-2019</t>
  </si>
  <si>
    <t xml:space="preserve"> Програма “Громадські ініціативи” м.Хмельницького на 2016-2020 роки</t>
  </si>
  <si>
    <t>2414100</t>
  </si>
  <si>
    <t>Програма охорони довкілля міста Хмельницького на 2016-2020 роки</t>
  </si>
  <si>
    <t>Компенсаційні виплати на пільговий проїзд електротранспортом окремим категоріям громадян</t>
  </si>
  <si>
    <t>бюджет розвитку</t>
  </si>
  <si>
    <t>Програма розвитку міського комунального підприємства "Муніципальна телерадіокомпанія "Місто"" на 2016-2017 роки</t>
  </si>
  <si>
    <t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t>
  </si>
  <si>
    <t>Здійснення заходів та реалізація проектів на виконання Державної цільової соціальної програми «Молодь України»</t>
  </si>
  <si>
    <t>Утримання клубів для підлітків за місцем проживання</t>
  </si>
  <si>
    <t>4016054</t>
  </si>
  <si>
    <t>6054</t>
  </si>
  <si>
    <t>Підтримка діяльності підприємств і організацій побутового обслуновування, що належать до комунальної власності</t>
  </si>
  <si>
    <t>Разом</t>
  </si>
  <si>
    <t>Загальний фонд</t>
  </si>
  <si>
    <t>з них</t>
  </si>
  <si>
    <t>Національна програма інформатизації</t>
  </si>
  <si>
    <t xml:space="preserve">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t>
  </si>
  <si>
    <t xml:space="preserve">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</si>
  <si>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Програма міжнародного співробітництва та промоції міста Хмельницького на 2016-2020 роки</t>
  </si>
  <si>
    <t>Програма соціальної підтримки учасників АТО та членів їх сімей на 2016-2017 роки</t>
  </si>
  <si>
    <t>3</t>
  </si>
  <si>
    <t>видатків бюджету міста Хмельницького на 2017 рік</t>
  </si>
  <si>
    <t>комунальні послуги та енергоносії</t>
  </si>
  <si>
    <t>Код програмної класифікації видатків та кредитування місцевих бюджетів</t>
  </si>
  <si>
    <t>0300000</t>
  </si>
  <si>
    <t>Код ТПКВКМБ</t>
  </si>
  <si>
    <t>Код ФКВКБ</t>
  </si>
  <si>
    <t>0310000</t>
  </si>
  <si>
    <t>Програма бюджетування за участі громадськості (Бюджет участі) міста Хмельницького на 2017-2019</t>
  </si>
  <si>
    <t>Реконструкція існуючої будівлі краєзнавчого музею під музейний комплекс історії та культури по вул.Свободи,22 в м.Хмельницькому</t>
  </si>
  <si>
    <t>Назва головного розпорядника, відповідального виконавця, бюджетної програми або напрямку видатків згідно з типовою відомчою/ТПКВКМБ</t>
  </si>
  <si>
    <t>1000000</t>
  </si>
  <si>
    <t>1010000</t>
  </si>
  <si>
    <t>1011010</t>
  </si>
  <si>
    <t>1010</t>
  </si>
  <si>
    <t>0910</t>
  </si>
  <si>
    <t xml:space="preserve"> Дошкільна освіта</t>
  </si>
  <si>
    <t>1011020</t>
  </si>
  <si>
    <t>1020</t>
  </si>
  <si>
    <t>0921</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</si>
  <si>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</si>
  <si>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1011030</t>
  </si>
  <si>
    <t>1030</t>
  </si>
  <si>
    <t>Надання загальної середньої освіти вечiрнiми (змінними) школами</t>
  </si>
  <si>
    <t>1011070</t>
  </si>
  <si>
    <t>1070</t>
  </si>
  <si>
    <t>0922</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</si>
  <si>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</si>
  <si>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1011090</t>
  </si>
  <si>
    <t>1090</t>
  </si>
  <si>
    <t>0960</t>
  </si>
  <si>
    <t>Надання позашкільної освіти позашкільними закладами освіти, заходи із позашкільної роботи з дітьми</t>
  </si>
  <si>
    <t>1011100</t>
  </si>
  <si>
    <t>1100</t>
  </si>
  <si>
    <t>0930</t>
  </si>
  <si>
    <t>1011170</t>
  </si>
  <si>
    <t>1170</t>
  </si>
  <si>
    <t>0990</t>
  </si>
  <si>
    <t>Методичне забезпечення діяльності навчальних закладів та інші заходи в галузі освіти</t>
  </si>
  <si>
    <t>1011190</t>
  </si>
  <si>
    <t>1190</t>
  </si>
  <si>
    <t>Централізоване ведення бухгалтерського обліку</t>
  </si>
  <si>
    <t>1011200</t>
  </si>
  <si>
    <t>1200</t>
  </si>
  <si>
    <t>Здійснення  централізованого господарського обслуговування</t>
  </si>
  <si>
    <t>1011210</t>
  </si>
  <si>
    <t>1210</t>
  </si>
  <si>
    <t>Утримання інших закладів освіти</t>
  </si>
  <si>
    <t>1011230</t>
  </si>
  <si>
    <t>1230</t>
  </si>
  <si>
    <t>Надання допомоги дітям-сиротам та дітям, позбавленим батьківського піклування, яким виповнюється 18 років</t>
  </si>
  <si>
    <t>1513202</t>
  </si>
  <si>
    <t>1513200</t>
  </si>
  <si>
    <t>3200</t>
  </si>
  <si>
    <t>3202</t>
  </si>
  <si>
    <t>Соціальний захист ветеранів війни та праці</t>
  </si>
  <si>
    <t>Надання фінансової підтримки громадським організаціям інвалідів і ветеранів, діяльність яких має соціальну спрямованість</t>
  </si>
  <si>
    <t>1513100</t>
  </si>
  <si>
    <t>3100</t>
  </si>
  <si>
    <t>Надання соціальних та реабілітаційних послуг громадянам похилого віку, інвалідам, дітям-інвалідам в установах соціального обслуговування</t>
  </si>
  <si>
    <t xml:space="preserve">Надання реабілітаційних послуг інвалідам та дітям-інвалідам </t>
  </si>
  <si>
    <t>1513105</t>
  </si>
  <si>
    <t>3105</t>
  </si>
  <si>
    <t>1513104</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</si>
  <si>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</si>
  <si>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</si>
  <si>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Коригування проектно-кошторисної документації "Будівництво- благоустрій парку "Подільський" по Львівському шосе"</t>
  </si>
  <si>
    <t>Управління охорони здоров'я Хмельницької міської ради (головний розпорядник)</t>
  </si>
  <si>
    <t>Управління охорони здоров'я Хмельницької міської ради (відповідальний розпорядник)</t>
  </si>
  <si>
    <t>1400000</t>
  </si>
  <si>
    <t>1410000</t>
  </si>
  <si>
    <t>1412010</t>
  </si>
  <si>
    <t>2010</t>
  </si>
  <si>
    <t>0731</t>
  </si>
  <si>
    <t>Багатопрофільна стаціонарна медична допомога населенню</t>
  </si>
  <si>
    <t>1412050</t>
  </si>
  <si>
    <t>2050</t>
  </si>
  <si>
    <t>0733</t>
  </si>
  <si>
    <t>Лікарсько-акушерська допомога  вагітним, породіллям та новонародженим</t>
  </si>
  <si>
    <t>1412120</t>
  </si>
  <si>
    <t>2120</t>
  </si>
  <si>
    <t>0721</t>
  </si>
  <si>
    <t>Амбулаторно-поліклінічна допомога населенню</t>
  </si>
  <si>
    <t>1412140</t>
  </si>
  <si>
    <t>2140</t>
  </si>
  <si>
    <t>0722</t>
  </si>
  <si>
    <t>Надання стоматологічної допомоги населенню</t>
  </si>
  <si>
    <t>1412180</t>
  </si>
  <si>
    <t>2180</t>
  </si>
  <si>
    <t>0726</t>
  </si>
  <si>
    <t>Первинна медична допомога населенню</t>
  </si>
  <si>
    <t>1412200</t>
  </si>
  <si>
    <t>2200</t>
  </si>
  <si>
    <t>0763</t>
  </si>
  <si>
    <t>Найменування головного розпорядника, відповідального виконавця, бюджетної програми або напряму видатків
згідно з типовою відомчою/ТПКВКМБ /
ТКВКБМС</t>
  </si>
  <si>
    <t xml:space="preserve">Відсоток завершеності  будівництва об'єктів на майбутні роки </t>
  </si>
  <si>
    <t xml:space="preserve"> Всього видатків на завершення будівництва об’єктів на майбутні роки </t>
  </si>
  <si>
    <t xml:space="preserve">Разом видатків на поточний рік </t>
  </si>
  <si>
    <t xml:space="preserve">Всього </t>
  </si>
  <si>
    <t>Перелік об’єктів, видатки на які у 2017  році будуть проводитися за рахунок коштів бюджету розвитку</t>
  </si>
  <si>
    <t>Код ТПКВКМБ /
ТКВКБМС</t>
  </si>
  <si>
    <t>Разом загальний та спеціальний фонди</t>
  </si>
  <si>
    <t>Найменування місцевої (регіональної) програми</t>
  </si>
  <si>
    <r>
      <t>Перелік місцевих програм, які фінансуватимуться за рахунок коштів
бюджету міста Хмельницького  у 2017 році</t>
    </r>
    <r>
      <rPr>
        <b/>
        <sz val="18"/>
        <rFont val="Times New Roman"/>
        <family val="1"/>
        <charset val="204"/>
      </rPr>
      <t xml:space="preserve">
</t>
    </r>
  </si>
  <si>
    <t>1110000</t>
  </si>
  <si>
    <t>Виконавчий комітет Хмельницької міської ради Хмельницької області (головний розпорядник)</t>
  </si>
  <si>
    <t>1100000</t>
  </si>
  <si>
    <t>Управління молоді та спорту Хмельницької міської ради (головний розпорядник)</t>
  </si>
  <si>
    <t>Управління житлово-комунального господарства Хмельницької міської ради (головний розпорядник)</t>
  </si>
  <si>
    <t>4000000</t>
  </si>
  <si>
    <t>4010000</t>
  </si>
  <si>
    <t>Управління культури і туризму Хмельницької міської ради (головний розпорядник)</t>
  </si>
  <si>
    <t>1500000</t>
  </si>
  <si>
    <t>1510000</t>
  </si>
  <si>
    <t>4700000</t>
  </si>
  <si>
    <t>4710000</t>
  </si>
  <si>
    <t>Управління капітального будівництва департаменту архітектури, містобудування та земельних ресурсів Хмельницької міської ради (головний розпорядник)</t>
  </si>
  <si>
    <t>Управління земельних ресурсів та земельної реформи департаменту архітектури, містобудування та земельних ресурсів Хмельницької міської ради (головний розпорядник)</t>
  </si>
  <si>
    <t>Управління земельних ресурсів та земельної реформи департаменту архітектури, містобудування та земельних ресурсів Хмельницької міської ради (відповідальний розпорядник)</t>
  </si>
  <si>
    <t>Управління архітектури та містобудування департаменту архітектури, містобудування та земельних ресурсів (головний розпорядник)</t>
  </si>
  <si>
    <t>4800000</t>
  </si>
  <si>
    <t>4810000</t>
  </si>
  <si>
    <t>5600000</t>
  </si>
  <si>
    <t>5610000</t>
  </si>
  <si>
    <t xml:space="preserve">Управління з питань екології та контролю за благоустроєм міста (головний розпорядник) </t>
  </si>
  <si>
    <t xml:space="preserve">Управління з питань екології та контролю за благоустроєм міста (відповідальний розпорядник) </t>
  </si>
  <si>
    <t>6000000</t>
  </si>
  <si>
    <t>6010000</t>
  </si>
  <si>
    <t>Управління економіки (головний розпорядник)</t>
  </si>
  <si>
    <t>7300000</t>
  </si>
  <si>
    <t>73100000</t>
  </si>
  <si>
    <t>Фінансове управління Хмельницької міської ради (головний розпорядник)</t>
  </si>
  <si>
    <t>7600000</t>
  </si>
  <si>
    <t>76100000</t>
  </si>
  <si>
    <t>Управління капітального будівництва департаменту архітектури, містобудування та земельних ресурсів Хмельницької міської ради  (відповідальний виконавець)</t>
  </si>
  <si>
    <t>Виконавчий комітет Хмельницької міської ради Хмельницької області (відповідальний виконавець)</t>
  </si>
  <si>
    <t>Виготовлення проектно-кошторисної документації на будівництво приміщення  відділення тимчасового перебування Хмельницького міського територіального центру соціального обслуговування (надання соціальних послуг) по вул.Перемоги 7а.</t>
  </si>
  <si>
    <t>Програма підтримки обдарованих дітей міста</t>
  </si>
  <si>
    <t>Реалізація державної політики у молодіжній сфері</t>
  </si>
  <si>
    <t>1113141</t>
  </si>
  <si>
    <t>3141</t>
  </si>
  <si>
    <t>Соціальні програми і заходи державних органів у справах молоді</t>
  </si>
  <si>
    <t>Утримання клубів підлітків за місцем проживання</t>
  </si>
  <si>
    <t>1113142</t>
  </si>
  <si>
    <t>3142</t>
  </si>
  <si>
    <t>1115031</t>
  </si>
  <si>
    <t>1115030</t>
  </si>
  <si>
    <t>5030</t>
  </si>
  <si>
    <t>Розвиток дитячо-юнацького та резервного спорту</t>
  </si>
  <si>
    <t>5031</t>
  </si>
  <si>
    <t>1115032</t>
  </si>
  <si>
    <t>5032</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</si>
  <si>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</si>
  <si>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</si>
  <si>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</si>
  <si>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</si>
  <si>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</si>
  <si>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</si>
  <si>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</si>
  <si>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Підготовка робітничих кадрів професійно-технічними закладами та іншими закладами освіти</t>
  </si>
  <si>
    <t>які стали інвалідами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</si>
  <si>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Розробка схем та проектних рішень масового застосування</t>
  </si>
  <si>
    <t>4816430</t>
  </si>
  <si>
    <t>6430</t>
  </si>
  <si>
    <t>0443</t>
  </si>
  <si>
    <t>План червоних ліній магістральних вулиць м.Хмельницький</t>
  </si>
  <si>
    <t>Детальний план території "Заріччя"</t>
  </si>
  <si>
    <t>Детальний план території  центральної частини міста Хмельницький</t>
  </si>
  <si>
    <t>Коригування (внесення змін) генерального плану</t>
  </si>
  <si>
    <t>5617310</t>
  </si>
  <si>
    <t>7310</t>
  </si>
  <si>
    <t>0421</t>
  </si>
  <si>
    <t>Проведення заходів із землеустрою</t>
  </si>
  <si>
    <t>Інженерно-геодезичні вишукування та проекти планування  територій</t>
  </si>
  <si>
    <t>Проведення інформаційних заходів з організації проведення аукціонів</t>
  </si>
  <si>
    <t>Виготовлення актів добору земельної ділянки, яка, або право на яку виставляються на земельні торги</t>
  </si>
  <si>
    <t>Проведення експертної грошової оцінки земельних ділянок несільськогосподарського призначення</t>
  </si>
  <si>
    <t>Виготовлення документації із землеустрою</t>
  </si>
  <si>
    <t>Розроблення проекту землеустрою щодо встановлення меж міста Хмельницького</t>
  </si>
  <si>
    <t xml:space="preserve">Реалізація заходів щодо інвестиційного розвитку території                                                         </t>
  </si>
  <si>
    <t>4716310</t>
  </si>
  <si>
    <t>6310</t>
  </si>
  <si>
    <t>0490</t>
  </si>
  <si>
    <t>4717470</t>
  </si>
  <si>
    <t>7470</t>
  </si>
  <si>
    <t>Внески до статутного капіталу суб’єктів господарювання</t>
  </si>
  <si>
    <t>Капітальний ремонт будівлі лазні №1 по вул. Івана Франка, 28</t>
  </si>
  <si>
    <t>Реконструкція дошкільного навчального закладу №3 з добудовою приміщень на 4 групи на пров.Жукова, 5</t>
  </si>
  <si>
    <t>Реконструкція котельні зі встановленням двох  додаткових котлів та допоміжного обладнання на вул. Ричко,1</t>
  </si>
  <si>
    <t>Реконструкція недобудованого плавального басейну школи № 20 під дитячий дошкільний заклад на 6 груп по вул.Ричка, 1</t>
  </si>
  <si>
    <t>Будівництво самопливного і напірного колекторів та каналізаційної насосної станції продуктивністю 1500 куб.м/добу на житловому масиві "Лезнево 1,2"</t>
  </si>
  <si>
    <t>Будівництво зовнішніх мереж електропостачання  дитячого дошкільного закладу на 6 груп на вул. Ричко,1</t>
  </si>
  <si>
    <t>Будівництво навчально-виховного комплексу на вул. Залізняка, 32</t>
  </si>
  <si>
    <t>Виконавчий комітет Хмельницької міської ради Хмельницької області  (відповідальний виконавець)</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</si>
  <si>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</si>
  <si>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</si>
  <si>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</si>
  <si>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</si>
  <si>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</si>
  <si>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Управління житлово-комунального господарства Хмельницької міської ради (відповідальний виконавець)</t>
  </si>
  <si>
    <t>Управління капітального будівництва департаменту архітектури, містобудування та земельних ресурсів Хмельницької міської ради (відповідальний виконавець)</t>
  </si>
  <si>
    <t>Управління архітектури та містобудування департаменту архітектури, містобудування та земельних ресурсів (відповідальний виконавець)</t>
  </si>
  <si>
    <t xml:space="preserve">Управління з питань екології та контролю за благоустроєм міста (відповідальний виконавець) </t>
  </si>
  <si>
    <t>Управління економіки (відповідальний виконавець)</t>
  </si>
  <si>
    <t>Фінансове управління Хмельницької міської ради (відповідальний виконавець)</t>
  </si>
  <si>
    <t>Будівництво дошкільного навчального закладу на 120 місць по провулку Шостаковича, 28-А</t>
  </si>
  <si>
    <t>Будівництво (спорудження) пам’ятника "Небесної сотні" на розі вулиць Соборної та Героїв Майдану перед будівлею Федерації профспілок Хмельницької області</t>
  </si>
  <si>
    <t>Виготовлення проектно-кошторисної документації на будівництво мереж водопостачання мікрорайону Лезнево 1,2</t>
  </si>
  <si>
    <t>Виготовлення проектно-кошторисної документації на будівництво автомобільних доріг в продовження вулиці Гагаріна та провулку Гагаріна</t>
  </si>
  <si>
    <t xml:space="preserve">Виготовлення проектно-кошторисної документації  на будівництво переходу через залізницю в продовження Старокостянтинівського шосе </t>
  </si>
  <si>
    <t>Будівництво зовнішніх мереж електропостачання дошкільного навчального закладу №3 на пров.Жукова, 5</t>
  </si>
  <si>
    <t>4016010</t>
  </si>
  <si>
    <t>6010</t>
  </si>
  <si>
    <t>0610</t>
  </si>
  <si>
    <t>Забезпечення надійного та безперебійного функціонування житлово-експлуатаційного господарства</t>
  </si>
  <si>
    <t>4016030</t>
  </si>
  <si>
    <t>6030</t>
  </si>
  <si>
    <t>Фінансова підтримка об’єктів житлово-комунального господарства</t>
  </si>
  <si>
    <t>4016052</t>
  </si>
  <si>
    <t>6052</t>
  </si>
  <si>
    <t>0620</t>
  </si>
  <si>
    <t>4016050</t>
  </si>
  <si>
    <t>6050</t>
  </si>
  <si>
    <t>Фінансова підтримка об’єктів комунального господарства</t>
  </si>
  <si>
    <t xml:space="preserve"> Забезпечення функціонування водопровідно-каналізаційного господарства</t>
  </si>
  <si>
    <t>4016060</t>
  </si>
  <si>
    <t>6060</t>
  </si>
  <si>
    <t>Благоустрій міст, сіл, селищ</t>
  </si>
  <si>
    <t>4016640</t>
  </si>
  <si>
    <t>6640</t>
  </si>
  <si>
    <t>0455</t>
  </si>
  <si>
    <t xml:space="preserve"> Інші заходи у сфері електротранспорту</t>
  </si>
  <si>
    <t>4016650</t>
  </si>
  <si>
    <t>6650</t>
  </si>
  <si>
    <t>0456</t>
  </si>
  <si>
    <t>Утримання та розвиток інфраструктури доріг</t>
  </si>
  <si>
    <t>4017410</t>
  </si>
  <si>
    <t>7410</t>
  </si>
  <si>
    <t>0470</t>
  </si>
  <si>
    <t>Заходи з енергозбереження</t>
  </si>
  <si>
    <t>4017840</t>
  </si>
  <si>
    <t>7840</t>
  </si>
  <si>
    <t>0320</t>
  </si>
  <si>
    <t>Організація рятування на водах</t>
  </si>
  <si>
    <t>Резервний фонд</t>
  </si>
  <si>
    <t xml:space="preserve"> Реверсна дотація</t>
  </si>
  <si>
    <t>0133</t>
  </si>
  <si>
    <t>0180</t>
  </si>
  <si>
    <t>2414060</t>
  </si>
  <si>
    <t>4060</t>
  </si>
  <si>
    <t>0824</t>
  </si>
  <si>
    <t xml:space="preserve"> Бібліотеки</t>
  </si>
  <si>
    <t>2414070</t>
  </si>
  <si>
    <t>4070</t>
  </si>
  <si>
    <t xml:space="preserve"> Музеї і виставки</t>
  </si>
  <si>
    <t>2414090</t>
  </si>
  <si>
    <t>4090</t>
  </si>
  <si>
    <t>0828</t>
  </si>
  <si>
    <t>Палаци i будинки культури, клуби та iншi заклади клубного типу</t>
  </si>
  <si>
    <t>Школи естетичного виховання дiтей</t>
  </si>
  <si>
    <t>2414200</t>
  </si>
  <si>
    <t>4200</t>
  </si>
  <si>
    <t>0829</t>
  </si>
  <si>
    <t>Iншi культурно-освiтнi заклади та заходи</t>
  </si>
  <si>
    <t>2414020</t>
  </si>
  <si>
    <t>4020</t>
  </si>
  <si>
    <t>0821</t>
  </si>
  <si>
    <t>Театри</t>
  </si>
  <si>
    <t>4100</t>
  </si>
  <si>
    <t>Реконструкція приміщення дитячої музичної школи №3 з добудовою 3-го поверху по вул.Кармелюка, 8/1 в м.Хмельницькому</t>
  </si>
  <si>
    <t>1113131</t>
  </si>
  <si>
    <t>3131</t>
  </si>
  <si>
    <t>1113130</t>
  </si>
  <si>
    <t>3130</t>
  </si>
  <si>
    <t>Здійснення соціальної роботи з вразливими категоріями населення</t>
  </si>
  <si>
    <t>1040</t>
  </si>
  <si>
    <t>Центри соціальних служб для сім'ї, дітей та молоді</t>
  </si>
  <si>
    <t>1113140</t>
  </si>
  <si>
    <t>3140</t>
  </si>
  <si>
    <t>1113500</t>
  </si>
  <si>
    <t>3500</t>
  </si>
  <si>
    <t>1115010</t>
  </si>
  <si>
    <t>5010</t>
  </si>
  <si>
    <t>Проведення спортивної роботи в регіоні</t>
  </si>
  <si>
    <t>1115011</t>
  </si>
  <si>
    <t>Проведення навчально-тренувальних зборів і змагань з олімпійських видів спорту</t>
  </si>
  <si>
    <t>5011</t>
  </si>
  <si>
    <t>0810</t>
  </si>
  <si>
    <t>1115012</t>
  </si>
  <si>
    <t>5012</t>
  </si>
  <si>
    <t>Виготовлення науково-проектної документації на реставраційні роботи приміщення дитячої музичної школи №1 ім. М. Мозгового по вул. Проскурівській, 18 в м.Хмельницькому</t>
  </si>
  <si>
    <t>1115020</t>
  </si>
  <si>
    <t>5020</t>
  </si>
  <si>
    <t>1115022</t>
  </si>
  <si>
    <t>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</si>
  <si>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</si>
  <si>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</si>
  <si>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Здійснення фізкультурно-спортивної та реабілітаційної роботи серед інвалідів</t>
  </si>
  <si>
    <t>1115060</t>
  </si>
  <si>
    <t>5060</t>
  </si>
  <si>
    <t>Будівництво 2-х міні-футбольних майданчиків ДЮСШ №1 по вул. Спортивній, 17 в м.Хмельницькому</t>
  </si>
  <si>
    <t>8100</t>
  </si>
  <si>
    <t>Надання та повернення пільгового довгострокового кредиту на будівництво (реконструкцію) та придбання житла</t>
  </si>
  <si>
    <t>1060</t>
  </si>
  <si>
    <t>1118100</t>
  </si>
  <si>
    <t>1118103</t>
  </si>
  <si>
    <t>8103</t>
  </si>
  <si>
    <t>4016020</t>
  </si>
  <si>
    <t>6020</t>
  </si>
  <si>
    <t>Капітальний ремонт об’єктів житлового господарства</t>
  </si>
  <si>
    <t>4016021</t>
  </si>
  <si>
    <t>6021</t>
  </si>
  <si>
    <t>Капітальний ремонт житлового фонду, в т.ч.:</t>
  </si>
  <si>
    <t xml:space="preserve"> - капітальний ремонт спортивних і дитячих майданчиків</t>
  </si>
  <si>
    <t xml:space="preserve"> - капітальний ремонт благоустрою прибудинкових територій</t>
  </si>
  <si>
    <t>4016310</t>
  </si>
  <si>
    <t xml:space="preserve">Реалізація заходів щодо інвестиційного розвитку території  </t>
  </si>
  <si>
    <t>4017470</t>
  </si>
  <si>
    <t>Будівництво громадського туалету в парку ім. І. Франка</t>
  </si>
  <si>
    <t>Будівництво мереж зовнішнього освітлення на кладовищі в мікрорайоні Ракове</t>
  </si>
  <si>
    <t>Внески до статутного капіталу КП "Хмельницькбудзамовник" (Придбання катка R-3,5 або еквівалент)</t>
  </si>
  <si>
    <t>Внески до статутного капіталу КП "Хмельницькбудзамовник" (Придбання обладнання ДЕМ-121 (фреза дорожня) або еквівалент)</t>
  </si>
  <si>
    <t>Внески до статутного капіталу КП "Хмельницькбудзамовник" (Придбання бензоріза)</t>
  </si>
  <si>
    <t>Внески до статутного капіталу КП "Хмельницькбудзамовник" (Придбання відбійного молотка)</t>
  </si>
  <si>
    <t>Всього, в т.ч.:</t>
  </si>
  <si>
    <t>6019110</t>
  </si>
  <si>
    <t>9110</t>
  </si>
  <si>
    <t>0511</t>
  </si>
  <si>
    <t>Охорона та раціональне використання природних ресурсів</t>
  </si>
  <si>
    <t>6019120</t>
  </si>
  <si>
    <t>9120</t>
  </si>
  <si>
    <t>0512</t>
  </si>
  <si>
    <t>6019140</t>
  </si>
  <si>
    <t>9140</t>
  </si>
  <si>
    <t>0540</t>
  </si>
  <si>
    <t>6019150</t>
  </si>
  <si>
    <t>9150</t>
  </si>
  <si>
    <t>0520</t>
  </si>
  <si>
    <t>Управління капітального будівництва департаменту архітектури, містобудування та земельних ресурсів Хмельницької міської ради (відповідальний виконавенць)</t>
  </si>
  <si>
    <t>Управління земельних ресурсів та земельної реформи департаменту архітектури, містобудування та земельних ресурсів Хмельницької міської ради (відповідальний виконавець)</t>
  </si>
  <si>
    <t>Спеціальний фонд</t>
  </si>
  <si>
    <t>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ветеранам</t>
  </si>
  <si>
    <t>видатки споживання</t>
  </si>
  <si>
    <t>оплата праці</t>
  </si>
  <si>
    <t>видатки розвитку</t>
  </si>
  <si>
    <t>Розподіл</t>
  </si>
  <si>
    <t>Додаток №3</t>
  </si>
  <si>
    <t>Надання пільгового довгострокового кредиту громадянам на будівництво (реконструкцію) та придбання житла</t>
  </si>
  <si>
    <t>Утилізація відходів </t>
  </si>
  <si>
    <t>Інша діяльність у сфері охорони навколишнього природного середовища</t>
  </si>
  <si>
    <t>Збереження природно-заповідного фонду</t>
  </si>
  <si>
    <t xml:space="preserve">Програма розвитку міського електротранспорту м. Хмельницького на 2016-2020 роки. </t>
  </si>
  <si>
    <t xml:space="preserve"> Програма енергоефективності, енергозбереження та термомодернізації багатоквартирних житлових будинків м.Хмельницького  на 2016-20120 роки. Програма часткового відшкодування відсоткових ставок за залученими кредитами на заходи з підвищення енергоефективності на 2015-2017 роки.</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</si>
  <si>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 (в т.ч. на виготовлення проектно-кошторисної документації)</t>
  </si>
  <si>
    <t>Будівництво житлового будинку для учасників АТО по пр.Миру,102/4 В ( в тому числі виготовлення проектно- кошторисної документації)</t>
  </si>
  <si>
    <t>Назва об’єктів відповідно  до проектно- кошторисної документації тощо</t>
  </si>
  <si>
    <t xml:space="preserve">Загальний обсяг фінансування будівництва </t>
  </si>
  <si>
    <t>Капітальні видатки</t>
  </si>
  <si>
    <t>Служби технічного нагляду за будівництвом та капітальним ремонтом, централізовані бухгалтерії, групи централізованого господарського обслуговування</t>
  </si>
  <si>
    <t>грн.</t>
  </si>
  <si>
    <t>Виготовлення проектно-кошторисної документації на будівництво (влаштування) двох футбольних полів та спортивного комплексу Хмельницької ДЮСШ №1 на вул. Зарічанській,11/5</t>
  </si>
  <si>
    <t xml:space="preserve">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t>
  </si>
  <si>
    <t xml:space="preserve">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t>
  </si>
  <si>
    <t>Реконструкція існуючих теплових мереж із встановленням індивідуального теплового пункту в ДНЗ №20, вул. Шевченка, 29</t>
  </si>
  <si>
    <t>Реконструкція існуючих теплових мереж із встановленням індивідуального теплового пункту в ДНЗ №56, вул. П.Мирного, 21/2</t>
  </si>
  <si>
    <t>Реконструкція існуючих теплових мереж із встановленням індивідуального теплового пункту в ДНЗ №48, вул. Чкалова, 18/1</t>
  </si>
  <si>
    <t>Реконструкція існуючих теплових мереж із встановленням індивідуального теплового пункту в ДНЗ №53, вул.Вайсера, 68</t>
  </si>
  <si>
    <t xml:space="preserve">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t>
  </si>
  <si>
    <t xml:space="preserve">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t>
  </si>
  <si>
    <t xml:space="preserve">Реконструкція покрівель житлових будинків </t>
  </si>
  <si>
    <t>Програма діяльності газети "Проскурів" у період реформування державних і комунальних засобів масової інформації на 2017-2018 роки</t>
  </si>
  <si>
    <t>Програма розвитку освіти міста Хмельницького на 2017-2021 роки</t>
  </si>
  <si>
    <t>Програма реалізації молодіжної політики та розвитку фізичої культури і спорту у м.Хмельницькому на 2017 - 2021 роки</t>
  </si>
  <si>
    <t>Програма «Здоров’я хмельничан» на 2017-2021 роки</t>
  </si>
  <si>
    <t>Комплексна програма «Піклування» в м.Хмельницькому на 2017 - 2021 роки</t>
  </si>
  <si>
    <t>Комплексна  програма «Піклування» в м.Хмельницькому на 2017 - 2021 роки</t>
  </si>
  <si>
    <t>Комплексна програма «Піклування» в м Хмельницькому на 2017 - 2021 роки</t>
  </si>
  <si>
    <t>Програма утримання та розвитку житлово-комунального господарства м.Хмельницького на 2017-2020 роки</t>
  </si>
  <si>
    <t>Програма економічного та соціального розвитку міста Хмельницького на 2017 рік</t>
  </si>
  <si>
    <t>Виготовлення проектно-кошторисної документації на будівництво автодорожнього тунелю під залізничними коліями на перегоні Хмельницький-Гречани ПК-12256+71.00</t>
  </si>
  <si>
    <t>Передпроектні роботи з реконструкції  нежитлових приміщень колишнього літнього табору відпочинку в с. Давидківці Хмельницького району</t>
  </si>
  <si>
    <t>Виготовлення проектно-кошторисної документації для будівництва спеціалізованого залу боксу на території спортивного комплексу "Поділля"  ДЮСШ № 1 по вул. Проскурівській, 81 в м.Хмельницькому</t>
  </si>
  <si>
    <t>Програма утримання та розвитку житлово-комунального господарства м.Хмельницького на 2017-2020 роки. Програма економічного та соціального розвитку міста Хмельницького на 2017 рік</t>
  </si>
  <si>
    <t xml:space="preserve">   </t>
  </si>
  <si>
    <t>Внески до статутного капіталу комунального підприємства по будівництву, ремонту та експлуатації доріг (Придбання вакумно-підмітальної машини )</t>
  </si>
  <si>
    <t>Внески до статутного капіталу комунального підприємства по будівництву, ремонту та експлуатації доріг (Придбання вантажного  фургону )</t>
  </si>
  <si>
    <t>Внески до статутного капіталу комунального підприємства по будівництву, ремонту та експлуатації доріг (Придбання машини для дорожньої розмітки )</t>
  </si>
  <si>
    <t>Внески до статутного капіталу комунального підприємства по будівництву, ремонту та експлуатації доріг (Придбання автопідіймача )</t>
  </si>
  <si>
    <t>Внески до статутного капіталу комунального підприємства по будівництву, ремонту та експлуатації доріг (Придбання машини дорожньої комбінованої зі змінним устаткуванням на базі самоскида МАЗ-5550 або еквівалент )</t>
  </si>
  <si>
    <t>Внески до статутного капіталу комунального підприємства по будівництву, ремонту та експлуатації доріг (Придбання автогрейдеру )</t>
  </si>
  <si>
    <t>Внески до статутного капіталу комунального підприємства по будівництву, ремонту та експлуатації доріг (Придбання установки для приготування соляного розчину)</t>
  </si>
  <si>
    <t>Внески до статутного капіталу СКП "Хмельницька міська ритуальна служба" (Придбання деревообробного станка )</t>
  </si>
  <si>
    <t>Внески до статутного капіталу КП по зеленому будівництву і благоустрою міста  (Придбання машини  поливо-мийної )</t>
  </si>
  <si>
    <t>Внески до статутного капіталу КП по зеленому будівництву і благоустрою міста (Придбання висоторізів )</t>
  </si>
  <si>
    <t>Внески до статутного капіталу КП по зеленому будівництву і благоустрою міста (Придбання бензопил)</t>
  </si>
  <si>
    <t>Внески до статутного капіталу КП "Парки і сквери міста Хмельницького" (Придбання кущорізів)</t>
  </si>
  <si>
    <t>Внески до статутного капіталу КП "Парки і сквери міста Хмельницького (Придбання туалетної кабіни для інвалідів )</t>
  </si>
  <si>
    <t xml:space="preserve">Внески до статутного капіталу ХКП "Спецкомунтранс" (Придбання сміттєвоза) </t>
  </si>
  <si>
    <t xml:space="preserve">Внески до статутного капіталу ХКП "Спецкомунтранс" (Придбання сміттєвоза з функцією мийки контейнерів) </t>
  </si>
  <si>
    <t>Внески до статутного капіталуМКП "Хмельницьктеплокомуненерго" (Реконструкція теплової мережі по Проспекту Миру, 76/5 від ТК-35 до ТК-33, м.Хмельницький )</t>
  </si>
  <si>
    <t xml:space="preserve">Внески до статутного капіталу МКП "Хмельницьктеплокомуненерго" (Реконструкція котельні по вул.Трембовецької,51/1 із встановленням додаткових котлів, м.Хмельницький) </t>
  </si>
  <si>
    <t>Внески до статутного капіталу КП "Електротранс" (Придбання тролейбусів)</t>
  </si>
  <si>
    <t>0318370</t>
  </si>
  <si>
    <t>8370</t>
  </si>
  <si>
    <t>Субвенція з місцевого бюджету державному бюджету на виконання програм соціально-економічного та культурного розвитку регіонів</t>
  </si>
  <si>
    <t>1117470</t>
  </si>
  <si>
    <t>1118108</t>
  </si>
  <si>
    <t>8108</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</si>
  <si>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</si>
  <si>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8800</t>
  </si>
  <si>
    <t>Інші субвенції</t>
  </si>
  <si>
    <t>Будівництво огорожі футбольного поля стадіону "Локомотив" СКЦ "Плоскирів" по вул.Курчатова,90 у м.Хмельницькому</t>
  </si>
  <si>
    <t>1017410</t>
  </si>
  <si>
    <t>7318800</t>
  </si>
  <si>
    <t>Виготовлення проектно-кошторисної документації на будівництво вулиці між вулицями Свободи та Старокостянтинівським шосе</t>
  </si>
  <si>
    <t>Проведення експертизи робочого проекту по об'єкту "Реставрація приміщення Хмельницького міського будинку культури по вул. Проскурівській, 43 в м.Хмельницькому"</t>
  </si>
  <si>
    <t>Виготовлення проектно-кошторисної документації на будівництво дороги по вул. Мельникова (від вул. Зарічанської до вул. Трудової)</t>
  </si>
  <si>
    <t>Виготовлення проектно-кошторисної документації на будівництво дороги від вул. Степана Бандери до вулиці Західно-Окружної в м. Хмельницькому</t>
  </si>
  <si>
    <t>Винесення меж прибережної захисної смуги</t>
  </si>
  <si>
    <t>Виготовлення ортофотопланів масштабу 1:1000 у цифровому вигляді системи координат (УСК 2000 та СК 1963) та на паперовому носії в системі координат СК 1963</t>
  </si>
  <si>
    <t>Програма реалізації молодіжної політики та розвитку фізичної культури і спорту у м.Хмельницькому на 2017 - 2021 роки</t>
  </si>
  <si>
    <t>Реконструкція самопливного каналізаційного колектора діаметром 800 мм від колодязя №554а до КНС-2 по вул. Паркова, 64 у м. Хмельницькому</t>
  </si>
  <si>
    <t>Реконструкція приміщень НВО №1 по вул. Старокостянтинівське шосе, 3Б в м.Хмельницькому (в тому числі коригування проектно-кошторисної документації)</t>
  </si>
  <si>
    <t>Додаток 1</t>
  </si>
  <si>
    <t>Доходи  бюджету м. Хмельницького на 2017 рік</t>
  </si>
  <si>
    <t>( грн.)</t>
  </si>
  <si>
    <t>Код</t>
  </si>
  <si>
    <t>Найменування згідно
 з класифікацією доходів бюджету</t>
  </si>
  <si>
    <t>в т.ч. бюджет розвитку</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</si>
  <si>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</si>
  <si>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</si>
  <si>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</si>
  <si>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</si>
  <si>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</si>
  <si>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</si>
  <si>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</si>
  <si>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доходи фізичних осіб із суми пенсійних виплат або щомісячного довічного грошового утримання, що оподатковуються відповідно до підпункту 164.2.19 пункту 164.2 статті 164 Податкового кодексу</t>
  </si>
  <si>
    <t>Податок на прибуток підприємств</t>
  </si>
  <si>
    <t xml:space="preserve"> Податок на прибуток підприємств та фінансових установ комунальної власності </t>
  </si>
  <si>
    <t xml:space="preserve">Акцизний податок з реалізації суб"єктами господарювання роздрібної торгівлі підакцизних товарів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</si>
  <si>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</si>
  <si>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</si>
  <si>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</si>
  <si>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</si>
  <si>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</si>
  <si>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</si>
  <si>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</si>
  <si>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</si>
  <si>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</si>
  <si>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</si>
  <si>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</si>
  <si>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</si>
  <si>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</si>
  <si>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</si>
  <si>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</si>
  <si>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</si>
  <si>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 xml:space="preserve">Єдиний податок  з юридичних осіб
</t>
  </si>
  <si>
    <t>Єдиний податок  з фізичних осіб</t>
  </si>
  <si>
    <t xml:space="preserve">Екологічний податок </t>
  </si>
  <si>
    <t xml:space="preserve">Надходження  від викидів забруднюючих речовин в атмосферне повітря стаціонарними джерелами забруднення </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</si>
  <si>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</si>
  <si>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</si>
  <si>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Неподаткові надходження</t>
  </si>
  <si>
    <t>Частина чистого прибутку (доходу)  комунальних унітарних підприємств та їх об"єднань, що вилучається до відповідного місцевого бюджету</t>
  </si>
  <si>
    <t xml:space="preserve">Плата за розміщення тимчасово вільних коштів </t>
  </si>
  <si>
    <t xml:space="preserve">Надходження від штрафів та фінансових санкцій </t>
  </si>
  <si>
    <t>Адміністративні штрафи та інші санкції</t>
  </si>
  <si>
    <t>Адміністративні штрафи та штрафні санкції за порушення законодавства у сфері виробництва та обігу алкогольних напоїв та тютюнових виробів</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</si>
  <si>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</si>
  <si>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</si>
  <si>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</si>
  <si>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</si>
  <si>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</si>
  <si>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</si>
  <si>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 </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</si>
  <si>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</si>
  <si>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</si>
  <si>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</si>
  <si>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</si>
  <si>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</si>
  <si>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</si>
  <si>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</si>
  <si>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</si>
  <si>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</si>
  <si>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</si>
  <si>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r>
      <t>Інші джерела власних надходжень бюджетних установ</t>
    </r>
    <r>
      <rPr>
        <sz val="12"/>
        <rFont val="Times New Roman"/>
        <family val="1"/>
        <charset val="204"/>
      </rPr>
      <t xml:space="preserve">  </t>
    </r>
  </si>
  <si>
    <t xml:space="preserve">Благодійні внески, гранти та дарунки </t>
  </si>
  <si>
    <t xml:space="preserve">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</si>
  <si>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</si>
  <si>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</si>
  <si>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</si>
  <si>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</si>
  <si>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</si>
  <si>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</si>
  <si>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 xml:space="preserve">Кошти від продажу земельних ділянок  несільськогосподарського призначення, що перебувають удержавній або комунальній власності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</si>
  <si>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</si>
  <si>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</si>
  <si>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Разом доходів </t>
  </si>
  <si>
    <t>Стабілізаційна дотація</t>
  </si>
  <si>
    <t xml:space="preserve">Субвенції  </t>
  </si>
  <si>
    <t xml:space="preserve">Освітня субвенція з державного бюджету місцевим бюджетам </t>
  </si>
  <si>
    <t xml:space="preserve">Медична субвенція з державного бюджету місцевим бюджетам </t>
  </si>
  <si>
    <t xml:space="preserve">Субвенції  з державного бюджету місцевим бюджетам на здійснення державних програм соціального захисту  - всього: </t>
  </si>
  <si>
    <t xml:space="preserve">   -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</si>
  <si>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 xml:space="preserve">    -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t>
  </si>
  <si>
    <t xml:space="preserve">   - надання  пільг  та  житлових субсидій населенню на придбання  твердого  та  рідкого  пічного  побутового   палива і скрапленого газу </t>
  </si>
  <si>
    <t xml:space="preserve">   -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t>
  </si>
  <si>
    <t xml:space="preserve">Інші субвенціі з обласного бюджету, в тому числі: </t>
  </si>
  <si>
    <t xml:space="preserve"> - на пільгове медичне обслуговування громадян, які постраждали внаслідок Чорнобильської катастрофи</t>
  </si>
  <si>
    <t xml:space="preserve"> -  на компенсаційні виплати інвалідам на бензин, ремонт, техобслуговування автотранспорту та транспортне обслуговування</t>
  </si>
  <si>
    <t xml:space="preserve"> - на компенсаційні виплати на встановлення телефонів інвалідам 1-ї та 2-ї груп </t>
  </si>
  <si>
    <t xml:space="preserve">  - на поховання учасників бойових дій та інвалідів війни</t>
  </si>
  <si>
    <t>Всього доходів</t>
  </si>
  <si>
    <t>Начальник фінансового управління</t>
  </si>
  <si>
    <t>С. Ямчук</t>
  </si>
  <si>
    <t>Додаток 2</t>
  </si>
  <si>
    <t>до рішення</t>
  </si>
  <si>
    <t xml:space="preserve">Джерела фінансування міського бюджету на 2017 рік </t>
  </si>
  <si>
    <t>Назва</t>
  </si>
  <si>
    <t>У т.ч. бюджет розвитку</t>
  </si>
  <si>
    <t>200000</t>
  </si>
  <si>
    <t>Внутрішнє фінансування</t>
  </si>
  <si>
    <t>208100</t>
  </si>
  <si>
    <t>На початок періоду</t>
  </si>
  <si>
    <t>На кінець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</si>
  <si>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</si>
  <si>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</si>
  <si>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</si>
  <si>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Зовнішні запозичення  (Північна Екологічна Фінансова Корпорація "НЕФКО")</t>
  </si>
  <si>
    <t>Всього за типом кредитора</t>
  </si>
  <si>
    <t>600000</t>
  </si>
  <si>
    <t>Фінансування за активними операціями</t>
  </si>
  <si>
    <t>Зміни обсягів готівкових коштів на початок періоду</t>
  </si>
  <si>
    <t>Зміни обсягів готівкових коштів на кінець періоду</t>
  </si>
  <si>
    <t xml:space="preserve">Всього за типом боргового зобов"язання </t>
  </si>
  <si>
    <t>Зовнішній борг</t>
  </si>
  <si>
    <t xml:space="preserve">301000       Заборгованість    за позиками, одержаними від міжнародних фінансових організацій </t>
  </si>
  <si>
    <t xml:space="preserve">Начальник фінансового управління                                             С. Ямчук </t>
  </si>
  <si>
    <t>Повернення кредитів до міського бюджету  та розподіл надання кредитів 
з міського бюджету  в  2017 році</t>
  </si>
  <si>
    <r>
      <t>Код програмної класифікації видатків та кредитування місцевих бюджетів</t>
    </r>
    <r>
      <rPr>
        <vertAlign val="superscript"/>
        <sz val="8"/>
        <rFont val="Times New Roman"/>
        <family val="1"/>
        <charset val="204"/>
      </rPr>
      <t>1</t>
    </r>
  </si>
  <si>
    <t>Надання кредитів</t>
  </si>
  <si>
    <t>Повернення кредитів</t>
  </si>
  <si>
    <t>Кредитування-всього</t>
  </si>
  <si>
    <t xml:space="preserve">з них </t>
  </si>
  <si>
    <t>0,0</t>
  </si>
  <si>
    <t>1118104</t>
  </si>
  <si>
    <t>8104</t>
  </si>
  <si>
    <t>Повернення коштів, наданих для кредитування громадян на будівництво (реконструкцію) та придбання житла</t>
  </si>
  <si>
    <t>Додаток №6</t>
  </si>
  <si>
    <t>Кошторис доходів та видатків цільового фонду</t>
  </si>
  <si>
    <t>Хмельницької міської ради</t>
  </si>
  <si>
    <t>на 2017 рік</t>
  </si>
  <si>
    <t xml:space="preserve">Пункти Положення </t>
  </si>
  <si>
    <t>Джерела доходів</t>
  </si>
  <si>
    <t>2017 р.</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</si>
  <si>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</si>
  <si>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</si>
  <si>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</si>
  <si>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</si>
  <si>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</si>
  <si>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</si>
  <si>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2.1.4.</t>
  </si>
  <si>
    <t xml:space="preserve">Надходження коштів, що мають вноситися заявниками, у розмірі 10 відсотків початкової вартості продажу об"єкта малої приватизації, за участь у аукціоні, конкурсі </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</si>
  <si>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</si>
  <si>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</si>
  <si>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</si>
  <si>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 xml:space="preserve">Залишок коштів на 01.01.2017 року </t>
  </si>
  <si>
    <t>Разом:</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</si>
  <si>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</si>
  <si>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</si>
  <si>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</si>
  <si>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</si>
  <si>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</si>
  <si>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3.2.4.</t>
  </si>
  <si>
    <t xml:space="preserve">Відшкодування витрат, понесених комунальним підприємством "Чайка", на надання  лазневих послуг на пільгових умовах учасникам  бойових дій та інвалідам війни, які зареєстровані у м. Хмельницькому </t>
  </si>
  <si>
    <t>3.2.5.</t>
  </si>
  <si>
    <t>Оформлення передплати на газету міської ради «Проскурів» організаціям інвалідів, ветеранів війни і праці, окремим категоріям громадян</t>
  </si>
  <si>
    <t>3.2.6.</t>
  </si>
  <si>
    <t>Виплата винагороди головам квартальних комітетів</t>
  </si>
  <si>
    <t>3.2.7.</t>
  </si>
  <si>
    <t>Оплата подарунків до ювілеїв, річниць, пам’ятних дат, професійних свят підприємств, організацій, установ та фізичних осіб</t>
  </si>
  <si>
    <t>3.2.8.</t>
  </si>
  <si>
    <t xml:space="preserve">Спрямування коштів на житлове будівництво, реконструкцію та на ремонт житла всіх форм власності, в т.ч. будинків житлово-будівельних кооперативів (ТОВ "ЖЕО"), об'є́днань співвла́сників багатокварти́рних буди́нків, Будинкоуправління №2  КЕВ м. Хмельницький та будівель і споруд  комунальної власності </t>
  </si>
  <si>
    <t>3.2.11.</t>
  </si>
  <si>
    <t>Здійснення заходів з приватизації, відчуження та передачі в оренду майна комунальної власності</t>
  </si>
  <si>
    <t>3.2.12.</t>
  </si>
  <si>
    <t>Повернення коштів, внесених заявниками за участь у аукціоні, конкурсі з продажу об'єктів малої приватизації у випадках, передбачених Законом України "Про приватизацію невеликих державних підприємств (малу приватизацію)"</t>
  </si>
  <si>
    <t>3.2.16.</t>
  </si>
  <si>
    <t>Інші видатки, що здійснюються згідно розпоряджень міського голови, рішень міської ради та її виконавчого комітету.</t>
  </si>
  <si>
    <t xml:space="preserve">Начальник фінансового управління                                                                                        </t>
  </si>
  <si>
    <t xml:space="preserve">   С.Ямчук</t>
  </si>
  <si>
    <t>Додаток  № 7</t>
  </si>
  <si>
    <t>Перелік природоохоронних заходів,</t>
  </si>
  <si>
    <t>які будуть фінансуватися з міського фонду охорони</t>
  </si>
  <si>
    <t>навколишнього природного середовища у 2017 році</t>
  </si>
  <si>
    <t>№ п/п</t>
  </si>
  <si>
    <t>Заходи, на які виділяються кошти</t>
  </si>
  <si>
    <t>Сума, грн.</t>
  </si>
  <si>
    <t>Заходи з озеленення міста (придбання, посадка нових дерев та кущів)</t>
  </si>
  <si>
    <t>Капітальний ремонт – очищення русла річки П.Буг від намулу, відкладів, завалів в межах міста від вул. Трудової до вул. С. Бендери з розробкою проектної документації.</t>
  </si>
  <si>
    <t>Заходи щодо відновлення і підтримання сприятливого гідрологічного режиму та санітарного стану річок Південний Буг, Кудрянка: біологічна меліорація річки Південний Буг в межах Хмельницького водосховища.</t>
  </si>
  <si>
    <t>Заходи щодо відновлення і підтримання сприятливого гідрологічного режиму та санітарного стану річки Плоскої : експертиза проекту по реконструкції скидного колектора та розчистці русла річки.</t>
  </si>
  <si>
    <t>Придбання систем, приладів для здійснення контролю за якістю поверхневих та підземних вод на території міста</t>
  </si>
  <si>
    <t>Заходи з охорони підземних вод</t>
  </si>
  <si>
    <t>Будівництво локальних очисних споруд зливових  стоків та покращення стану існуючої дощової каналізації міста з розробкою проектно-кошторисної документації</t>
  </si>
  <si>
    <t>Роботи, пов’язані зі збором, перевезенням, зберіганням та передачею для подальшої утилізації небезпечних відходів які утворюються в побуті  (відпрацьовані енергозберігаючі лампи, термометри, батарейки)</t>
  </si>
  <si>
    <t>Придбання та впровадження установок, обладнання  та машин для збору, транспортування, перероблення, знешкодження та складування побутових відходів (в т.ч. контейнери для роздільного збирання побутових відходів)</t>
  </si>
  <si>
    <r>
      <t xml:space="preserve">Проведення науково-технічних конференцій і семінарів, організація виставок, фестивалів та інших заходів щодо пропаганди охорони навколишнього природного середовища, видання поліграфічної продукції з екологічної тематики </t>
    </r>
    <r>
      <rPr>
        <sz val="12"/>
        <color indexed="42"/>
        <rFont val="Times New Roman"/>
        <family val="1"/>
        <charset val="204"/>
      </rPr>
      <t xml:space="preserve"> </t>
    </r>
    <r>
      <rPr>
        <sz val="12"/>
        <color indexed="8"/>
        <rFont val="Times New Roman"/>
        <family val="1"/>
        <charset val="204"/>
      </rPr>
      <t>тощо</t>
    </r>
  </si>
  <si>
    <t>Наукові дослідження, проектні та проектно-конструкторські розроблення (виготовлення проектів землеустрою щодо відведення земельних ділянок під парки, сквери, зелені зони)</t>
  </si>
  <si>
    <t>Наукові дослідження, проектні та проектно-конструкторські розроблення, проведення спеціальних заходів, спрямованих на запабігання знищенню чи пошкодженню природних комплексів територій та об‘єктів природно-заповідного фонду: розробка схеми екологічної мережі міста Хмельницького</t>
  </si>
  <si>
    <t>ВСЬОГО</t>
  </si>
  <si>
    <t xml:space="preserve">   -  на придбання медикаментів для Хмельницької міської дитячої лікарні </t>
  </si>
  <si>
    <t xml:space="preserve">  - на відшкодування вартості лікарських засобів для лікування окремих захворювань </t>
  </si>
  <si>
    <t xml:space="preserve">  -  на надання державної підтримки особам з особливими освітніми проблемами</t>
  </si>
  <si>
    <t xml:space="preserve">  -  на виплату грошової компенсації за належні для отримання жилі приміщення для сімей загиблих осіб, визначених абзацами 5-8 пункту 1 статті 10, а також для осіб з інвалідністю І - ІІ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 </t>
  </si>
  <si>
    <t>Пальне (вироблене в Україні)</t>
  </si>
  <si>
    <t>Пальне  (ввезене на митну територію  України)</t>
  </si>
  <si>
    <t>1513250</t>
  </si>
  <si>
    <t>3250</t>
  </si>
  <si>
    <t>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t>
  </si>
  <si>
    <t>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t>
  </si>
  <si>
    <t xml:space="preserve"> операції, та потребують поліпшення житлових умов</t>
  </si>
  <si>
    <t>2417170</t>
  </si>
  <si>
    <t>2414110</t>
  </si>
  <si>
    <t>4110</t>
  </si>
  <si>
    <t>Кінематографія</t>
  </si>
  <si>
    <t>0823</t>
  </si>
  <si>
    <t>Начальник фінансового управління                                                                                                                                                            С. Ямчук</t>
  </si>
  <si>
    <t>Начальник фінансового управління                                                                                                                                                          С. Ямчук</t>
  </si>
  <si>
    <t>Начальник фінансового управління                                                                                                                                                           С. Ямчук</t>
  </si>
  <si>
    <t>Виготовлення ПКД для реконструкції комплексу спортивних майданчиків Хмельницької ДЮСШ №2 з влаштуванням зовнішніх мереж водопроводу, каналізації, волейбольних та футбольного майданчиків по вул. Городній 2/2В в м. Хмельницькому</t>
  </si>
  <si>
    <t>Будівництво "Автоматичної системи поливу футбольного поля стадіону "Локомотив" СКЦ "Плоскирів" по вул.Курчатова, 90 в м.Хмельницькому</t>
  </si>
  <si>
    <t xml:space="preserve">Субвенція з державного бюджету місцевим бюджетам на здійснення заходів щодо соціально-економічного розвитку окремих територій </t>
  </si>
  <si>
    <t>0317470</t>
  </si>
  <si>
    <t>0318800</t>
  </si>
  <si>
    <t>Програма щодо забезпечення належних комунально-побутових умов засуджених та осіб, узятих під варту, які утримуються в Хмельницькому слідчому ізоляторі на 2017-2020 роки</t>
  </si>
  <si>
    <t>Інші субвенції (на співфінансування реконструкції водогону с. Великі Зозулинці Великозозулинецької сільської ради  Красилівського району Хмельницької області)</t>
  </si>
  <si>
    <t>Виготовлення проектно-кошторисної документації на реконструкцію з добудовою їдальні до існуючого приміщення Хмельницької спеціалізованої зпгальноосвітньої школи І-ІІІ ступенів №8 за адресою вул. Якова Гальчевського, 34 в м. Хмельницькому</t>
  </si>
  <si>
    <t>7318370</t>
  </si>
  <si>
    <t>Будівництво магістральної дороги на вул. Січових стрільців</t>
  </si>
  <si>
    <t>Субвенція з державного бюджету місцевим бюджетам за здійснення заходів щодо соціально-економічного розвитку окремих територій (Будівництво 2-ї черги водогону від с.Чернелівка Красилівського району до м.Хмельницький )</t>
  </si>
  <si>
    <t>Субвенція з державного бюджету місцевим бюджетам за здійснення заходів щодо соціально-економічного розвитку окремих територій (капітальний ремонт спортзалу в Хмельницькому районному будинку культури, м.Хмельницький )</t>
  </si>
  <si>
    <t xml:space="preserve"> </t>
  </si>
  <si>
    <t>Будівництво адміністративно-виробничих приміщень комунального підприємства “Надія” по вул. Заводській, 165 (І — черга) м. Хмельницькому в т. ч. ПКД</t>
  </si>
  <si>
    <t>Реконструкція скидного колектора  та розчистка р. Плоскої з метою здійснення заходів щодо відновлення  і підтримання сприятливого гідрологічного  режиму та санітарного стану річки</t>
  </si>
  <si>
    <t>Внески до статутного капіталу комунального підприємства по будівництву, ремонту та експлуатації доріг (Придбання розподілювача протиожеледних матеріалів)</t>
  </si>
  <si>
    <t>Внески до статутного капіталу ХКП "Міськсвітло" (Придбання трасо- дефектошукача в комплекті )</t>
  </si>
  <si>
    <t>Внески до статутного капіталу ХКП "Спецкомунтранс" (придбання контейнерів для збирання побутових відходів обсягом 1,1 м3 )</t>
  </si>
  <si>
    <t>Внески до статутного капіталу ХКП "Спецкомунтранс" (придбання ходової частина бульдозера (гусениця - 2 комплекти, вінець ведучого колеса - 2 од.))</t>
  </si>
  <si>
    <t>Внески до статутного капіталу ХКП "Спецкомунтранс" (Придбання мобільної  туалетної кабіни)</t>
  </si>
  <si>
    <r>
      <t xml:space="preserve"> Внески до статутного капіталу  МКП "Хмельницькводоканал" ( Будівництво вуличних мереж водопостачання житлових будинків по пров. Житній, вул. Житній, вул. Корольова, вул. С.Наливайка, вул. Зеньковського, вул. Тютюника, вул. Карбишева, вул. Олексенко, вул. Раєвського мікрорайону Книжківці у м.Хмельницький"  </t>
    </r>
    <r>
      <rPr>
        <sz val="11"/>
        <rFont val="Times New Roman"/>
        <family val="1"/>
        <charset val="204"/>
      </rPr>
      <t xml:space="preserve"> </t>
    </r>
    <r>
      <rPr>
        <i/>
        <sz val="12"/>
        <rFont val="Times New Roman"/>
        <family val="1"/>
        <charset val="204"/>
      </rPr>
      <t/>
    </r>
  </si>
  <si>
    <r>
      <t xml:space="preserve">  Внески до статутного капіталу  МКП "Хмельницькводоканал" на "Будівництво зовнішніх мереж водопостачання по</t>
    </r>
    <r>
      <rPr>
        <b/>
        <sz val="11"/>
        <rFont val="Times New Roman"/>
        <family val="1"/>
        <charset val="204"/>
      </rPr>
      <t xml:space="preserve"> </t>
    </r>
    <r>
      <rPr>
        <sz val="11"/>
        <rFont val="Times New Roman"/>
        <family val="1"/>
        <charset val="204"/>
      </rPr>
      <t xml:space="preserve">пров. Болотний у м.Хмельницький" </t>
    </r>
    <r>
      <rPr>
        <sz val="11"/>
        <rFont val="Times New Roman"/>
        <family val="1"/>
        <charset val="204"/>
      </rPr>
      <t xml:space="preserve"> </t>
    </r>
  </si>
  <si>
    <t xml:space="preserve">Внески до статутного капіталу МКП "Хмельницькводоканал" на "Будівництво вуличних мереж водопостачання та каналізації житлових будинків вул.Лісна, прв.Лісний, вул.Підгірна, прв.Садовий  в м.Хмельницький" </t>
  </si>
  <si>
    <t xml:space="preserve">  Внески до статутного капіталу  МКП "Хмельницькводоканал" на  "Будівництво вуличних мереж водопостачання житлових будинків по вул.Вигодовського м.Хмельницький " ( 50% від загальної кошторисної вартості проекту)</t>
  </si>
  <si>
    <t>Внески до статутного капіталу  МКП "Хмельницькводоканал" на  "Будівництво вуличних мереж водопостачання житлових будинків по вул.Руданського м.Хмельницький " ( 50% від загальної кошторисної вартості проекту)</t>
  </si>
  <si>
    <t>Внески до статутного капіталу  МКП "Хмельницькводоканал" на"Будівництво вуличних мереж водопроводу діаметром 110 мм  по вул. Дачна в м.Хмельницький" (50% від загальної кошторисної вартості проекту)</t>
  </si>
  <si>
    <t>Внески до статутного капіталу  МКП "Хмельницькводоканал" на "Будівництво водопроводу по вул.Старицького мікрорайону Ружична м.Хмельницький"</t>
  </si>
  <si>
    <t>Внески до статутного капіталу  МКП "Хмельницькводоканал" на "Будівництво вуличних мереж водопостачання житлових будинків по вул.Одухи м.Хмельницький"</t>
  </si>
  <si>
    <t>Внески до статутного капіталу  МКП "Хмельницькводоканал" на "Будівництво ділянки водопроводу по вул. Свободи від вул. Зарічанська до житлового будинку №4/1 по вул. Свободи у м. Хмельницький "</t>
  </si>
  <si>
    <t>Внески до статутного капіталу КП "Південно-Західні тепломережі"  (Виготовлення проектно-кошторисної документації на технічне переоснащення двох котлів ТВГ-8М з заміною пальників і автоматики в котельні по вул. Молодіжна,2 в м. Хмельницькому)</t>
  </si>
  <si>
    <t>Внески до статутного капіталу міського комунального підприємства по утриманню нежитлових приміщень комунальної власності  (Капітальний ремонт покрівлі будівлі комунальної власності по вул.Проскурівській,56 м.Хмельницький)</t>
  </si>
  <si>
    <t>4016051</t>
  </si>
  <si>
    <t>6051</t>
  </si>
  <si>
    <t>Забезпечення функціонування теплових мереж</t>
  </si>
  <si>
    <t>Програма утримання та розвитку житлово-комунального господарства м.Хмельницького на 2017-2020 роки. Програма енергоефективної модернізації внутрішнього та зовнішнього освітлення м.Хмельницького на 2016-2017 роки.</t>
  </si>
  <si>
    <t>Програма утримання та розвитку житлово-комунального господарства м.Хмельницького на 2017-2020 роки.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у м.Хмельницькому на 2016-2020 роки</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</si>
  <si>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</si>
  <si>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t>
  </si>
  <si>
    <t>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t>
  </si>
  <si>
    <t>що затверджувалися та/або погоджувалися органами державної влади чи місцевого самоврядування</t>
  </si>
  <si>
    <t xml:space="preserve"> -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t>
  </si>
  <si>
    <t>4016022</t>
  </si>
  <si>
    <t>6022</t>
  </si>
  <si>
    <t>Капітальний ремонт житлового фонду об'єднань співвласників багатоквартирних будинків</t>
  </si>
  <si>
    <t>Внески до статутного капіталу  Комунального підприємства «Управляюча муніципальна компанія «Південно-Західна» Хмельницької міської ради  (придбання причепа тракторного)</t>
  </si>
  <si>
    <t>Внески до статутного капіталу Комунального підприємства «Управляюча муніципальна компанія «Центральна» Хмельницької міської (придбання трактора з устаткуванням)</t>
  </si>
  <si>
    <t>Внески до статутного капіталу  МКП "Хмельницькводоканал" (Виготовлення проектно-кошторисної документації  з будівництва вуличних мереж  водопостачання, по вул. Амосова, вул. Комарова, вул. Молдавська, вул. Пасічна, вул. Драгоманова, вул. Вінницька та прв. В. Котика, прв. Кошарського, прв. Тупиковий  мікрорайону Лезневе  м.Хмельницький)</t>
  </si>
  <si>
    <t>Внески до статутного капіталу  МКП "Хмельницькводоканал" на "Реконструкцію ділянки каналізаційного колектора по вул.Тернопільська,  16/1 та 18/1 в м.Хмельницький"</t>
  </si>
  <si>
    <t xml:space="preserve"> Програма підвищення рівня безпеки пасажирських перевезень на території міста Хмельницького на 2017 рік </t>
  </si>
  <si>
    <t>Внески до статутного капіталу КП "Південно-Західні тепломережі"  (Виготовлення проектно-кошторисної документації на технічне переоснащення котла  ТВГ-8  з заміною пальників і автоматики в котельні по вул. Тернопільська,14/3 в м. Хмельницькому)</t>
  </si>
  <si>
    <t>Внески до статутного капіталу комунального підприємства по будівництву, ремонту та експлуатації доріг (Придбання підмітально-прибиральної машини)</t>
  </si>
  <si>
    <t>Внески до статутного капіталу КП "Парки і сквери міста Хмельницького (Придбання підмітально-прибиральної машини )</t>
  </si>
  <si>
    <t>Внески до статутного капіталу КП "Південно-Західні тепломережі"  (Виготовлення проектно-кошторисної документації на реконструкцію котельні з встановленням твердопаливного котла потужністю 5 МВт в котельні по вул. Північна,2 в м.Хмельницькому)</t>
  </si>
  <si>
    <t>1516320</t>
  </si>
  <si>
    <t>1516324</t>
  </si>
  <si>
    <t>2417470</t>
  </si>
  <si>
    <t>4018600</t>
  </si>
  <si>
    <t>Реконструкція спортивного майданчика Хмельницької ДЮСШ №2 з влаштуванням міні-футбольного поля зі штучним покриттям по вул. Тернопільській, 34 в      м. Хмельницькому</t>
  </si>
  <si>
    <t>Виготовлення проектно-кошторисної документації по реконструкції котельні під спортивне приміщення на СК "Поділля" ДЮСШ №1 по вул. Проскурівській, 81 в    м. Хмельницькому</t>
  </si>
  <si>
    <t>Внески до статутного капіталу  МКП "Хмельницькводоканал" на "Реконструкцію системи знезараження питної води ВНС-9 по проспекту Миру, 36/2А у м.Хмельницький"</t>
  </si>
  <si>
    <t>Внески до статутного капіталу  МКП "Хмельницькводоканал" ( Виконання інженерно-геодезичних робіт та виготовлення проектно-кошторисної документації на будівництво вуличних мереж водовідведення во вулицях О.Кошового та Черняховського у м.Хмельницький)</t>
  </si>
  <si>
    <t>Внески до статутного капіталу КП "Південно-Західні тепломережі"  (Виготовлення проектно-кошторисної документації на технічне переоснащення котла ДЕ-10-14 ГМ та котла КЕ-10-14 з заміною пальників і автоматики в котельні по вул. Курчатова, 8/1Г в м.Хмельницькому)</t>
  </si>
  <si>
    <t>Внески до статутного капіталу міського комунального підприємства по утриманню нежитлових приміщень комунальної власності  (Капітальний ремонт будинку комунальної власності (3-й поверх) за адресою: вул. Проскурівська, 56,               м.Хмельницький)</t>
  </si>
  <si>
    <t>Внески до статутного капіталу ХКП "Міськсвітло" (Придбання обладнання та оснащення для святкового оформлення міста, в т.ч. ялинки та 3D освітлення для неї)</t>
  </si>
  <si>
    <t>Реконстркукція туалету загального користування по вул. Проскурівській, 40</t>
  </si>
  <si>
    <t>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пунктами 11 - 14 частини другої статті 7 Закону України "Про статус ветеранів</t>
  </si>
  <si>
    <t>Субвенція з державного бюджету місцевим бюджетам за здійснення заходів щодо соціально-економічного розвитку окремих територій (Будівництво навчально-виховного комплексу на вул. Залізняка, 32 (дошкільний навчальний заклад на 215 місць та загальноосвітній навчальний заклад І ступеню (початкова школа) на 480 учнів) )</t>
  </si>
  <si>
    <t>Субвенція з державного бюджету місцевим бюджетам за здійснення заходів щодо соціально-економічного розвитку окремих територій (реконструкція системи водопостачання м.Хмельницький, розробка проектної документації )</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</si>
  <si>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у м.Хмельницькому на 2016-2020 роки</t>
  </si>
  <si>
    <t>1018600</t>
  </si>
  <si>
    <t xml:space="preserve">Розробка проектно-кошторисної документації на виконання робіт з реконструкції постаменту пам"ятника "Бойовій техніці" по вул. Камя"нецькій,111 </t>
  </si>
  <si>
    <t>Внески до статутного капіталу СКП "Хмельницька міська ритуальна служба" (Капітальний ремонт приміщення зали прощання будинку траурних обрядів за адресою вул. Толстого,5А в м.Хмельницькому)</t>
  </si>
  <si>
    <t>Внески до статутного капіталу КП "Парки і сквери міста Хмельницького (Придбання холодильників )</t>
  </si>
  <si>
    <t>Внески до статутного капіталу Комунального підприємства «Управляюча муніципальна компанія «Центральна» Хмельницької міської (придбання розподілювача протиожиледних матеріалів)</t>
  </si>
  <si>
    <t>Внески до статутного капіталу Комунального підприємства «Управляюча муніципальна компанія «Проскурівська» Хмельницької міської (придбання розподілювача протиожиледних матеріалів)</t>
  </si>
  <si>
    <t>Внески до статутного капіталу  Комунального підприємства «Управляюча муніципальна компанія «Південно-Західна» Хмельницької міської ради  (придбання розподілювача протиожиледних матеріалів)</t>
  </si>
  <si>
    <t>Внески до статутного капіталу  Комунального підприємства «Управляюча муніципальна компанія «Дубове» Хмельницької міської ради  (придбання розподілювача протиожиледних матеріалів)</t>
  </si>
  <si>
    <t>Внески до статутного капіталу  Комунального підприємства «Управляюча муніципальна компанія «Заріччя» Хмельницької міської ради  (придбання розподілювача протиожиледних матеріалів)</t>
  </si>
  <si>
    <t>Внески до статутного капіталу  Комунального підприємства «Управляюча муніципальна компанія «Озерна» Хмельницької міської ради  (придбання розподілювача протиожиледних матеріалів)</t>
  </si>
  <si>
    <t>Внески до статутного капіталу  МКП "Хмельницькводоканал" на "Будівництво каналізаційної мережі вул. Шестакова в м.Хмельницький.( 64% від загальної кошторисної вартості проекту)</t>
  </si>
  <si>
    <t>Внески до статутного капіталу  МКП "Хмельницькводоканал" ( Будівництво водопроводу по вул.Митрополита Шептицького (мкр-н Бубове-1) в м.Хмельницький)</t>
  </si>
  <si>
    <t>Внески до статутного капіталу МКП "Хмельницьктеплокомуненерго" (придбання екскаватора навантажувача )</t>
  </si>
  <si>
    <t>Будівництво підпірної стінки біля 130-ти квартирного будинку по вул.Лісогринівецькій,16 в м.Хмельницькому</t>
  </si>
  <si>
    <t>Внески до статутного капіталу КП "Хмельницькбудзамовник" (Придбання основних засобів)</t>
  </si>
  <si>
    <t>Реставрація приміщення з надбудовою мансардного поверху Хмельницької дитячої музичної школи №1  ім.М.Мозгового (колишній кінотеатр "Модерн") по вул. Проскурівській, 18</t>
  </si>
  <si>
    <t>Інші субвенції (на співфінансування завершення будівництва водогону              с. Велика Клітна Малоклітянської сільської ради  Красилівського району Хмельницької області)</t>
  </si>
  <si>
    <t>Інші субвенції (на співфінансування завершення будівництва водогону             с. Писарівка Заслучненської сільської ради  Красилівського району Хмельницької області)</t>
  </si>
  <si>
    <t>Інші субвенції (на співфінансування реконструкції мережі водопостачання        с. Мончинці Чернелівської сільської ради  Красилівського району Хмельницької області)</t>
  </si>
  <si>
    <t>Інші субвенції (на співфінансування завершення будівництва водогону             с. Глібки Глібківської сільської ради  Красилівського району Хмельницької області)</t>
  </si>
  <si>
    <t>Реставрація приміщення МКП кінотеатр     ім. Т.Г. Шевченка по вул. Проскурівській, 40 в м.Хмельницькому</t>
  </si>
  <si>
    <t>Реконструкція існуючих та добудова гурткових приміщень Хмельницького міського будинку культури по вул.Проскурівській, 43 в м.Хмельницькому</t>
  </si>
  <si>
    <t>Реконструкція частини будівлі аптеки під громадську приймальню по вул.Перемоги, 10Б</t>
  </si>
  <si>
    <t>Внески до статутного капіталу  комунального підприємства по організації роботи  міського пасажирського транспорту (будівництво оглядової ями для випуску автомобільного транспорту на лінію по пров.Кобилянської, 19 в м.Хмельницькому без навісу)</t>
  </si>
  <si>
    <t>Робочий проект реконструкції прв. Перемоги з влаштуванням виїзду на вул.Свободи</t>
  </si>
  <si>
    <t>Реконструкція холу на першому поверсі гуртожитку під квартиру по вул.Чорновола,60 в м.Хмельницькому</t>
  </si>
  <si>
    <t>Робочий проект на будівництво внутрішньоквартального проїзду від вул.Залізняка до будинку по вул.Лісогринівецькій</t>
  </si>
  <si>
    <r>
      <t xml:space="preserve">Будівнитво  вольєру (розширення приміщень) для утримання тварин зоокуточку в парку ім. Чекмана:  </t>
    </r>
    <r>
      <rPr>
        <sz val="12"/>
        <rFont val="Times New Roman"/>
        <family val="1"/>
        <charset val="204"/>
      </rPr>
      <t>реконструкція і розширення приміщень, огорож і вольєрів для утримання тварин зоокуточку в  парку  ім.Чекмана.</t>
    </r>
  </si>
  <si>
    <t>Код КПКВ</t>
  </si>
  <si>
    <t xml:space="preserve">С. Ямчук </t>
  </si>
  <si>
    <t>Внески до статутного капіталу  комунального підприємства по організації роботи  міського пасажирського транспорту (придбання автомобіля марки "Nissan Leaf")</t>
  </si>
  <si>
    <t>Реставрація житлового будинку по вул.Проскурівській, 1 (виготовлення реставраційного завдання, проектно-кошторисної документації та проведення будівельної експертизи)</t>
  </si>
  <si>
    <t>Внески до статутного капіталу КП по зеленому будівництву і благоустрою міста (Придбання обладнання)</t>
  </si>
  <si>
    <t>Внески до статутного капіталу міського комунального підприємства по утриманню нежитлових приміщень комунальної власності  (Заміна дверей в нежитловому приміщенні по вул. Героїв Майдану, 12)</t>
  </si>
  <si>
    <t>Програма співфінансування робіт з капітального ремонту багатоквартирних житлових будинків м.Хмельницького на 2017-2022 роки</t>
  </si>
  <si>
    <t>Додаток №8
до рішення № 737  від  12.10.2017 року</t>
  </si>
  <si>
    <t xml:space="preserve">до рішення   № 737  від 12.10.2017    </t>
  </si>
  <si>
    <t>від  12.10.2017  № 737</t>
  </si>
  <si>
    <t xml:space="preserve">до рішення  № 737 від 12.10.2017 року </t>
  </si>
  <si>
    <t>Додаток № 4
до рішення  № 737   від   12.10.2017 року</t>
  </si>
  <si>
    <t xml:space="preserve">Додаток № 5
до рішення №737  від 12.10.2017 року
</t>
  </si>
  <si>
    <t xml:space="preserve">до рішення № 737 від 12.10.2017  </t>
  </si>
  <si>
    <t>до рішення № 737</t>
  </si>
  <si>
    <t xml:space="preserve">від  12.10.2017  </t>
  </si>
</sst>
</file>

<file path=xl/styles.xml><?xml version="1.0" encoding="utf-8"?>
<styleSheet xmlns="http://schemas.openxmlformats.org/spreadsheetml/2006/main">
  <numFmts count="3">
    <numFmt numFmtId="164" formatCode="#,##0.0"/>
    <numFmt numFmtId="165" formatCode="0.0"/>
    <numFmt numFmtId="166" formatCode="#,##0.00;[Red]#,##0.00"/>
  </numFmts>
  <fonts count="110">
    <font>
      <sz val="10"/>
      <name val="Arial Cyr"/>
      <charset val="204"/>
    </font>
    <font>
      <sz val="10"/>
      <name val="Arial Cyr"/>
      <charset val="204"/>
    </font>
    <font>
      <sz val="10"/>
      <name val="MS Sans Serif"/>
      <family val="2"/>
      <charset val="204"/>
    </font>
    <font>
      <sz val="10"/>
      <name val="Times New Roman"/>
      <family val="1"/>
      <charset val="204"/>
    </font>
    <font>
      <b/>
      <i/>
      <sz val="10"/>
      <name val="Times New Roman Cyr"/>
      <family val="1"/>
      <charset val="204"/>
    </font>
    <font>
      <sz val="10"/>
      <name val="Times New Roman Cyr"/>
      <family val="1"/>
      <charset val="204"/>
    </font>
    <font>
      <b/>
      <sz val="10"/>
      <name val="Times New Roman Cyr"/>
      <family val="1"/>
      <charset val="204"/>
    </font>
    <font>
      <b/>
      <sz val="10"/>
      <name val="Arial Cyr"/>
      <charset val="204"/>
    </font>
    <font>
      <b/>
      <sz val="12"/>
      <name val="Times New Roman"/>
      <family val="1"/>
    </font>
    <font>
      <sz val="12"/>
      <name val="Times New Roman"/>
      <family val="1"/>
      <charset val="204"/>
    </font>
    <font>
      <b/>
      <sz val="12"/>
      <name val="Times New Roman"/>
      <family val="1"/>
      <charset val="204"/>
    </font>
    <font>
      <b/>
      <sz val="14"/>
      <name val="Times New Roman"/>
      <family val="1"/>
      <charset val="204"/>
    </font>
    <font>
      <sz val="14"/>
      <name val="Times New Roman"/>
      <family val="1"/>
      <charset val="204"/>
    </font>
    <font>
      <b/>
      <sz val="10"/>
      <name val="Times New Roman"/>
      <family val="1"/>
      <charset val="204"/>
    </font>
    <font>
      <sz val="8"/>
      <name val="Times New Roman"/>
      <family val="1"/>
      <charset val="204"/>
    </font>
    <font>
      <b/>
      <sz val="10"/>
      <color indexed="8"/>
      <name val="Times New Roman"/>
      <family val="1"/>
      <charset val="204"/>
    </font>
    <font>
      <sz val="8"/>
      <name val="Arial Cyr"/>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sz val="11"/>
      <name val="Times New Roman"/>
      <family val="1"/>
      <charset val="204"/>
    </font>
    <font>
      <b/>
      <sz val="11"/>
      <name val="Times New Roman"/>
      <family val="1"/>
      <charset val="204"/>
    </font>
    <font>
      <b/>
      <sz val="11"/>
      <color indexed="8"/>
      <name val="Times New Roman"/>
      <family val="1"/>
      <charset val="204"/>
    </font>
    <font>
      <sz val="11"/>
      <color indexed="8"/>
      <name val="Times New Roman"/>
      <family val="1"/>
      <charset val="204"/>
    </font>
    <font>
      <b/>
      <i/>
      <sz val="11"/>
      <color indexed="8"/>
      <name val="Times New Roman"/>
      <family val="1"/>
      <charset val="204"/>
    </font>
    <font>
      <sz val="9"/>
      <color indexed="8"/>
      <name val="Times New Roman"/>
      <family val="1"/>
      <charset val="204"/>
    </font>
    <font>
      <i/>
      <sz val="12"/>
      <name val="Times New Roman"/>
      <family val="1"/>
      <charset val="204"/>
    </font>
    <font>
      <i/>
      <sz val="10"/>
      <name val="Times New Roman Cyr"/>
      <family val="1"/>
      <charset val="204"/>
    </font>
    <font>
      <b/>
      <i/>
      <sz val="10"/>
      <name val="Times New Roman"/>
      <family val="1"/>
      <charset val="204"/>
    </font>
    <font>
      <b/>
      <i/>
      <sz val="10"/>
      <color indexed="8"/>
      <name val="Times New Roman"/>
      <family val="1"/>
      <charset val="204"/>
    </font>
    <font>
      <sz val="10"/>
      <color indexed="8"/>
      <name val="Times New Roman"/>
      <family val="1"/>
      <charset val="204"/>
    </font>
    <font>
      <sz val="22"/>
      <name val="Arial Cyr"/>
      <charset val="204"/>
    </font>
    <font>
      <b/>
      <sz val="36"/>
      <name val="Times New Roman"/>
      <family val="1"/>
      <charset val="204"/>
    </font>
    <font>
      <i/>
      <sz val="36"/>
      <name val="Times New Roman"/>
      <family val="1"/>
      <charset val="204"/>
    </font>
    <font>
      <sz val="36"/>
      <name val="Times New Roman"/>
      <family val="1"/>
      <charset val="204"/>
    </font>
    <font>
      <b/>
      <i/>
      <sz val="36"/>
      <name val="Times New Roman"/>
      <family val="1"/>
      <charset val="204"/>
    </font>
    <font>
      <b/>
      <sz val="37"/>
      <name val="Times New Roman"/>
      <family val="1"/>
      <charset val="204"/>
    </font>
    <font>
      <i/>
      <sz val="37"/>
      <name val="Times New Roman"/>
      <family val="1"/>
      <charset val="204"/>
    </font>
    <font>
      <sz val="37"/>
      <name val="Times New Roman"/>
      <family val="1"/>
      <charset val="204"/>
    </font>
    <font>
      <b/>
      <i/>
      <sz val="37"/>
      <name val="Times New Roman"/>
      <family val="1"/>
      <charset val="204"/>
    </font>
    <font>
      <sz val="36"/>
      <name val="Arial Cyr"/>
      <charset val="204"/>
    </font>
    <font>
      <b/>
      <sz val="18"/>
      <name val="Times New Roman"/>
      <family val="1"/>
      <charset val="204"/>
    </font>
    <font>
      <sz val="10"/>
      <color indexed="8"/>
      <name val="Arial"/>
      <family val="2"/>
      <charset val="204"/>
    </font>
    <font>
      <b/>
      <i/>
      <sz val="11"/>
      <name val="Times New Roman"/>
      <family val="1"/>
      <charset val="204"/>
    </font>
    <font>
      <i/>
      <sz val="11"/>
      <name val="Times New Roman"/>
      <family val="1"/>
      <charset val="204"/>
    </font>
    <font>
      <sz val="10"/>
      <name val="Arial Cyr"/>
      <charset val="204"/>
    </font>
    <font>
      <sz val="11"/>
      <name val="Times New Roman Cyr"/>
      <charset val="204"/>
    </font>
    <font>
      <i/>
      <sz val="11"/>
      <color indexed="8"/>
      <name val="Times New Roman"/>
      <family val="1"/>
      <charset val="204"/>
    </font>
    <font>
      <sz val="48"/>
      <name val="Arial Cyr"/>
      <charset val="204"/>
    </font>
    <font>
      <i/>
      <sz val="10"/>
      <name val="Arial Cyr"/>
      <charset val="204"/>
    </font>
    <font>
      <i/>
      <sz val="33"/>
      <name val="Times New Roman"/>
      <family val="1"/>
      <charset val="204"/>
    </font>
    <font>
      <sz val="11"/>
      <name val="Arial Cyr"/>
      <charset val="204"/>
    </font>
    <font>
      <i/>
      <sz val="11"/>
      <name val="Arial Cyr"/>
      <charset val="204"/>
    </font>
    <font>
      <i/>
      <sz val="10"/>
      <name val="Times New Roman"/>
      <family val="1"/>
      <charset val="204"/>
    </font>
    <font>
      <i/>
      <sz val="10"/>
      <color indexed="8"/>
      <name val="Times New Roman"/>
      <family val="1"/>
      <charset val="204"/>
    </font>
    <font>
      <b/>
      <sz val="28"/>
      <name val="Times New Roman Cyr"/>
      <family val="1"/>
      <charset val="204"/>
    </font>
    <font>
      <b/>
      <sz val="36"/>
      <name val="Times New Roman Cyr"/>
      <family val="1"/>
      <charset val="204"/>
    </font>
    <font>
      <i/>
      <sz val="36"/>
      <name val="Times New Roman Cyr"/>
      <family val="1"/>
      <charset val="204"/>
    </font>
    <font>
      <sz val="20"/>
      <name val="Times New Roman Cyr"/>
      <family val="1"/>
      <charset val="204"/>
    </font>
    <font>
      <sz val="24"/>
      <name val="Times New Roman Cyr"/>
      <family val="1"/>
      <charset val="204"/>
    </font>
    <font>
      <b/>
      <sz val="26"/>
      <name val="Times New Roman Cyr"/>
      <family val="1"/>
      <charset val="204"/>
    </font>
    <font>
      <b/>
      <sz val="16"/>
      <name val="Times New Roman"/>
      <family val="1"/>
      <charset val="204"/>
    </font>
    <font>
      <sz val="9"/>
      <name val="Times New Roman"/>
      <family val="1"/>
      <charset val="204"/>
    </font>
    <font>
      <b/>
      <sz val="9"/>
      <color indexed="8"/>
      <name val="Times New Roman"/>
      <family val="1"/>
      <charset val="204"/>
    </font>
    <font>
      <b/>
      <sz val="9"/>
      <name val="Times New Roman"/>
      <family val="1"/>
      <charset val="204"/>
    </font>
    <font>
      <b/>
      <i/>
      <sz val="9"/>
      <name val="Times New Roman"/>
      <family val="1"/>
      <charset val="204"/>
    </font>
    <font>
      <b/>
      <i/>
      <sz val="9"/>
      <color indexed="8"/>
      <name val="Times New Roman"/>
      <family val="1"/>
      <charset val="204"/>
    </font>
    <font>
      <b/>
      <i/>
      <sz val="8"/>
      <name val="Bookman Old Style"/>
      <family val="1"/>
      <charset val="204"/>
    </font>
    <font>
      <sz val="8"/>
      <name val="Bookman Old Style"/>
      <family val="1"/>
      <charset val="204"/>
    </font>
    <font>
      <b/>
      <i/>
      <sz val="9"/>
      <color indexed="62"/>
      <name val="Times New Roman"/>
      <family val="1"/>
      <charset val="204"/>
    </font>
    <font>
      <sz val="10"/>
      <name val="Arial"/>
      <family val="2"/>
      <charset val="204"/>
    </font>
    <font>
      <b/>
      <sz val="14"/>
      <color indexed="8"/>
      <name val="Times New Roman"/>
      <family val="1"/>
      <charset val="204"/>
    </font>
    <font>
      <sz val="8"/>
      <color indexed="8"/>
      <name val="Times New Roman"/>
      <family val="1"/>
      <charset val="204"/>
    </font>
    <font>
      <sz val="10"/>
      <name val="Times New Roman CYR"/>
      <charset val="204"/>
    </font>
    <font>
      <vertAlign val="superscript"/>
      <sz val="8"/>
      <name val="Times New Roman"/>
      <family val="1"/>
      <charset val="204"/>
    </font>
    <font>
      <i/>
      <sz val="10"/>
      <name val="Times New Roman Cyr"/>
      <charset val="204"/>
    </font>
    <font>
      <sz val="9"/>
      <name val="Times New Roman CYR"/>
      <charset val="204"/>
    </font>
    <font>
      <b/>
      <sz val="12.5"/>
      <name val="Times New Roman"/>
      <family val="1"/>
      <charset val="204"/>
    </font>
    <font>
      <sz val="12"/>
      <name val="Arial Cyr"/>
      <charset val="204"/>
    </font>
    <font>
      <sz val="12"/>
      <name val="Arial"/>
      <family val="2"/>
      <charset val="204"/>
    </font>
    <font>
      <sz val="12.5"/>
      <name val="Times New Roman"/>
      <family val="1"/>
      <charset val="204"/>
    </font>
    <font>
      <b/>
      <i/>
      <sz val="12.5"/>
      <name val="Times New Roman"/>
      <family val="1"/>
      <charset val="204"/>
    </font>
    <font>
      <b/>
      <i/>
      <sz val="10"/>
      <name val="Arial"/>
      <family val="2"/>
      <charset val="204"/>
    </font>
    <font>
      <b/>
      <sz val="12"/>
      <color indexed="8"/>
      <name val="Times New Roman"/>
      <family val="1"/>
      <charset val="204"/>
    </font>
    <font>
      <sz val="12"/>
      <color indexed="8"/>
      <name val="Times New Roman"/>
      <family val="1"/>
      <charset val="204"/>
    </font>
    <font>
      <sz val="12"/>
      <color indexed="42"/>
      <name val="Times New Roman"/>
      <family val="1"/>
      <charset val="204"/>
    </font>
    <font>
      <b/>
      <sz val="36"/>
      <name val="Arial Cyr"/>
      <charset val="204"/>
    </font>
    <font>
      <sz val="28"/>
      <name val="Arial Cyr"/>
      <charset val="204"/>
    </font>
    <font>
      <sz val="12"/>
      <name val="Times New Roman Cyr"/>
      <charset val="204"/>
    </font>
    <font>
      <sz val="36"/>
      <name val="Times New Roman Cyr"/>
      <family val="1"/>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22"/>
      <name val="Times New Roman Cyr"/>
      <family val="1"/>
      <charset val="204"/>
    </font>
    <font>
      <i/>
      <sz val="22"/>
      <name val="Times New Roman"/>
      <family val="1"/>
      <charset val="204"/>
    </font>
  </fonts>
  <fills count="29">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indexed="45"/>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rgb="FFFFC000"/>
        <bgColor indexed="64"/>
      </patternFill>
    </fill>
    <fill>
      <patternFill patternType="solid">
        <fgColor rgb="FFFFFF0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86">
    <xf numFmtId="0" fontId="0" fillId="0" borderId="0"/>
    <xf numFmtId="0" fontId="1"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54" fillId="0" borderId="0"/>
    <xf numFmtId="0" fontId="27" fillId="0" borderId="0"/>
    <xf numFmtId="0" fontId="1" fillId="0" borderId="0"/>
    <xf numFmtId="0" fontId="54" fillId="0" borderId="0"/>
    <xf numFmtId="0" fontId="1" fillId="0" borderId="0"/>
    <xf numFmtId="0" fontId="54" fillId="0" borderId="0"/>
    <xf numFmtId="0" fontId="27" fillId="0" borderId="0"/>
    <xf numFmtId="0" fontId="27" fillId="0" borderId="0"/>
    <xf numFmtId="0" fontId="27" fillId="0" borderId="0"/>
    <xf numFmtId="0" fontId="27" fillId="0" borderId="0"/>
    <xf numFmtId="0" fontId="27" fillId="0" borderId="0"/>
    <xf numFmtId="0" fontId="51" fillId="0" borderId="0">
      <alignment vertical="top"/>
    </xf>
    <xf numFmtId="0" fontId="21" fillId="5" borderId="5" applyNumberFormat="0" applyAlignment="0" applyProtection="0"/>
    <xf numFmtId="0" fontId="22" fillId="0" borderId="0" applyNumberFormat="0" applyFill="0" applyBorder="0" applyAlignment="0" applyProtection="0"/>
    <xf numFmtId="0" fontId="1" fillId="0" borderId="0"/>
    <xf numFmtId="0" fontId="54" fillId="0" borderId="0"/>
    <xf numFmtId="0" fontId="3" fillId="0" borderId="0"/>
    <xf numFmtId="0" fontId="79" fillId="0" borderId="0" applyNumberFormat="0" applyFont="0" applyFill="0" applyBorder="0" applyAlignment="0" applyProtection="0">
      <alignment vertical="top"/>
    </xf>
    <xf numFmtId="0" fontId="26" fillId="0" borderId="0"/>
    <xf numFmtId="0" fontId="2" fillId="0" borderId="0" applyNumberFormat="0" applyFont="0" applyFill="0" applyBorder="0" applyAlignment="0" applyProtection="0">
      <alignment vertical="top"/>
    </xf>
    <xf numFmtId="0" fontId="3" fillId="0" borderId="0"/>
    <xf numFmtId="0" fontId="54" fillId="0" borderId="0"/>
    <xf numFmtId="0" fontId="26" fillId="0" borderId="0"/>
    <xf numFmtId="0" fontId="54"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1" fillId="0" borderId="0"/>
    <xf numFmtId="0" fontId="100" fillId="9" borderId="0" applyNumberFormat="0" applyBorder="0" applyAlignment="0" applyProtection="0"/>
    <xf numFmtId="0" fontId="100" fillId="10" borderId="0" applyNumberFormat="0" applyBorder="0" applyAlignment="0" applyProtection="0"/>
    <xf numFmtId="0" fontId="100" fillId="11" borderId="0" applyNumberFormat="0" applyBorder="0" applyAlignment="0" applyProtection="0"/>
    <xf numFmtId="0" fontId="100" fillId="12" borderId="0" applyNumberFormat="0" applyBorder="0" applyAlignment="0" applyProtection="0"/>
    <xf numFmtId="0" fontId="100" fillId="3" borderId="0" applyNumberFormat="0" applyBorder="0" applyAlignment="0" applyProtection="0"/>
    <xf numFmtId="0" fontId="100" fillId="2" borderId="0" applyNumberFormat="0" applyBorder="0" applyAlignment="0" applyProtection="0"/>
    <xf numFmtId="0" fontId="100" fillId="13" borderId="0" applyNumberFormat="0" applyBorder="0" applyAlignment="0" applyProtection="0"/>
    <xf numFmtId="0" fontId="100" fillId="14" borderId="0" applyNumberFormat="0" applyBorder="0" applyAlignment="0" applyProtection="0"/>
    <xf numFmtId="0" fontId="100" fillId="15" borderId="0" applyNumberFormat="0" applyBorder="0" applyAlignment="0" applyProtection="0"/>
    <xf numFmtId="0" fontId="100" fillId="12" borderId="0" applyNumberFormat="0" applyBorder="0" applyAlignment="0" applyProtection="0"/>
    <xf numFmtId="0" fontId="100" fillId="13" borderId="0" applyNumberFormat="0" applyBorder="0" applyAlignment="0" applyProtection="0"/>
    <xf numFmtId="0" fontId="100" fillId="16" borderId="0" applyNumberFormat="0" applyBorder="0" applyAlignment="0" applyProtection="0"/>
    <xf numFmtId="0" fontId="101" fillId="17" borderId="0" applyNumberFormat="0" applyBorder="0" applyAlignment="0" applyProtection="0"/>
    <xf numFmtId="0" fontId="101" fillId="14" borderId="0" applyNumberFormat="0" applyBorder="0" applyAlignment="0" applyProtection="0"/>
    <xf numFmtId="0" fontId="101" fillId="15" borderId="0" applyNumberFormat="0" applyBorder="0" applyAlignment="0" applyProtection="0"/>
    <xf numFmtId="0" fontId="101" fillId="18" borderId="0" applyNumberFormat="0" applyBorder="0" applyAlignment="0" applyProtection="0"/>
    <xf numFmtId="0" fontId="101" fillId="19" borderId="0" applyNumberFormat="0" applyBorder="0" applyAlignment="0" applyProtection="0"/>
    <xf numFmtId="0" fontId="101" fillId="20" borderId="0" applyNumberFormat="0" applyBorder="0" applyAlignment="0" applyProtection="0"/>
    <xf numFmtId="0" fontId="101" fillId="21" borderId="0" applyNumberFormat="0" applyBorder="0" applyAlignment="0" applyProtection="0"/>
    <xf numFmtId="0" fontId="101" fillId="22" borderId="0" applyNumberFormat="0" applyBorder="0" applyAlignment="0" applyProtection="0"/>
    <xf numFmtId="0" fontId="101" fillId="23" borderId="0" applyNumberFormat="0" applyBorder="0" applyAlignment="0" applyProtection="0"/>
    <xf numFmtId="0" fontId="101" fillId="18" borderId="0" applyNumberFormat="0" applyBorder="0" applyAlignment="0" applyProtection="0"/>
    <xf numFmtId="0" fontId="101" fillId="19" borderId="0" applyNumberFormat="0" applyBorder="0" applyAlignment="0" applyProtection="0"/>
    <xf numFmtId="0" fontId="101" fillId="24" borderId="0" applyNumberFormat="0" applyBorder="0" applyAlignment="0" applyProtection="0"/>
    <xf numFmtId="0" fontId="17" fillId="2" borderId="1" applyNumberFormat="0" applyAlignment="0" applyProtection="0"/>
    <xf numFmtId="0" fontId="102" fillId="25" borderId="20" applyNumberFormat="0" applyAlignment="0" applyProtection="0"/>
    <xf numFmtId="0" fontId="103" fillId="25" borderId="1" applyNumberFormat="0" applyAlignment="0" applyProtection="0"/>
    <xf numFmtId="0" fontId="99" fillId="0" borderId="0" applyNumberFormat="0" applyFill="0" applyBorder="0" applyAlignment="0" applyProtection="0">
      <alignment vertical="top"/>
      <protection locked="0"/>
    </xf>
    <xf numFmtId="0" fontId="104" fillId="0" borderId="21"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105" fillId="4" borderId="0" applyNumberFormat="0" applyBorder="0" applyAlignment="0" applyProtection="0"/>
    <xf numFmtId="0" fontId="106" fillId="10" borderId="0" applyNumberFormat="0" applyBorder="0" applyAlignment="0" applyProtection="0"/>
    <xf numFmtId="0" fontId="107" fillId="0" borderId="0" applyNumberFormat="0" applyFill="0" applyBorder="0" applyAlignment="0" applyProtection="0"/>
    <xf numFmtId="0" fontId="100" fillId="26" borderId="22"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11" borderId="0" applyNumberFormat="0" applyBorder="0" applyAlignment="0" applyProtection="0"/>
  </cellStyleXfs>
  <cellXfs count="592">
    <xf numFmtId="0" fontId="0" fillId="0" borderId="0" xfId="0"/>
    <xf numFmtId="0" fontId="43" fillId="0" borderId="7" xfId="0" applyFont="1" applyBorder="1" applyAlignment="1">
      <alignment horizontal="center" vertical="center" wrapText="1"/>
    </xf>
    <xf numFmtId="0" fontId="5" fillId="0" borderId="0" xfId="0" applyFont="1" applyAlignment="1">
      <alignment vertical="center"/>
    </xf>
    <xf numFmtId="0" fontId="7" fillId="0" borderId="0" xfId="0" applyFont="1"/>
    <xf numFmtId="164" fontId="4" fillId="0" borderId="0" xfId="0" applyNumberFormat="1" applyFont="1" applyBorder="1" applyAlignment="1">
      <alignment horizontal="right" vertical="center" wrapText="1"/>
    </xf>
    <xf numFmtId="0" fontId="0" fillId="0" borderId="0" xfId="0" applyBorder="1"/>
    <xf numFmtId="0" fontId="0" fillId="0" borderId="0" xfId="0" applyFill="1"/>
    <xf numFmtId="4" fontId="5" fillId="0" borderId="0" xfId="0" applyNumberFormat="1" applyFont="1" applyAlignment="1">
      <alignment vertical="center"/>
    </xf>
    <xf numFmtId="0" fontId="5" fillId="0" borderId="0" xfId="0" applyFont="1" applyAlignment="1">
      <alignment horizontal="right" vertical="center"/>
    </xf>
    <xf numFmtId="2" fontId="6" fillId="0" borderId="0" xfId="0" applyNumberFormat="1" applyFont="1" applyAlignment="1">
      <alignment vertical="center"/>
    </xf>
    <xf numFmtId="4" fontId="6" fillId="0" borderId="0" xfId="0" applyNumberFormat="1" applyFont="1" applyAlignment="1">
      <alignment vertical="center"/>
    </xf>
    <xf numFmtId="0" fontId="6" fillId="0" borderId="0" xfId="0" applyFont="1" applyAlignment="1">
      <alignment vertical="center"/>
    </xf>
    <xf numFmtId="2" fontId="8" fillId="0" borderId="0" xfId="38" applyNumberFormat="1" applyFont="1" applyFill="1" applyBorder="1" applyAlignment="1" applyProtection="1">
      <alignment vertical="center" wrapText="1"/>
      <protection locked="0"/>
    </xf>
    <xf numFmtId="164" fontId="6" fillId="0" borderId="0" xfId="0" applyNumberFormat="1" applyFont="1" applyBorder="1" applyAlignment="1">
      <alignment horizontal="right" vertical="center" wrapText="1"/>
    </xf>
    <xf numFmtId="4" fontId="36" fillId="0" borderId="0" xfId="0" applyNumberFormat="1" applyFont="1" applyAlignment="1">
      <alignment vertical="center"/>
    </xf>
    <xf numFmtId="0" fontId="36" fillId="0" borderId="0" xfId="0" applyFont="1" applyAlignment="1">
      <alignment vertical="center"/>
    </xf>
    <xf numFmtId="164" fontId="36" fillId="0" borderId="0" xfId="0" applyNumberFormat="1" applyFont="1" applyBorder="1" applyAlignment="1">
      <alignment horizontal="right" vertical="center" wrapText="1"/>
    </xf>
    <xf numFmtId="0" fontId="40" fillId="0" borderId="0" xfId="0" applyFont="1"/>
    <xf numFmtId="4" fontId="40" fillId="0" borderId="0" xfId="0" applyNumberFormat="1" applyFont="1"/>
    <xf numFmtId="0" fontId="43" fillId="0" borderId="0" xfId="0" applyFont="1" applyAlignment="1">
      <alignment vertical="center"/>
    </xf>
    <xf numFmtId="0" fontId="41" fillId="0" borderId="0" xfId="0" applyFont="1" applyAlignment="1">
      <alignment horizontal="center" vertical="center"/>
    </xf>
    <xf numFmtId="0" fontId="42" fillId="0" borderId="0" xfId="0" applyFont="1" applyAlignment="1">
      <alignment horizontal="center" vertical="center"/>
    </xf>
    <xf numFmtId="0" fontId="44" fillId="0" borderId="0" xfId="0" applyFont="1" applyAlignment="1">
      <alignment horizontal="center" vertical="center"/>
    </xf>
    <xf numFmtId="0" fontId="43" fillId="0" borderId="0" xfId="0" applyFont="1" applyAlignment="1">
      <alignment horizontal="center" vertical="center"/>
    </xf>
    <xf numFmtId="0" fontId="43" fillId="0" borderId="0" xfId="0" applyFont="1" applyBorder="1" applyAlignment="1">
      <alignment horizontal="right" vertical="center"/>
    </xf>
    <xf numFmtId="0" fontId="44" fillId="0" borderId="7" xfId="0" applyFont="1" applyBorder="1" applyAlignment="1">
      <alignment horizontal="center" vertical="center"/>
    </xf>
    <xf numFmtId="49" fontId="41" fillId="0" borderId="7" xfId="0" applyNumberFormat="1" applyFont="1" applyBorder="1" applyAlignment="1">
      <alignment horizontal="center" vertical="center" wrapText="1"/>
    </xf>
    <xf numFmtId="0" fontId="41" fillId="0" borderId="7" xfId="0" applyFont="1" applyBorder="1" applyAlignment="1">
      <alignment horizontal="center" vertical="center" wrapText="1"/>
    </xf>
    <xf numFmtId="0" fontId="43" fillId="0" borderId="8" xfId="0" applyFont="1" applyBorder="1" applyAlignment="1">
      <alignment horizontal="center" vertical="center" wrapText="1"/>
    </xf>
    <xf numFmtId="4" fontId="43" fillId="0" borderId="0" xfId="0" applyNumberFormat="1" applyFont="1" applyAlignment="1">
      <alignment horizontal="center" vertical="center"/>
    </xf>
    <xf numFmtId="0" fontId="49" fillId="0" borderId="0" xfId="0" applyFont="1"/>
    <xf numFmtId="4" fontId="49" fillId="0" borderId="0" xfId="0" applyNumberFormat="1" applyFont="1"/>
    <xf numFmtId="0" fontId="43" fillId="0" borderId="9" xfId="0" applyFont="1" applyBorder="1" applyAlignment="1">
      <alignment horizontal="center" vertical="center"/>
    </xf>
    <xf numFmtId="0" fontId="0" fillId="0" borderId="10" xfId="0" applyBorder="1" applyAlignment="1">
      <alignment horizontal="center" vertical="center"/>
    </xf>
    <xf numFmtId="0" fontId="9" fillId="0" borderId="0" xfId="35" applyNumberFormat="1" applyFont="1" applyFill="1" applyAlignment="1" applyProtection="1"/>
    <xf numFmtId="0" fontId="9" fillId="0" borderId="0" xfId="35" applyFont="1" applyFill="1"/>
    <xf numFmtId="0" fontId="3" fillId="0" borderId="0" xfId="35" applyNumberFormat="1" applyFont="1" applyFill="1" applyAlignment="1" applyProtection="1"/>
    <xf numFmtId="0" fontId="3" fillId="0" borderId="0" xfId="35" applyFont="1" applyFill="1"/>
    <xf numFmtId="0" fontId="11" fillId="0" borderId="11" xfId="35" applyNumberFormat="1" applyFont="1" applyFill="1" applyBorder="1" applyAlignment="1" applyProtection="1">
      <alignment horizontal="center"/>
    </xf>
    <xf numFmtId="0" fontId="3" fillId="0" borderId="11" xfId="35" applyFont="1" applyFill="1" applyBorder="1" applyAlignment="1">
      <alignment horizontal="center"/>
    </xf>
    <xf numFmtId="0" fontId="3" fillId="0" borderId="0" xfId="35" applyFont="1" applyFill="1" applyBorder="1" applyAlignment="1">
      <alignment horizontal="center"/>
    </xf>
    <xf numFmtId="0" fontId="11" fillId="0" borderId="0" xfId="35" applyNumberFormat="1" applyFont="1" applyFill="1" applyBorder="1" applyAlignment="1" applyProtection="1">
      <alignment horizontal="center" vertical="top"/>
    </xf>
    <xf numFmtId="0" fontId="14" fillId="0" borderId="11" xfId="35" applyNumberFormat="1" applyFont="1" applyFill="1" applyBorder="1" applyAlignment="1" applyProtection="1">
      <alignment horizontal="right" vertical="center"/>
    </xf>
    <xf numFmtId="0" fontId="3" fillId="0" borderId="0" xfId="35" applyNumberFormat="1" applyFont="1" applyFill="1" applyBorder="1" applyAlignment="1" applyProtection="1"/>
    <xf numFmtId="0" fontId="13" fillId="0" borderId="7" xfId="35" applyNumberFormat="1" applyFont="1" applyFill="1" applyBorder="1" applyAlignment="1" applyProtection="1">
      <alignment horizontal="center" vertical="center" wrapText="1"/>
    </xf>
    <xf numFmtId="0" fontId="30" fillId="0" borderId="7" xfId="35" applyNumberFormat="1" applyFont="1" applyFill="1" applyBorder="1" applyAlignment="1" applyProtection="1">
      <alignment horizontal="center" vertical="center" wrapText="1"/>
    </xf>
    <xf numFmtId="0" fontId="30" fillId="0" borderId="7" xfId="35" applyFont="1" applyBorder="1" applyAlignment="1">
      <alignment horizontal="center" vertical="center" wrapText="1"/>
    </xf>
    <xf numFmtId="0" fontId="3" fillId="0" borderId="0" xfId="35" applyNumberFormat="1" applyFont="1" applyFill="1" applyAlignment="1" applyProtection="1">
      <alignment vertical="center"/>
    </xf>
    <xf numFmtId="0" fontId="3" fillId="0" borderId="0" xfId="35" applyFont="1" applyFill="1" applyAlignment="1">
      <alignment vertical="center"/>
    </xf>
    <xf numFmtId="164" fontId="39" fillId="0" borderId="7" xfId="30" applyNumberFormat="1" applyFont="1" applyBorder="1">
      <alignment vertical="top"/>
    </xf>
    <xf numFmtId="0" fontId="29" fillId="0" borderId="7" xfId="35" applyFont="1" applyBorder="1" applyAlignment="1">
      <alignment horizontal="center" vertical="center" wrapText="1"/>
    </xf>
    <xf numFmtId="0" fontId="10" fillId="0" borderId="7" xfId="35" applyNumberFormat="1" applyFont="1" applyFill="1" applyBorder="1" applyAlignment="1" applyProtection="1">
      <alignment vertical="center" wrapText="1"/>
    </xf>
    <xf numFmtId="0" fontId="13" fillId="0" borderId="12" xfId="35" applyNumberFormat="1" applyFont="1" applyFill="1" applyBorder="1" applyAlignment="1" applyProtection="1">
      <alignment horizontal="center" vertical="center" wrapText="1"/>
    </xf>
    <xf numFmtId="0" fontId="13" fillId="0" borderId="10" xfId="35" applyNumberFormat="1" applyFont="1" applyFill="1" applyBorder="1" applyAlignment="1" applyProtection="1">
      <alignment horizontal="center" vertical="center" wrapText="1"/>
    </xf>
    <xf numFmtId="49" fontId="29" fillId="0" borderId="7" xfId="0" applyNumberFormat="1" applyFont="1" applyBorder="1" applyAlignment="1">
      <alignment horizontal="center" vertical="center" wrapText="1"/>
    </xf>
    <xf numFmtId="49" fontId="53" fillId="6" borderId="7" xfId="0" applyNumberFormat="1" applyFont="1" applyFill="1" applyBorder="1" applyAlignment="1">
      <alignment horizontal="center" vertical="center" wrapText="1"/>
    </xf>
    <xf numFmtId="49" fontId="29" fillId="6" borderId="7" xfId="0" applyNumberFormat="1" applyFont="1" applyFill="1" applyBorder="1" applyAlignment="1">
      <alignment horizontal="center" vertical="center" wrapText="1"/>
    </xf>
    <xf numFmtId="4" fontId="29" fillId="0" borderId="7" xfId="0" applyNumberFormat="1" applyFont="1" applyBorder="1" applyAlignment="1">
      <alignment horizontal="center" vertical="center" wrapText="1"/>
    </xf>
    <xf numFmtId="4" fontId="29" fillId="6" borderId="7" xfId="0" applyNumberFormat="1" applyFont="1" applyFill="1" applyBorder="1" applyAlignment="1">
      <alignment horizontal="center" vertical="center" wrapText="1"/>
    </xf>
    <xf numFmtId="164" fontId="39" fillId="0" borderId="7" xfId="30" applyNumberFormat="1" applyFont="1" applyBorder="1" applyAlignment="1">
      <alignment horizontal="center" vertical="center"/>
    </xf>
    <xf numFmtId="164" fontId="32" fillId="0" borderId="7" xfId="30" applyNumberFormat="1" applyFont="1" applyBorder="1" applyAlignment="1">
      <alignment horizontal="center" vertical="center"/>
    </xf>
    <xf numFmtId="49" fontId="55" fillId="0" borderId="7" xfId="0" applyNumberFormat="1" applyFont="1" applyBorder="1" applyAlignment="1">
      <alignment horizontal="center" vertical="center" wrapText="1"/>
    </xf>
    <xf numFmtId="164" fontId="32" fillId="0" borderId="7" xfId="30" applyNumberFormat="1" applyFont="1" applyBorder="1">
      <alignment vertical="top"/>
    </xf>
    <xf numFmtId="0" fontId="29" fillId="0" borderId="7" xfId="41" applyFont="1" applyBorder="1" applyAlignment="1">
      <alignment horizontal="center" vertical="center" wrapText="1"/>
    </xf>
    <xf numFmtId="4" fontId="45" fillId="0" borderId="7" xfId="0" applyNumberFormat="1" applyFont="1" applyFill="1" applyBorder="1" applyAlignment="1">
      <alignment horizontal="center" vertical="center" wrapText="1"/>
    </xf>
    <xf numFmtId="0" fontId="29" fillId="6" borderId="10" xfId="42" applyFont="1" applyFill="1" applyBorder="1" applyAlignment="1">
      <alignment horizontal="center" vertical="center" wrapText="1"/>
    </xf>
    <xf numFmtId="0" fontId="29" fillId="6" borderId="7" xfId="42" applyFont="1" applyFill="1" applyBorder="1" applyAlignment="1">
      <alignment horizontal="center" vertical="center" wrapText="1"/>
    </xf>
    <xf numFmtId="0" fontId="29" fillId="6" borderId="8" xfId="42" applyFont="1" applyFill="1" applyBorder="1" applyAlignment="1">
      <alignment horizontal="center" vertical="center" wrapText="1"/>
    </xf>
    <xf numFmtId="164" fontId="32" fillId="0" borderId="7" xfId="30" applyNumberFormat="1" applyFont="1" applyBorder="1" applyAlignment="1">
      <alignment horizontal="center" vertical="center" wrapText="1"/>
    </xf>
    <xf numFmtId="0" fontId="0" fillId="6" borderId="0" xfId="0" applyFill="1"/>
    <xf numFmtId="164" fontId="29" fillId="6" borderId="7" xfId="30" applyNumberFormat="1" applyFont="1" applyFill="1" applyBorder="1" applyAlignment="1">
      <alignment horizontal="center" vertical="center" wrapText="1"/>
    </xf>
    <xf numFmtId="164" fontId="32" fillId="0" borderId="7" xfId="30" applyNumberFormat="1" applyFont="1" applyFill="1" applyBorder="1" applyAlignment="1">
      <alignment horizontal="center" vertical="center"/>
    </xf>
    <xf numFmtId="164" fontId="39" fillId="0" borderId="7" xfId="30" applyNumberFormat="1" applyFont="1" applyFill="1" applyBorder="1" applyAlignment="1">
      <alignment horizontal="center" vertical="center"/>
    </xf>
    <xf numFmtId="0" fontId="53" fillId="0" borderId="7" xfId="35" applyFont="1" applyBorder="1" applyAlignment="1">
      <alignment horizontal="center" vertical="center" wrapText="1"/>
    </xf>
    <xf numFmtId="4" fontId="46" fillId="0" borderId="7" xfId="38" applyNumberFormat="1" applyFont="1" applyFill="1" applyBorder="1" applyAlignment="1" applyProtection="1">
      <alignment horizontal="center" vertical="center" wrapText="1"/>
      <protection locked="0"/>
    </xf>
    <xf numFmtId="0" fontId="57" fillId="0" borderId="0" xfId="0" applyFont="1"/>
    <xf numFmtId="49" fontId="29" fillId="0" borderId="7" xfId="0" applyNumberFormat="1" applyFont="1" applyFill="1" applyBorder="1" applyAlignment="1">
      <alignment horizontal="center" vertical="center" wrapText="1"/>
    </xf>
    <xf numFmtId="49" fontId="53" fillId="0" borderId="7" xfId="0" applyNumberFormat="1" applyFont="1" applyFill="1" applyBorder="1" applyAlignment="1">
      <alignment horizontal="center" vertical="center" wrapText="1"/>
    </xf>
    <xf numFmtId="4" fontId="53" fillId="0" borderId="7" xfId="0" applyNumberFormat="1" applyFont="1" applyFill="1" applyBorder="1" applyAlignment="1">
      <alignment horizontal="center" vertical="center" wrapText="1"/>
    </xf>
    <xf numFmtId="0" fontId="29" fillId="0" borderId="7" xfId="38" applyNumberFormat="1" applyFont="1" applyFill="1" applyBorder="1" applyAlignment="1" applyProtection="1">
      <alignment horizontal="center" vertical="center" wrapText="1"/>
      <protection locked="0"/>
    </xf>
    <xf numFmtId="0" fontId="29" fillId="6" borderId="7" xfId="38" applyNumberFormat="1" applyFont="1" applyFill="1" applyBorder="1" applyAlignment="1" applyProtection="1">
      <alignment horizontal="center" vertical="center" wrapText="1"/>
      <protection locked="0"/>
    </xf>
    <xf numFmtId="0" fontId="53" fillId="0" borderId="7" xfId="38" applyNumberFormat="1" applyFont="1" applyFill="1" applyBorder="1" applyAlignment="1" applyProtection="1">
      <alignment horizontal="center" vertical="center" wrapText="1"/>
      <protection locked="0"/>
    </xf>
    <xf numFmtId="0" fontId="53" fillId="0" borderId="7" xfId="0" applyFont="1" applyFill="1" applyBorder="1" applyAlignment="1">
      <alignment horizontal="center" vertical="center" wrapText="1"/>
    </xf>
    <xf numFmtId="164" fontId="56" fillId="0" borderId="7" xfId="30" applyNumberFormat="1" applyFont="1" applyBorder="1" applyAlignment="1">
      <alignment horizontal="center" vertical="center"/>
    </xf>
    <xf numFmtId="4" fontId="29" fillId="0" borderId="7" xfId="0" applyNumberFormat="1" applyFont="1" applyFill="1" applyBorder="1" applyAlignment="1">
      <alignment horizontal="center" vertical="center" wrapText="1"/>
    </xf>
    <xf numFmtId="4" fontId="53" fillId="6" borderId="7" xfId="0" applyNumberFormat="1" applyFont="1" applyFill="1" applyBorder="1" applyAlignment="1">
      <alignment horizontal="center" vertical="center" wrapText="1"/>
    </xf>
    <xf numFmtId="164" fontId="32" fillId="0" borderId="7" xfId="30" applyNumberFormat="1" applyFont="1" applyBorder="1" applyAlignment="1">
      <alignment horizontal="center" vertical="top"/>
    </xf>
    <xf numFmtId="164" fontId="32" fillId="0" borderId="7" xfId="30" applyNumberFormat="1" applyFont="1" applyBorder="1" applyAlignment="1">
      <alignment horizontal="center" vertical="top" wrapText="1"/>
    </xf>
    <xf numFmtId="164" fontId="56" fillId="0" borderId="7" xfId="30" applyNumberFormat="1" applyFont="1" applyBorder="1">
      <alignment vertical="top"/>
    </xf>
    <xf numFmtId="164" fontId="31" fillId="0" borderId="7" xfId="30" applyNumberFormat="1" applyFont="1" applyBorder="1" applyAlignment="1">
      <alignment horizontal="center" vertical="center"/>
    </xf>
    <xf numFmtId="0" fontId="29" fillId="6" borderId="7" xfId="0" applyFont="1" applyFill="1" applyBorder="1" applyAlignment="1">
      <alignment horizontal="center" vertical="center" wrapText="1"/>
    </xf>
    <xf numFmtId="0" fontId="53" fillId="6" borderId="7" xfId="0" applyFont="1" applyFill="1" applyBorder="1" applyAlignment="1">
      <alignment horizontal="center" vertical="center" wrapText="1"/>
    </xf>
    <xf numFmtId="49" fontId="29" fillId="0" borderId="8" xfId="0" applyNumberFormat="1" applyFont="1" applyFill="1" applyBorder="1" applyAlignment="1">
      <alignment horizontal="center" vertical="center" wrapText="1"/>
    </xf>
    <xf numFmtId="49" fontId="29" fillId="6" borderId="8" xfId="0" applyNumberFormat="1" applyFont="1" applyFill="1" applyBorder="1" applyAlignment="1">
      <alignment horizontal="center" vertical="center" wrapText="1"/>
    </xf>
    <xf numFmtId="0" fontId="53" fillId="6" borderId="8" xfId="0" applyFont="1" applyFill="1" applyBorder="1" applyAlignment="1">
      <alignment horizontal="center" vertical="center" wrapText="1"/>
    </xf>
    <xf numFmtId="0" fontId="53" fillId="6" borderId="9" xfId="0" applyFont="1" applyFill="1" applyBorder="1" applyAlignment="1">
      <alignment horizontal="center" vertical="center" wrapText="1"/>
    </xf>
    <xf numFmtId="0" fontId="53" fillId="6" borderId="10" xfId="0" applyFont="1" applyFill="1" applyBorder="1" applyAlignment="1">
      <alignment horizontal="center" vertical="center" wrapText="1"/>
    </xf>
    <xf numFmtId="0" fontId="53" fillId="6" borderId="8" xfId="0" applyNumberFormat="1" applyFont="1" applyFill="1" applyBorder="1" applyAlignment="1">
      <alignment horizontal="center" vertical="center" wrapText="1"/>
    </xf>
    <xf numFmtId="0" fontId="53" fillId="6" borderId="9" xfId="0" applyNumberFormat="1" applyFont="1" applyFill="1" applyBorder="1" applyAlignment="1">
      <alignment horizontal="center" vertical="center" wrapText="1"/>
    </xf>
    <xf numFmtId="0" fontId="53" fillId="6" borderId="10" xfId="0" applyNumberFormat="1" applyFont="1" applyFill="1" applyBorder="1" applyAlignment="1">
      <alignment horizontal="center" vertical="center" wrapText="1"/>
    </xf>
    <xf numFmtId="49" fontId="53" fillId="6" borderId="10" xfId="0" applyNumberFormat="1"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10" xfId="0"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49" fontId="29" fillId="6" borderId="13" xfId="0" applyNumberFormat="1" applyFont="1" applyFill="1" applyBorder="1" applyAlignment="1">
      <alignment horizontal="center" vertical="center" wrapText="1"/>
    </xf>
    <xf numFmtId="49" fontId="29" fillId="6" borderId="0" xfId="0" applyNumberFormat="1" applyFont="1" applyFill="1" applyBorder="1" applyAlignment="1">
      <alignment horizontal="center" vertical="center" wrapText="1"/>
    </xf>
    <xf numFmtId="0" fontId="53" fillId="0" borderId="8" xfId="0" applyFont="1" applyFill="1" applyBorder="1" applyAlignment="1" applyProtection="1">
      <alignment horizontal="center" vertical="center" wrapText="1"/>
    </xf>
    <xf numFmtId="0" fontId="53" fillId="0" borderId="9" xfId="0" applyFont="1" applyFill="1" applyBorder="1" applyAlignment="1" applyProtection="1">
      <alignment horizontal="center" vertical="center" wrapText="1"/>
    </xf>
    <xf numFmtId="0" fontId="53" fillId="0" borderId="10" xfId="0" applyFont="1" applyFill="1" applyBorder="1" applyAlignment="1" applyProtection="1">
      <alignment horizontal="center" vertical="center" wrapText="1"/>
    </xf>
    <xf numFmtId="49" fontId="53" fillId="6" borderId="8" xfId="0" applyNumberFormat="1" applyFont="1" applyFill="1" applyBorder="1" applyAlignment="1">
      <alignment horizontal="center" vertical="center" wrapText="1"/>
    </xf>
    <xf numFmtId="4" fontId="56" fillId="0" borderId="7" xfId="30" applyNumberFormat="1" applyFont="1" applyBorder="1" applyAlignment="1">
      <alignment horizontal="center" vertical="center"/>
    </xf>
    <xf numFmtId="4" fontId="32" fillId="0" borderId="7" xfId="30" applyNumberFormat="1" applyFont="1" applyBorder="1" applyAlignment="1">
      <alignment horizontal="center" vertical="center"/>
    </xf>
    <xf numFmtId="49" fontId="62" fillId="6" borderId="7" xfId="0" applyNumberFormat="1" applyFont="1" applyFill="1" applyBorder="1" applyAlignment="1">
      <alignment horizontal="center" vertical="center" wrapText="1"/>
    </xf>
    <xf numFmtId="164" fontId="63" fillId="0" borderId="7" xfId="30" applyNumberFormat="1" applyFont="1" applyBorder="1" applyAlignment="1">
      <alignment horizontal="center" vertical="center" wrapText="1"/>
    </xf>
    <xf numFmtId="4" fontId="64" fillId="0" borderId="0" xfId="0" applyNumberFormat="1" applyFont="1" applyAlignment="1">
      <alignment vertical="center"/>
    </xf>
    <xf numFmtId="164" fontId="56" fillId="0" borderId="7" xfId="30" applyNumberFormat="1" applyFont="1" applyBorder="1" applyAlignment="1">
      <alignment horizontal="center" vertical="center" wrapText="1"/>
    </xf>
    <xf numFmtId="0" fontId="3" fillId="7" borderId="0" xfId="35" applyNumberFormat="1" applyFont="1" applyFill="1" applyAlignment="1" applyProtection="1"/>
    <xf numFmtId="4" fontId="42" fillId="0" borderId="0" xfId="0" applyNumberFormat="1" applyFont="1" applyAlignment="1">
      <alignment horizontal="center" vertical="center"/>
    </xf>
    <xf numFmtId="49" fontId="53" fillId="6" borderId="7" xfId="0" applyNumberFormat="1" applyFont="1" applyFill="1" applyBorder="1" applyAlignment="1">
      <alignment horizontal="center" vertical="center"/>
    </xf>
    <xf numFmtId="4" fontId="65" fillId="0" borderId="0" xfId="0" applyNumberFormat="1" applyFont="1" applyAlignment="1">
      <alignment vertical="center"/>
    </xf>
    <xf numFmtId="4" fontId="66" fillId="0" borderId="0" xfId="0" applyNumberFormat="1"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3" fillId="8" borderId="0" xfId="35" applyNumberFormat="1" applyFont="1" applyFill="1" applyAlignment="1" applyProtection="1"/>
    <xf numFmtId="0" fontId="3" fillId="8" borderId="0" xfId="35" applyFont="1" applyFill="1"/>
    <xf numFmtId="4" fontId="31" fillId="0" borderId="7" xfId="30" applyNumberFormat="1" applyFont="1" applyBorder="1" applyAlignment="1">
      <alignment horizontal="center" vertical="center"/>
    </xf>
    <xf numFmtId="0" fontId="29" fillId="0" borderId="7" xfId="40" applyFont="1" applyFill="1" applyBorder="1" applyAlignment="1">
      <alignment horizontal="center" vertical="center" wrapText="1"/>
    </xf>
    <xf numFmtId="0" fontId="52" fillId="0" borderId="7" xfId="35" applyFont="1" applyBorder="1" applyAlignment="1">
      <alignment horizontal="center" vertical="center" wrapText="1"/>
    </xf>
    <xf numFmtId="49" fontId="29" fillId="6" borderId="7" xfId="0" applyNumberFormat="1" applyFont="1" applyFill="1" applyBorder="1" applyAlignment="1">
      <alignment horizontal="center" vertical="center"/>
    </xf>
    <xf numFmtId="4" fontId="33" fillId="0" borderId="7" xfId="30" applyNumberFormat="1" applyFont="1" applyBorder="1" applyAlignment="1">
      <alignment horizontal="center" vertical="center"/>
    </xf>
    <xf numFmtId="4" fontId="33" fillId="0" borderId="7" xfId="30" applyNumberFormat="1" applyFont="1" applyFill="1" applyBorder="1" applyAlignment="1">
      <alignment horizontal="center" vertical="center"/>
    </xf>
    <xf numFmtId="4" fontId="56" fillId="0" borderId="7" xfId="30" applyNumberFormat="1" applyFont="1" applyFill="1" applyBorder="1" applyAlignment="1">
      <alignment horizontal="center" vertical="center"/>
    </xf>
    <xf numFmtId="4" fontId="30" fillId="0" borderId="7" xfId="0" applyNumberFormat="1" applyFont="1" applyFill="1" applyBorder="1" applyAlignment="1">
      <alignment horizontal="center" vertical="center" wrapText="1"/>
    </xf>
    <xf numFmtId="4" fontId="37" fillId="0" borderId="7" xfId="0" applyNumberFormat="1" applyFont="1" applyFill="1" applyBorder="1" applyAlignment="1">
      <alignment horizontal="center" vertical="center" wrapText="1"/>
    </xf>
    <xf numFmtId="4" fontId="52" fillId="0" borderId="7" xfId="0" applyNumberFormat="1" applyFont="1" applyFill="1" applyBorder="1" applyAlignment="1">
      <alignment horizontal="center" vertical="center" wrapText="1"/>
    </xf>
    <xf numFmtId="4" fontId="32" fillId="0" borderId="7" xfId="30" applyNumberFormat="1" applyFont="1" applyFill="1" applyBorder="1" applyAlignment="1">
      <alignment horizontal="center" vertical="center"/>
    </xf>
    <xf numFmtId="4" fontId="29" fillId="0" borderId="7" xfId="40" applyNumberFormat="1" applyFont="1" applyFill="1" applyBorder="1" applyAlignment="1">
      <alignment horizontal="center" vertical="center"/>
    </xf>
    <xf numFmtId="4" fontId="29" fillId="0" borderId="7" xfId="0" applyNumberFormat="1" applyFont="1" applyFill="1" applyBorder="1" applyAlignment="1">
      <alignment horizontal="center" vertical="center"/>
    </xf>
    <xf numFmtId="0" fontId="29" fillId="0" borderId="7" xfId="40" applyFont="1" applyFill="1" applyBorder="1" applyAlignment="1">
      <alignment horizontal="justify" vertical="top" wrapText="1"/>
    </xf>
    <xf numFmtId="164" fontId="56" fillId="0" borderId="7" xfId="30" applyNumberFormat="1" applyFont="1" applyFill="1" applyBorder="1" applyAlignment="1">
      <alignment horizontal="center" vertical="center"/>
    </xf>
    <xf numFmtId="0" fontId="29" fillId="0" borderId="7" xfId="40" applyFont="1" applyFill="1" applyBorder="1" applyAlignment="1">
      <alignment horizontal="justify" vertical="center" wrapText="1"/>
    </xf>
    <xf numFmtId="0" fontId="29" fillId="0" borderId="7" xfId="42" applyFont="1" applyFill="1" applyBorder="1" applyAlignment="1">
      <alignment horizontal="center" vertical="center" wrapText="1"/>
    </xf>
    <xf numFmtId="164" fontId="32" fillId="0" borderId="7" xfId="30" applyNumberFormat="1" applyFont="1" applyFill="1" applyBorder="1" applyAlignment="1">
      <alignment horizontal="center" vertical="center" wrapText="1"/>
    </xf>
    <xf numFmtId="0" fontId="29" fillId="0" borderId="7" xfId="40" applyFont="1" applyFill="1" applyBorder="1" applyAlignment="1">
      <alignment horizontal="left" vertical="center" wrapText="1"/>
    </xf>
    <xf numFmtId="0" fontId="29" fillId="6" borderId="13" xfId="0" applyNumberFormat="1" applyFont="1" applyFill="1" applyBorder="1" applyAlignment="1">
      <alignment horizontal="center" vertical="center" wrapText="1"/>
    </xf>
    <xf numFmtId="0" fontId="29" fillId="6" borderId="0" xfId="0" applyNumberFormat="1" applyFont="1" applyFill="1" applyBorder="1" applyAlignment="1">
      <alignment horizontal="center" vertical="center" wrapText="1"/>
    </xf>
    <xf numFmtId="4" fontId="41" fillId="0" borderId="0" xfId="0" applyNumberFormat="1" applyFont="1" applyFill="1" applyAlignment="1">
      <alignment horizontal="center" vertical="center"/>
    </xf>
    <xf numFmtId="3" fontId="32" fillId="0" borderId="7" xfId="30" applyNumberFormat="1" applyFont="1" applyBorder="1" applyAlignment="1">
      <alignment horizontal="center" vertical="center"/>
    </xf>
    <xf numFmtId="3" fontId="32" fillId="0" borderId="7" xfId="30" applyNumberFormat="1" applyFont="1" applyFill="1" applyBorder="1" applyAlignment="1">
      <alignment horizontal="center" vertical="center"/>
    </xf>
    <xf numFmtId="4" fontId="29" fillId="0" borderId="0" xfId="35" applyNumberFormat="1" applyFont="1" applyFill="1" applyAlignment="1" applyProtection="1"/>
    <xf numFmtId="4" fontId="68" fillId="0" borderId="0" xfId="0" applyNumberFormat="1" applyFont="1" applyAlignment="1">
      <alignment vertical="center"/>
    </xf>
    <xf numFmtId="4" fontId="69" fillId="0" borderId="0" xfId="0" applyNumberFormat="1" applyFont="1" applyAlignment="1">
      <alignment vertical="center"/>
    </xf>
    <xf numFmtId="0" fontId="3" fillId="0" borderId="0" xfId="39" applyNumberFormat="1" applyFont="1" applyFill="1" applyAlignment="1" applyProtection="1"/>
    <xf numFmtId="0" fontId="3" fillId="0" borderId="0" xfId="39" applyFont="1" applyFill="1"/>
    <xf numFmtId="0" fontId="29" fillId="0" borderId="0" xfId="39" applyNumberFormat="1" applyFont="1" applyFill="1" applyAlignment="1" applyProtection="1">
      <alignment horizontal="center" vertical="center"/>
    </xf>
    <xf numFmtId="0" fontId="3" fillId="0" borderId="0" xfId="39" applyNumberFormat="1" applyFont="1" applyFill="1" applyBorder="1" applyAlignment="1" applyProtection="1"/>
    <xf numFmtId="0" fontId="14" fillId="0" borderId="11" xfId="39" applyNumberFormat="1" applyFont="1" applyFill="1" applyBorder="1" applyAlignment="1" applyProtection="1">
      <alignment vertical="center"/>
    </xf>
    <xf numFmtId="0" fontId="10" fillId="0" borderId="7" xfId="39" applyNumberFormat="1" applyFont="1" applyFill="1" applyBorder="1" applyAlignment="1" applyProtection="1">
      <alignment horizontal="center" vertical="center" wrapText="1"/>
    </xf>
    <xf numFmtId="0" fontId="3" fillId="0" borderId="0" xfId="39" applyNumberFormat="1" applyFont="1" applyFill="1" applyBorder="1" applyAlignment="1" applyProtection="1">
      <alignment vertical="center" wrapText="1"/>
    </xf>
    <xf numFmtId="0" fontId="3" fillId="0" borderId="0" xfId="39" applyNumberFormat="1" applyFont="1" applyFill="1" applyAlignment="1" applyProtection="1">
      <alignment vertical="center" wrapText="1"/>
    </xf>
    <xf numFmtId="0" fontId="3" fillId="0" borderId="0" xfId="39" applyFont="1" applyFill="1" applyAlignment="1">
      <alignment vertical="center" wrapText="1"/>
    </xf>
    <xf numFmtId="0" fontId="13" fillId="0" borderId="7" xfId="39" applyNumberFormat="1" applyFont="1" applyFill="1" applyBorder="1" applyAlignment="1" applyProtection="1">
      <alignment horizontal="center" vertical="center" wrapText="1"/>
    </xf>
    <xf numFmtId="0" fontId="29" fillId="0" borderId="0" xfId="39" applyNumberFormat="1" applyFont="1" applyFill="1" applyBorder="1" applyAlignment="1" applyProtection="1">
      <alignment wrapText="1"/>
    </xf>
    <xf numFmtId="0" fontId="29" fillId="0" borderId="0" xfId="39" applyNumberFormat="1" applyFont="1" applyFill="1" applyAlignment="1" applyProtection="1">
      <alignment wrapText="1"/>
    </xf>
    <xf numFmtId="0" fontId="29" fillId="0" borderId="0" xfId="39" applyFont="1" applyFill="1" applyAlignment="1">
      <alignment wrapText="1"/>
    </xf>
    <xf numFmtId="0" fontId="30" fillId="0" borderId="7" xfId="39" applyNumberFormat="1" applyFont="1" applyFill="1" applyBorder="1" applyAlignment="1" applyProtection="1">
      <alignment horizontal="center" vertical="center" wrapText="1"/>
    </xf>
    <xf numFmtId="0" fontId="30" fillId="0" borderId="7" xfId="39" applyNumberFormat="1" applyFont="1" applyFill="1" applyBorder="1" applyAlignment="1" applyProtection="1">
      <alignment horizontal="left" vertical="center" wrapText="1"/>
    </xf>
    <xf numFmtId="4" fontId="31" fillId="0" borderId="7" xfId="39" applyNumberFormat="1" applyFont="1" applyFill="1" applyBorder="1" applyAlignment="1">
      <alignment vertical="center" wrapText="1"/>
    </xf>
    <xf numFmtId="0" fontId="30" fillId="0" borderId="0" xfId="39" applyNumberFormat="1" applyFont="1" applyFill="1" applyBorder="1" applyAlignment="1" applyProtection="1">
      <alignment wrapText="1"/>
    </xf>
    <xf numFmtId="0" fontId="30" fillId="0" borderId="0" xfId="39" applyNumberFormat="1" applyFont="1" applyFill="1" applyAlignment="1" applyProtection="1">
      <alignment wrapText="1"/>
    </xf>
    <xf numFmtId="0" fontId="30" fillId="0" borderId="0" xfId="39" applyFont="1" applyFill="1" applyAlignment="1">
      <alignment wrapText="1"/>
    </xf>
    <xf numFmtId="0" fontId="29" fillId="0" borderId="7" xfId="39" applyNumberFormat="1" applyFont="1" applyFill="1" applyBorder="1" applyAlignment="1" applyProtection="1">
      <alignment horizontal="center" vertical="center" wrapText="1"/>
    </xf>
    <xf numFmtId="0" fontId="13" fillId="0" borderId="7" xfId="39" applyNumberFormat="1" applyFont="1" applyFill="1" applyBorder="1" applyAlignment="1" applyProtection="1">
      <alignment vertical="center" wrapText="1"/>
    </xf>
    <xf numFmtId="4" fontId="15" fillId="0" borderId="7" xfId="39" applyNumberFormat="1" applyFont="1" applyFill="1" applyBorder="1" applyAlignment="1">
      <alignment vertical="center" wrapText="1"/>
    </xf>
    <xf numFmtId="4" fontId="32" fillId="0" borderId="7" xfId="39" applyNumberFormat="1" applyFont="1" applyFill="1" applyBorder="1" applyAlignment="1">
      <alignment vertical="center" wrapText="1"/>
    </xf>
    <xf numFmtId="0" fontId="71" fillId="0" borderId="0" xfId="39" applyNumberFormat="1" applyFont="1" applyFill="1" applyBorder="1" applyAlignment="1" applyProtection="1">
      <alignment wrapText="1"/>
    </xf>
    <xf numFmtId="0" fontId="71" fillId="0" borderId="0" xfId="39" applyNumberFormat="1" applyFont="1" applyFill="1" applyAlignment="1" applyProtection="1">
      <alignment wrapText="1"/>
    </xf>
    <xf numFmtId="0" fontId="71" fillId="0" borderId="0" xfId="39" applyFont="1" applyFill="1" applyAlignment="1">
      <alignment wrapText="1"/>
    </xf>
    <xf numFmtId="0" fontId="37" fillId="0" borderId="7" xfId="39" applyNumberFormat="1" applyFont="1" applyFill="1" applyBorder="1" applyAlignment="1" applyProtection="1">
      <alignment vertical="center" wrapText="1"/>
    </xf>
    <xf numFmtId="4" fontId="38" fillId="0" borderId="7" xfId="39" applyNumberFormat="1" applyFont="1" applyFill="1" applyBorder="1" applyAlignment="1">
      <alignment vertical="center" wrapText="1"/>
    </xf>
    <xf numFmtId="0" fontId="71" fillId="0" borderId="7" xfId="39" applyNumberFormat="1" applyFont="1" applyFill="1" applyBorder="1" applyAlignment="1" applyProtection="1">
      <alignment horizontal="center" vertical="center" wrapText="1"/>
    </xf>
    <xf numFmtId="0" fontId="71" fillId="0" borderId="7" xfId="39" applyNumberFormat="1" applyFont="1" applyFill="1" applyBorder="1" applyAlignment="1" applyProtection="1">
      <alignment vertical="center" wrapText="1"/>
    </xf>
    <xf numFmtId="4" fontId="34" fillId="0" borderId="7" xfId="39" applyNumberFormat="1" applyFont="1" applyFill="1" applyBorder="1" applyAlignment="1">
      <alignment vertical="center" wrapText="1"/>
    </xf>
    <xf numFmtId="4" fontId="30" fillId="0" borderId="7" xfId="39" applyNumberFormat="1" applyFont="1" applyFill="1" applyBorder="1" applyAlignment="1" applyProtection="1">
      <alignment horizontal="right" vertical="center" wrapText="1"/>
    </xf>
    <xf numFmtId="4" fontId="29" fillId="0" borderId="7" xfId="39" applyNumberFormat="1" applyFont="1" applyFill="1" applyBorder="1" applyAlignment="1" applyProtection="1">
      <alignment horizontal="right" vertical="center" wrapText="1"/>
    </xf>
    <xf numFmtId="0" fontId="71" fillId="0" borderId="7" xfId="37" applyFont="1" applyFill="1" applyBorder="1" applyAlignment="1">
      <alignment horizontal="justify" vertical="top" wrapText="1"/>
    </xf>
    <xf numFmtId="4" fontId="29" fillId="0" borderId="7" xfId="39" applyNumberFormat="1" applyFont="1" applyFill="1" applyBorder="1" applyAlignment="1" applyProtection="1">
      <alignment vertical="center" wrapText="1"/>
    </xf>
    <xf numFmtId="4" fontId="39" fillId="0" borderId="7" xfId="39" applyNumberFormat="1" applyFont="1" applyFill="1" applyBorder="1" applyAlignment="1">
      <alignment vertical="center" wrapText="1"/>
    </xf>
    <xf numFmtId="0" fontId="3" fillId="0" borderId="0" xfId="39" applyNumberFormat="1" applyFont="1" applyFill="1" applyBorder="1" applyAlignment="1" applyProtection="1">
      <alignment wrapText="1"/>
    </xf>
    <xf numFmtId="0" fontId="3" fillId="0" borderId="0" xfId="39" applyNumberFormat="1" applyFont="1" applyFill="1" applyAlignment="1" applyProtection="1">
      <alignment wrapText="1"/>
    </xf>
    <xf numFmtId="0" fontId="3" fillId="0" borderId="0" xfId="39" applyFont="1" applyFill="1" applyAlignment="1">
      <alignment wrapText="1"/>
    </xf>
    <xf numFmtId="0" fontId="30" fillId="0" borderId="7" xfId="39" applyNumberFormat="1" applyFont="1" applyFill="1" applyBorder="1" applyAlignment="1" applyProtection="1">
      <alignment vertical="center" wrapText="1"/>
    </xf>
    <xf numFmtId="0" fontId="31" fillId="0" borderId="7" xfId="37" applyFont="1" applyFill="1" applyBorder="1" applyAlignment="1">
      <alignment horizontal="justify" vertical="top" wrapText="1"/>
    </xf>
    <xf numFmtId="4" fontId="33" fillId="0" borderId="7" xfId="39" applyNumberFormat="1" applyFont="1" applyFill="1" applyBorder="1" applyAlignment="1">
      <alignment vertical="center" wrapText="1"/>
    </xf>
    <xf numFmtId="0" fontId="34" fillId="0" borderId="7" xfId="37" applyFont="1" applyFill="1" applyBorder="1" applyAlignment="1">
      <alignment horizontal="justify" vertical="top" wrapText="1"/>
    </xf>
    <xf numFmtId="0" fontId="71" fillId="0" borderId="14" xfId="37" applyFont="1" applyFill="1" applyBorder="1" applyAlignment="1">
      <alignment horizontal="justify" vertical="top" wrapText="1"/>
    </xf>
    <xf numFmtId="0" fontId="72" fillId="0" borderId="7" xfId="37" applyFont="1" applyFill="1" applyBorder="1" applyAlignment="1">
      <alignment horizontal="justify" vertical="top" wrapText="1"/>
    </xf>
    <xf numFmtId="0" fontId="73" fillId="0" borderId="7" xfId="37" applyFont="1" applyFill="1" applyBorder="1" applyAlignment="1">
      <alignment horizontal="justify" vertical="top" wrapText="1"/>
    </xf>
    <xf numFmtId="0" fontId="37" fillId="0" borderId="7" xfId="39" applyNumberFormat="1" applyFont="1" applyFill="1" applyBorder="1" applyAlignment="1" applyProtection="1">
      <alignment horizontal="center" vertical="center" wrapText="1"/>
    </xf>
    <xf numFmtId="0" fontId="38" fillId="0" borderId="7" xfId="37" applyFont="1" applyFill="1" applyBorder="1" applyAlignment="1">
      <alignment horizontal="justify" vertical="top" wrapText="1"/>
    </xf>
    <xf numFmtId="0" fontId="34" fillId="0" borderId="7" xfId="37" applyFont="1" applyFill="1" applyBorder="1" applyAlignment="1">
      <alignment vertical="top" wrapText="1"/>
    </xf>
    <xf numFmtId="0" fontId="3" fillId="0" borderId="7" xfId="39" applyNumberFormat="1" applyFont="1" applyFill="1" applyBorder="1" applyAlignment="1" applyProtection="1">
      <alignment vertical="center" wrapText="1"/>
    </xf>
    <xf numFmtId="0" fontId="74" fillId="0" borderId="0" xfId="39" applyNumberFormat="1" applyFont="1" applyFill="1" applyBorder="1" applyAlignment="1" applyProtection="1">
      <alignment wrapText="1"/>
    </xf>
    <xf numFmtId="0" fontId="74" fillId="0" borderId="0" xfId="39" applyNumberFormat="1" applyFont="1" applyFill="1" applyAlignment="1" applyProtection="1">
      <alignment wrapText="1"/>
    </xf>
    <xf numFmtId="0" fontId="74" fillId="0" borderId="0" xfId="39" applyFont="1" applyFill="1" applyAlignment="1">
      <alignment wrapText="1"/>
    </xf>
    <xf numFmtId="0" fontId="73" fillId="0" borderId="7" xfId="39" applyNumberFormat="1" applyFont="1" applyFill="1" applyBorder="1" applyAlignment="1" applyProtection="1">
      <alignment horizontal="center" vertical="center" wrapText="1"/>
    </xf>
    <xf numFmtId="0" fontId="72" fillId="0" borderId="7" xfId="37" applyFont="1" applyFill="1" applyBorder="1" applyAlignment="1">
      <alignment vertical="top" wrapText="1"/>
    </xf>
    <xf numFmtId="4" fontId="72" fillId="0" borderId="7" xfId="39" applyNumberFormat="1" applyFont="1" applyFill="1" applyBorder="1" applyAlignment="1">
      <alignment vertical="center" wrapText="1"/>
    </xf>
    <xf numFmtId="4" fontId="75" fillId="0" borderId="7" xfId="39" applyNumberFormat="1" applyFont="1" applyFill="1" applyBorder="1" applyAlignment="1">
      <alignment vertical="center" wrapText="1"/>
    </xf>
    <xf numFmtId="0" fontId="76" fillId="0" borderId="7" xfId="37" applyFont="1" applyFill="1" applyBorder="1" applyAlignment="1">
      <alignment horizontal="justify" vertical="top" wrapText="1"/>
    </xf>
    <xf numFmtId="0" fontId="77" fillId="0" borderId="7" xfId="37" applyFont="1" applyFill="1" applyBorder="1" applyAlignment="1">
      <alignment horizontal="justify" vertical="top" wrapText="1"/>
    </xf>
    <xf numFmtId="0" fontId="29" fillId="0" borderId="7" xfId="39" applyNumberFormat="1" applyFont="1" applyFill="1" applyBorder="1" applyAlignment="1" applyProtection="1">
      <alignment vertical="center" wrapText="1"/>
    </xf>
    <xf numFmtId="0" fontId="78" fillId="0" borderId="7" xfId="37" applyFont="1" applyFill="1" applyBorder="1" applyAlignment="1">
      <alignment horizontal="justify" vertical="top" wrapText="1"/>
    </xf>
    <xf numFmtId="0" fontId="13" fillId="0" borderId="7" xfId="37" applyFont="1" applyFill="1" applyBorder="1" applyAlignment="1">
      <alignment horizontal="justify" vertical="top" wrapText="1"/>
    </xf>
    <xf numFmtId="0" fontId="11" fillId="0" borderId="7" xfId="37" applyFont="1" applyFill="1" applyBorder="1" applyAlignment="1">
      <alignment horizontal="justify" vertical="top" wrapText="1"/>
    </xf>
    <xf numFmtId="0" fontId="10" fillId="0" borderId="7" xfId="37" applyFont="1" applyFill="1" applyBorder="1" applyAlignment="1">
      <alignment horizontal="justify" vertical="top" wrapText="1"/>
    </xf>
    <xf numFmtId="0" fontId="71" fillId="0" borderId="7" xfId="39" applyNumberFormat="1" applyFont="1" applyFill="1" applyBorder="1" applyAlignment="1" applyProtection="1">
      <alignment horizontal="left" vertical="center" wrapText="1"/>
    </xf>
    <xf numFmtId="0" fontId="73" fillId="0" borderId="7" xfId="0" applyNumberFormat="1" applyFont="1" applyFill="1" applyBorder="1" applyAlignment="1" applyProtection="1">
      <alignment horizontal="left" vertical="center" wrapText="1"/>
    </xf>
    <xf numFmtId="0" fontId="71" fillId="0" borderId="7" xfId="0" applyNumberFormat="1" applyFont="1" applyFill="1" applyBorder="1" applyAlignment="1" applyProtection="1">
      <alignment horizontal="left" vertical="center" wrapText="1"/>
    </xf>
    <xf numFmtId="0" fontId="3" fillId="0" borderId="7" xfId="39" applyNumberFormat="1" applyFont="1" applyFill="1" applyBorder="1" applyAlignment="1" applyProtection="1">
      <alignment horizontal="center" vertical="center" wrapText="1"/>
    </xf>
    <xf numFmtId="0" fontId="70" fillId="0" borderId="7" xfId="39" applyFont="1" applyFill="1" applyBorder="1" applyAlignment="1">
      <alignment vertical="center" wrapText="1"/>
    </xf>
    <xf numFmtId="0" fontId="10" fillId="0" borderId="0" xfId="39" applyNumberFormat="1" applyFont="1" applyFill="1" applyBorder="1" applyAlignment="1" applyProtection="1"/>
    <xf numFmtId="0" fontId="10" fillId="0" borderId="0" xfId="39" applyNumberFormat="1" applyFont="1" applyFill="1" applyAlignment="1" applyProtection="1"/>
    <xf numFmtId="0" fontId="10" fillId="0" borderId="0" xfId="39" applyFont="1" applyFill="1"/>
    <xf numFmtId="2" fontId="3" fillId="0" borderId="0" xfId="39" applyNumberFormat="1" applyFont="1" applyFill="1" applyBorder="1" applyAlignment="1" applyProtection="1"/>
    <xf numFmtId="4" fontId="3" fillId="0" borderId="0" xfId="39" applyNumberFormat="1" applyFont="1" applyFill="1" applyBorder="1" applyAlignment="1" applyProtection="1"/>
    <xf numFmtId="0" fontId="54" fillId="0" borderId="0" xfId="0" applyFont="1" applyFill="1"/>
    <xf numFmtId="0" fontId="15" fillId="0" borderId="0" xfId="0" applyFont="1" applyFill="1" applyAlignment="1"/>
    <xf numFmtId="0" fontId="14" fillId="0" borderId="7" xfId="0" applyFont="1" applyFill="1" applyBorder="1" applyAlignment="1">
      <alignment horizontal="center" vertical="top" wrapText="1"/>
    </xf>
    <xf numFmtId="0" fontId="81" fillId="0" borderId="7" xfId="0" applyFont="1" applyFill="1" applyBorder="1" applyAlignment="1">
      <alignment horizontal="center" vertical="top" wrapText="1"/>
    </xf>
    <xf numFmtId="4" fontId="1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82" fillId="0" borderId="0" xfId="35" applyNumberFormat="1" applyFont="1" applyFill="1" applyAlignment="1" applyProtection="1"/>
    <xf numFmtId="0" fontId="82" fillId="0" borderId="0" xfId="35" applyFont="1" applyFill="1"/>
    <xf numFmtId="0" fontId="11" fillId="0" borderId="0" xfId="35" applyNumberFormat="1" applyFont="1" applyFill="1" applyAlignment="1" applyProtection="1">
      <alignment horizontal="center" vertical="center" wrapText="1"/>
    </xf>
    <xf numFmtId="0" fontId="14" fillId="0" borderId="0" xfId="35" applyNumberFormat="1" applyFont="1" applyFill="1" applyAlignment="1" applyProtection="1">
      <alignment horizontal="center" vertical="center" wrapText="1"/>
    </xf>
    <xf numFmtId="0" fontId="11" fillId="0" borderId="0" xfId="35" applyNumberFormat="1" applyFont="1" applyFill="1" applyAlignment="1" applyProtection="1">
      <alignment horizontal="center"/>
    </xf>
    <xf numFmtId="0" fontId="82" fillId="0" borderId="0" xfId="35" applyFont="1" applyFill="1" applyAlignment="1">
      <alignment horizontal="center"/>
    </xf>
    <xf numFmtId="0" fontId="14" fillId="0" borderId="0" xfId="35" applyFont="1" applyFill="1" applyAlignment="1">
      <alignment horizontal="right"/>
    </xf>
    <xf numFmtId="0" fontId="82" fillId="0" borderId="16" xfId="35" applyNumberFormat="1" applyFont="1" applyFill="1" applyBorder="1" applyAlignment="1" applyProtection="1"/>
    <xf numFmtId="0" fontId="82" fillId="0" borderId="17" xfId="35" applyNumberFormat="1" applyFont="1" applyFill="1" applyBorder="1" applyAlignment="1" applyProtection="1"/>
    <xf numFmtId="0" fontId="84" fillId="0" borderId="8" xfId="35" applyNumberFormat="1" applyFont="1" applyFill="1" applyBorder="1" applyAlignment="1" applyProtection="1">
      <alignment horizontal="center" vertical="center" wrapText="1"/>
    </xf>
    <xf numFmtId="0" fontId="82" fillId="0" borderId="0" xfId="35" applyNumberFormat="1" applyFont="1" applyFill="1" applyBorder="1" applyAlignment="1" applyProtection="1"/>
    <xf numFmtId="0" fontId="71" fillId="0" borderId="0" xfId="35" applyNumberFormat="1" applyFont="1" applyFill="1" applyAlignment="1" applyProtection="1"/>
    <xf numFmtId="49" fontId="30" fillId="0" borderId="7" xfId="35" applyNumberFormat="1" applyFont="1" applyBorder="1" applyAlignment="1">
      <alignment horizontal="center" vertical="center" wrapText="1"/>
    </xf>
    <xf numFmtId="49" fontId="30" fillId="0" borderId="7" xfId="0" applyNumberFormat="1" applyFont="1" applyFill="1" applyBorder="1" applyAlignment="1">
      <alignment horizontal="center" vertical="center" wrapText="1"/>
    </xf>
    <xf numFmtId="4" fontId="31" fillId="0" borderId="7" xfId="35" applyNumberFormat="1" applyFont="1" applyBorder="1" applyAlignment="1">
      <alignment horizontal="center" vertical="center"/>
    </xf>
    <xf numFmtId="0" fontId="85" fillId="0" borderId="0" xfId="35" applyFont="1" applyFill="1"/>
    <xf numFmtId="49" fontId="52" fillId="0" borderId="7" xfId="35" applyNumberFormat="1" applyFont="1" applyBorder="1" applyAlignment="1">
      <alignment horizontal="center" vertical="center" wrapText="1"/>
    </xf>
    <xf numFmtId="49" fontId="52" fillId="0" borderId="7" xfId="0" applyNumberFormat="1" applyFont="1" applyFill="1" applyBorder="1" applyAlignment="1">
      <alignment horizontal="center" vertical="center" wrapText="1"/>
    </xf>
    <xf numFmtId="4" fontId="33" fillId="0" borderId="7" xfId="35" applyNumberFormat="1" applyFont="1" applyBorder="1" applyAlignment="1">
      <alignment horizontal="center" vertical="center"/>
    </xf>
    <xf numFmtId="49" fontId="29" fillId="0" borderId="7" xfId="35" applyNumberFormat="1" applyFont="1" applyBorder="1" applyAlignment="1">
      <alignment horizontal="center" vertical="center" wrapText="1"/>
    </xf>
    <xf numFmtId="49" fontId="53" fillId="0" borderId="7" xfId="35" applyNumberFormat="1" applyFont="1" applyBorder="1" applyAlignment="1">
      <alignment horizontal="center" vertical="center" wrapText="1"/>
    </xf>
    <xf numFmtId="4" fontId="56" fillId="0" borderId="7" xfId="35" applyNumberFormat="1" applyFont="1" applyBorder="1" applyAlignment="1">
      <alignment horizontal="center" vertical="center"/>
    </xf>
    <xf numFmtId="4" fontId="52" fillId="0" borderId="7" xfId="35" applyNumberFormat="1" applyFont="1" applyFill="1" applyBorder="1" applyAlignment="1" applyProtection="1">
      <alignment horizontal="center" vertical="center"/>
    </xf>
    <xf numFmtId="4" fontId="30" fillId="0" borderId="7" xfId="35" applyNumberFormat="1" applyFont="1" applyFill="1" applyBorder="1" applyAlignment="1" applyProtection="1">
      <alignment horizontal="center" vertical="center"/>
    </xf>
    <xf numFmtId="0" fontId="86" fillId="0" borderId="0" xfId="36" applyNumberFormat="1" applyFont="1" applyFill="1" applyBorder="1" applyAlignment="1" applyProtection="1">
      <alignment vertical="top"/>
    </xf>
    <xf numFmtId="0" fontId="79" fillId="0" borderId="0" xfId="36" applyNumberFormat="1" applyFont="1" applyFill="1" applyBorder="1" applyAlignment="1" applyProtection="1">
      <alignment vertical="top"/>
    </xf>
    <xf numFmtId="0" fontId="86" fillId="0" borderId="0" xfId="36" applyNumberFormat="1" applyFont="1" applyFill="1" applyBorder="1" applyAlignment="1" applyProtection="1">
      <alignment horizontal="center" vertical="top"/>
    </xf>
    <xf numFmtId="0" fontId="88" fillId="0" borderId="0" xfId="36" applyNumberFormat="1" applyFont="1" applyFill="1" applyBorder="1" applyAlignment="1" applyProtection="1">
      <alignment horizontal="right" vertical="top"/>
    </xf>
    <xf numFmtId="0" fontId="10" fillId="0" borderId="0" xfId="36" applyNumberFormat="1" applyFont="1" applyFill="1" applyBorder="1" applyAlignment="1" applyProtection="1">
      <alignment horizontal="center" vertical="top"/>
    </xf>
    <xf numFmtId="2" fontId="79" fillId="0" borderId="0" xfId="36" applyNumberFormat="1" applyFont="1" applyFill="1" applyBorder="1" applyAlignment="1" applyProtection="1">
      <alignment horizontal="center" vertical="top"/>
    </xf>
    <xf numFmtId="2" fontId="86" fillId="0" borderId="7" xfId="36" applyNumberFormat="1" applyFont="1" applyFill="1" applyBorder="1" applyAlignment="1" applyProtection="1">
      <alignment horizontal="center" vertical="center"/>
    </xf>
    <xf numFmtId="2" fontId="10" fillId="0" borderId="7" xfId="36" applyNumberFormat="1" applyFont="1" applyFill="1" applyBorder="1" applyAlignment="1" applyProtection="1">
      <alignment horizontal="center" vertical="center"/>
    </xf>
    <xf numFmtId="2" fontId="10" fillId="0" borderId="0" xfId="36" applyNumberFormat="1" applyFont="1" applyFill="1" applyBorder="1" applyAlignment="1" applyProtection="1">
      <alignment horizontal="center" vertical="top"/>
    </xf>
    <xf numFmtId="2" fontId="9" fillId="0" borderId="7" xfId="36" applyNumberFormat="1" applyFont="1" applyFill="1" applyBorder="1" applyAlignment="1" applyProtection="1">
      <alignment horizontal="center" vertical="center" wrapText="1"/>
    </xf>
    <xf numFmtId="2" fontId="89" fillId="0" borderId="7" xfId="36" applyNumberFormat="1" applyFont="1" applyFill="1" applyBorder="1" applyAlignment="1" applyProtection="1">
      <alignment horizontal="center" vertical="center" wrapText="1"/>
    </xf>
    <xf numFmtId="4" fontId="9" fillId="0" borderId="7" xfId="36" applyNumberFormat="1" applyFont="1" applyFill="1" applyBorder="1" applyAlignment="1" applyProtection="1">
      <alignment horizontal="center" vertical="center"/>
    </xf>
    <xf numFmtId="2" fontId="86" fillId="0" borderId="7" xfId="36" applyNumberFormat="1" applyFont="1" applyFill="1" applyBorder="1" applyAlignment="1" applyProtection="1">
      <alignment horizontal="center" vertical="center" wrapText="1"/>
    </xf>
    <xf numFmtId="4" fontId="90" fillId="0" borderId="7" xfId="36" applyNumberFormat="1" applyFont="1" applyFill="1" applyBorder="1" applyAlignment="1" applyProtection="1">
      <alignment horizontal="center" vertical="center" wrapText="1"/>
    </xf>
    <xf numFmtId="2" fontId="10" fillId="0" borderId="7" xfId="36" applyNumberFormat="1" applyFont="1" applyFill="1" applyBorder="1" applyAlignment="1" applyProtection="1">
      <alignment horizontal="center" vertical="center" wrapText="1"/>
    </xf>
    <xf numFmtId="4" fontId="10" fillId="0" borderId="7" xfId="36" applyNumberFormat="1" applyFont="1" applyFill="1" applyBorder="1" applyAlignment="1" applyProtection="1">
      <alignment horizontal="center" vertical="center"/>
    </xf>
    <xf numFmtId="2" fontId="89" fillId="0" borderId="7" xfId="38" applyNumberFormat="1" applyFont="1" applyFill="1" applyBorder="1" applyAlignment="1" applyProtection="1">
      <alignment horizontal="center" vertical="center" wrapText="1"/>
      <protection locked="0"/>
    </xf>
    <xf numFmtId="2" fontId="12" fillId="0" borderId="0" xfId="36" applyNumberFormat="1" applyFont="1" applyFill="1" applyBorder="1" applyAlignment="1" applyProtection="1">
      <alignment vertical="top"/>
    </xf>
    <xf numFmtId="0" fontId="89" fillId="0" borderId="0" xfId="36" applyNumberFormat="1" applyFont="1" applyFill="1" applyBorder="1" applyAlignment="1" applyProtection="1">
      <alignment horizontal="center" vertical="top" wrapText="1"/>
    </xf>
    <xf numFmtId="2" fontId="89" fillId="0" borderId="0" xfId="36" applyNumberFormat="1" applyFont="1" applyFill="1" applyBorder="1" applyAlignment="1" applyProtection="1">
      <alignment horizontal="center" vertical="top" wrapText="1"/>
    </xf>
    <xf numFmtId="165" fontId="9" fillId="0" borderId="0" xfId="36" applyNumberFormat="1" applyFont="1" applyFill="1" applyBorder="1" applyAlignment="1" applyProtection="1">
      <alignment horizontal="center" vertical="top"/>
    </xf>
    <xf numFmtId="0" fontId="91" fillId="0" borderId="0" xfId="38" applyNumberFormat="1" applyFont="1" applyFill="1" applyBorder="1" applyAlignment="1" applyProtection="1">
      <alignment horizontal="left" vertical="center" wrapText="1"/>
      <protection locked="0"/>
    </xf>
    <xf numFmtId="0" fontId="89" fillId="0" borderId="0" xfId="36" applyNumberFormat="1" applyFont="1" applyFill="1" applyBorder="1" applyAlignment="1" applyProtection="1">
      <alignment horizontal="left" vertical="top" wrapText="1"/>
    </xf>
    <xf numFmtId="0" fontId="3" fillId="0" borderId="0" xfId="0" applyFont="1"/>
    <xf numFmtId="0" fontId="3" fillId="0" borderId="0" xfId="0" applyFont="1" applyFill="1"/>
    <xf numFmtId="0" fontId="92" fillId="0" borderId="7" xfId="0" applyFont="1" applyFill="1" applyBorder="1" applyAlignment="1">
      <alignment horizontal="center" vertical="center" wrapText="1"/>
    </xf>
    <xf numFmtId="0" fontId="10" fillId="0" borderId="7" xfId="35" applyNumberFormat="1" applyFont="1" applyFill="1" applyBorder="1" applyAlignment="1" applyProtection="1">
      <alignment horizontal="center" vertical="center" wrapText="1"/>
    </xf>
    <xf numFmtId="0" fontId="92" fillId="0" borderId="7" xfId="0" applyFont="1" applyFill="1" applyBorder="1" applyAlignment="1">
      <alignment horizontal="center" vertical="center"/>
    </xf>
    <xf numFmtId="0" fontId="93" fillId="0" borderId="7" xfId="0" applyFont="1" applyFill="1" applyBorder="1" applyAlignment="1">
      <alignment horizontal="center" vertical="center"/>
    </xf>
    <xf numFmtId="49" fontId="9" fillId="6" borderId="7" xfId="0" applyNumberFormat="1" applyFont="1" applyFill="1" applyBorder="1" applyAlignment="1">
      <alignment horizontal="center" vertical="center" wrapText="1"/>
    </xf>
    <xf numFmtId="0" fontId="93" fillId="0" borderId="7" xfId="0" applyFont="1" applyFill="1" applyBorder="1" applyAlignment="1">
      <alignment horizontal="left" vertical="center" wrapText="1"/>
    </xf>
    <xf numFmtId="4" fontId="93" fillId="0" borderId="7" xfId="0" applyNumberFormat="1" applyFont="1" applyFill="1" applyBorder="1" applyAlignment="1">
      <alignment horizontal="center" vertical="center"/>
    </xf>
    <xf numFmtId="0" fontId="93" fillId="0" borderId="7" xfId="0" applyFont="1" applyFill="1" applyBorder="1" applyAlignment="1">
      <alignment vertical="center" wrapText="1"/>
    </xf>
    <xf numFmtId="0" fontId="9" fillId="0" borderId="7" xfId="0" applyFont="1" applyFill="1" applyBorder="1" applyAlignment="1">
      <alignment horizontal="left" vertical="center" wrapText="1"/>
    </xf>
    <xf numFmtId="49" fontId="35" fillId="6" borderId="7" xfId="0" applyNumberFormat="1" applyFont="1" applyFill="1" applyBorder="1" applyAlignment="1">
      <alignment horizontal="center" vertical="center" wrapText="1"/>
    </xf>
    <xf numFmtId="0" fontId="9" fillId="0" borderId="7" xfId="0" applyFont="1" applyFill="1" applyBorder="1" applyAlignment="1">
      <alignment vertical="center" wrapText="1"/>
    </xf>
    <xf numFmtId="2" fontId="9" fillId="0" borderId="7" xfId="0" applyNumberFormat="1" applyFont="1" applyFill="1" applyBorder="1" applyAlignment="1">
      <alignment horizontal="center" vertical="center"/>
    </xf>
    <xf numFmtId="0" fontId="87" fillId="0" borderId="0" xfId="0" applyFont="1"/>
    <xf numFmtId="0" fontId="87" fillId="0" borderId="0" xfId="0" applyFont="1" applyFill="1"/>
    <xf numFmtId="2" fontId="9" fillId="0" borderId="0" xfId="36" applyNumberFormat="1" applyFont="1" applyFill="1" applyBorder="1" applyAlignment="1" applyProtection="1">
      <alignment vertical="top"/>
    </xf>
    <xf numFmtId="4" fontId="45" fillId="0" borderId="7" xfId="38" applyNumberFormat="1" applyFont="1" applyFill="1" applyBorder="1" applyAlignment="1" applyProtection="1">
      <alignment horizontal="center" vertical="center" wrapText="1"/>
      <protection locked="0"/>
    </xf>
    <xf numFmtId="4" fontId="47" fillId="0" borderId="7" xfId="38" applyNumberFormat="1" applyFont="1" applyFill="1" applyBorder="1" applyAlignment="1" applyProtection="1">
      <alignment horizontal="center" vertical="center" wrapText="1"/>
      <protection locked="0"/>
    </xf>
    <xf numFmtId="4" fontId="46" fillId="0" borderId="7" xfId="38" applyNumberFormat="1" applyFont="1" applyFill="1" applyBorder="1" applyAlignment="1" applyProtection="1">
      <alignment horizontal="center" vertical="center" wrapText="1"/>
    </xf>
    <xf numFmtId="4" fontId="48" fillId="0" borderId="7" xfId="38" applyNumberFormat="1" applyFont="1" applyFill="1" applyBorder="1" applyAlignment="1" applyProtection="1">
      <alignment horizontal="center" vertical="center" wrapText="1"/>
    </xf>
    <xf numFmtId="4" fontId="48" fillId="0" borderId="7" xfId="0" applyNumberFormat="1" applyFont="1" applyFill="1" applyBorder="1" applyAlignment="1">
      <alignment horizontal="center" vertical="center" wrapText="1"/>
    </xf>
    <xf numFmtId="49" fontId="42" fillId="0" borderId="7" xfId="0" applyNumberFormat="1" applyFont="1" applyFill="1" applyBorder="1" applyAlignment="1">
      <alignment horizontal="center" vertical="center" wrapText="1"/>
    </xf>
    <xf numFmtId="0" fontId="43" fillId="0" borderId="7" xfId="38" applyNumberFormat="1" applyFont="1" applyFill="1" applyBorder="1" applyAlignment="1" applyProtection="1">
      <alignment horizontal="center" vertical="center" wrapText="1"/>
      <protection locked="0"/>
    </xf>
    <xf numFmtId="4" fontId="47" fillId="0" borderId="7" xfId="38" applyNumberFormat="1" applyFont="1" applyFill="1" applyBorder="1" applyAlignment="1" applyProtection="1">
      <alignment horizontal="center" vertical="center" wrapText="1"/>
    </xf>
    <xf numFmtId="4" fontId="48" fillId="0" borderId="7" xfId="38" applyNumberFormat="1" applyFont="1" applyFill="1" applyBorder="1" applyAlignment="1" applyProtection="1">
      <alignment horizontal="center" vertical="center" wrapText="1"/>
      <protection locked="0"/>
    </xf>
    <xf numFmtId="49" fontId="42" fillId="0" borderId="7" xfId="0" applyNumberFormat="1" applyFont="1" applyFill="1" applyBorder="1" applyAlignment="1">
      <alignment horizontal="center" vertical="center"/>
    </xf>
    <xf numFmtId="49" fontId="43" fillId="0" borderId="7" xfId="35" applyNumberFormat="1" applyFont="1" applyFill="1" applyBorder="1" applyAlignment="1">
      <alignment horizontal="center" vertical="center" wrapText="1"/>
    </xf>
    <xf numFmtId="0" fontId="43" fillId="0" borderId="7" xfId="35" applyFont="1" applyFill="1" applyBorder="1" applyAlignment="1">
      <alignment horizontal="center" vertical="center" wrapText="1"/>
    </xf>
    <xf numFmtId="49" fontId="43" fillId="0" borderId="7" xfId="0" applyNumberFormat="1" applyFont="1" applyFill="1" applyBorder="1" applyAlignment="1">
      <alignment horizontal="center" vertical="center"/>
    </xf>
    <xf numFmtId="49" fontId="43" fillId="0" borderId="10" xfId="0" applyNumberFormat="1"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10" xfId="0" applyFont="1" applyFill="1" applyBorder="1" applyAlignment="1">
      <alignment horizontal="center" vertical="center" wrapText="1"/>
    </xf>
    <xf numFmtId="0" fontId="42" fillId="0" borderId="8" xfId="0" applyNumberFormat="1" applyFont="1" applyFill="1" applyBorder="1" applyAlignment="1">
      <alignment horizontal="center" vertical="center" wrapText="1"/>
    </xf>
    <xf numFmtId="0" fontId="42" fillId="0" borderId="9" xfId="0" applyNumberFormat="1" applyFont="1" applyFill="1" applyBorder="1" applyAlignment="1">
      <alignment horizontal="center" vertical="center" wrapText="1"/>
    </xf>
    <xf numFmtId="0" fontId="42" fillId="0" borderId="10" xfId="0" applyNumberFormat="1" applyFont="1" applyFill="1" applyBorder="1" applyAlignment="1">
      <alignment horizontal="center" vertical="center" wrapText="1"/>
    </xf>
    <xf numFmtId="49" fontId="42" fillId="0" borderId="10" xfId="0" applyNumberFormat="1" applyFont="1" applyFill="1" applyBorder="1" applyAlignment="1">
      <alignment horizontal="center" vertical="center" wrapText="1"/>
    </xf>
    <xf numFmtId="0" fontId="42" fillId="0" borderId="0"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pplyProtection="1">
      <alignment horizontal="center" vertical="center" wrapText="1"/>
    </xf>
    <xf numFmtId="0" fontId="42" fillId="0" borderId="9" xfId="0" applyFont="1" applyFill="1" applyBorder="1" applyAlignment="1" applyProtection="1">
      <alignment horizontal="center" vertical="center" wrapText="1"/>
    </xf>
    <xf numFmtId="0" fontId="42" fillId="0" borderId="10" xfId="0" applyFont="1" applyFill="1" applyBorder="1" applyAlignment="1" applyProtection="1">
      <alignment horizontal="center" vertical="center" wrapText="1"/>
    </xf>
    <xf numFmtId="0" fontId="43" fillId="0" borderId="13" xfId="0" applyNumberFormat="1" applyFont="1" applyFill="1" applyBorder="1" applyAlignment="1">
      <alignment horizontal="center" vertical="center" wrapText="1"/>
    </xf>
    <xf numFmtId="0" fontId="43" fillId="0" borderId="0" xfId="0" applyNumberFormat="1" applyFont="1" applyFill="1" applyBorder="1" applyAlignment="1">
      <alignment horizontal="center" vertical="center" wrapText="1"/>
    </xf>
    <xf numFmtId="0" fontId="43" fillId="0" borderId="0" xfId="38" applyNumberFormat="1" applyFont="1" applyFill="1" applyBorder="1" applyAlignment="1" applyProtection="1">
      <alignment horizontal="center" vertical="center" wrapText="1"/>
      <protection locked="0"/>
    </xf>
    <xf numFmtId="4" fontId="46" fillId="0" borderId="7" xfId="0" applyNumberFormat="1" applyFont="1" applyFill="1" applyBorder="1" applyAlignment="1">
      <alignment horizontal="center" vertical="center"/>
    </xf>
    <xf numFmtId="4" fontId="47" fillId="0" borderId="7" xfId="0" applyNumberFormat="1" applyFont="1" applyFill="1" applyBorder="1" applyAlignment="1">
      <alignment horizontal="center" vertical="center"/>
    </xf>
    <xf numFmtId="0" fontId="42" fillId="0" borderId="7" xfId="38" applyNumberFormat="1" applyFont="1" applyFill="1" applyBorder="1" applyAlignment="1" applyProtection="1">
      <alignment horizontal="center" vertical="center" wrapText="1"/>
      <protection locked="0"/>
    </xf>
    <xf numFmtId="0" fontId="29" fillId="0" borderId="0" xfId="38" applyNumberFormat="1" applyFont="1" applyFill="1" applyBorder="1" applyAlignment="1" applyProtection="1">
      <alignment horizontal="center" vertical="center" wrapText="1"/>
      <protection locked="0"/>
    </xf>
    <xf numFmtId="49" fontId="29" fillId="0" borderId="7" xfId="0" applyNumberFormat="1" applyFont="1" applyFill="1" applyBorder="1" applyAlignment="1">
      <alignment horizontal="center" vertical="center" wrapText="1"/>
    </xf>
    <xf numFmtId="0" fontId="29" fillId="0" borderId="7" xfId="0" applyFont="1" applyFill="1" applyBorder="1" applyAlignment="1">
      <alignment horizontal="center" vertical="center" wrapText="1"/>
    </xf>
    <xf numFmtId="4" fontId="53" fillId="0" borderId="7" xfId="35" applyNumberFormat="1" applyFont="1" applyFill="1" applyBorder="1" applyAlignment="1" applyProtection="1">
      <alignment horizontal="center" vertical="center"/>
    </xf>
    <xf numFmtId="4" fontId="31" fillId="0" borderId="7" xfId="30" applyNumberFormat="1" applyFont="1" applyFill="1" applyBorder="1" applyAlignment="1">
      <alignment horizontal="center" vertical="center"/>
    </xf>
    <xf numFmtId="164" fontId="33" fillId="0" borderId="7" xfId="30" applyNumberFormat="1" applyFont="1" applyFill="1" applyBorder="1" applyAlignment="1">
      <alignment horizontal="center" vertical="center"/>
    </xf>
    <xf numFmtId="164" fontId="56" fillId="0" borderId="7" xfId="30" applyNumberFormat="1" applyFont="1" applyFill="1" applyBorder="1" applyAlignment="1">
      <alignment horizontal="center" vertical="center" wrapText="1"/>
    </xf>
    <xf numFmtId="164" fontId="31" fillId="0" borderId="7" xfId="30" applyNumberFormat="1" applyFont="1" applyFill="1" applyBorder="1" applyAlignment="1">
      <alignment horizontal="center" vertical="center"/>
    </xf>
    <xf numFmtId="49" fontId="29" fillId="0" borderId="7"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9" fontId="29" fillId="0" borderId="8" xfId="0" applyNumberFormat="1" applyFont="1" applyFill="1" applyBorder="1" applyAlignment="1">
      <alignment horizontal="center" vertical="center" wrapText="1"/>
    </xf>
    <xf numFmtId="4" fontId="29" fillId="0" borderId="10" xfId="0" applyNumberFormat="1" applyFont="1" applyFill="1" applyBorder="1" applyAlignment="1">
      <alignment horizontal="center" vertical="center"/>
    </xf>
    <xf numFmtId="4" fontId="95" fillId="0" borderId="0" xfId="0" applyNumberFormat="1" applyFont="1"/>
    <xf numFmtId="4" fontId="9" fillId="0" borderId="7" xfId="0" applyNumberFormat="1" applyFont="1" applyFill="1" applyBorder="1" applyAlignment="1">
      <alignment horizontal="center" vertical="center" wrapText="1"/>
    </xf>
    <xf numFmtId="0" fontId="96" fillId="0" borderId="0" xfId="0" applyFont="1"/>
    <xf numFmtId="0" fontId="29" fillId="0" borderId="7" xfId="41" applyFont="1" applyFill="1" applyBorder="1" applyAlignment="1">
      <alignment horizontal="center" vertical="center" wrapText="1"/>
    </xf>
    <xf numFmtId="164" fontId="39" fillId="0" borderId="7" xfId="30" applyNumberFormat="1" applyFont="1" applyFill="1" applyBorder="1">
      <alignment vertical="top"/>
    </xf>
    <xf numFmtId="0" fontId="29" fillId="0" borderId="7" xfId="47" applyFont="1" applyFill="1" applyBorder="1" applyAlignment="1">
      <alignment vertical="center" wrapText="1"/>
    </xf>
    <xf numFmtId="4" fontId="98" fillId="0" borderId="0" xfId="0" applyNumberFormat="1" applyFont="1" applyAlignment="1">
      <alignment vertical="center"/>
    </xf>
    <xf numFmtId="0" fontId="29" fillId="0" borderId="7" xfId="47" applyFont="1" applyFill="1" applyBorder="1" applyAlignment="1">
      <alignment horizontal="justify" vertical="center" wrapText="1"/>
    </xf>
    <xf numFmtId="4" fontId="53" fillId="0" borderId="7" xfId="30" applyNumberFormat="1" applyFont="1" applyFill="1" applyBorder="1" applyAlignment="1">
      <alignment horizontal="center" vertical="center"/>
    </xf>
    <xf numFmtId="49" fontId="29" fillId="0" borderId="7"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 fontId="49" fillId="0" borderId="0" xfId="0" applyNumberFormat="1" applyFont="1" applyFill="1"/>
    <xf numFmtId="49" fontId="29" fillId="0" borderId="7"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0" fontId="12" fillId="0" borderId="0" xfId="39" applyNumberFormat="1" applyFont="1" applyFill="1" applyAlignment="1" applyProtection="1"/>
    <xf numFmtId="4" fontId="29" fillId="0" borderId="7" xfId="30" applyNumberFormat="1" applyFont="1" applyFill="1" applyBorder="1" applyAlignment="1">
      <alignment horizontal="center" vertical="center"/>
    </xf>
    <xf numFmtId="4" fontId="52" fillId="0" borderId="7" xfId="30" applyNumberFormat="1" applyFont="1" applyFill="1" applyBorder="1" applyAlignment="1">
      <alignment horizontal="center" vertical="center"/>
    </xf>
    <xf numFmtId="4" fontId="62" fillId="0" borderId="7" xfId="30" applyNumberFormat="1" applyFont="1" applyFill="1" applyBorder="1" applyAlignment="1">
      <alignment horizontal="center" vertical="center"/>
    </xf>
    <xf numFmtId="4" fontId="30" fillId="0" borderId="7" xfId="40" applyNumberFormat="1" applyFont="1" applyFill="1" applyBorder="1" applyAlignment="1">
      <alignment horizontal="center" vertical="center"/>
    </xf>
    <xf numFmtId="0" fontId="29" fillId="0" borderId="7" xfId="47" applyFont="1" applyFill="1" applyBorder="1" applyAlignment="1">
      <alignment horizontal="left" vertical="top" wrapText="1"/>
    </xf>
    <xf numFmtId="4" fontId="54" fillId="0" borderId="0" xfId="0" applyNumberFormat="1" applyFont="1" applyFill="1"/>
    <xf numFmtId="0" fontId="13" fillId="0" borderId="7" xfId="0" applyFont="1" applyFill="1" applyBorder="1" applyAlignment="1">
      <alignment horizontal="left" vertical="center" wrapText="1"/>
    </xf>
    <xf numFmtId="0" fontId="13" fillId="0" borderId="7" xfId="0" applyFont="1" applyFill="1" applyBorder="1" applyAlignment="1">
      <alignment horizontal="center" vertical="center" wrapText="1"/>
    </xf>
    <xf numFmtId="0" fontId="72" fillId="0" borderId="7" xfId="0" applyFont="1" applyFill="1" applyBorder="1" applyAlignment="1">
      <alignment horizontal="center" vertical="center" wrapText="1"/>
    </xf>
    <xf numFmtId="0" fontId="108" fillId="0" borderId="0" xfId="0" applyFont="1" applyAlignment="1">
      <alignment vertical="center"/>
    </xf>
    <xf numFmtId="2" fontId="109" fillId="0" borderId="0" xfId="0" applyNumberFormat="1" applyFont="1" applyAlignment="1">
      <alignment horizontal="center" vertical="center"/>
    </xf>
    <xf numFmtId="4" fontId="108" fillId="0" borderId="0" xfId="0" applyNumberFormat="1" applyFont="1" applyAlignment="1">
      <alignment vertical="center"/>
    </xf>
    <xf numFmtId="49" fontId="43" fillId="0" borderId="8" xfId="0" applyNumberFormat="1" applyFont="1" applyFill="1" applyBorder="1" applyAlignment="1">
      <alignment horizontal="center" vertical="center" wrapText="1"/>
    </xf>
    <xf numFmtId="49" fontId="43" fillId="0" borderId="7" xfId="0" applyNumberFormat="1" applyFont="1" applyFill="1" applyBorder="1" applyAlignment="1">
      <alignment horizontal="center" vertical="center" wrapText="1"/>
    </xf>
    <xf numFmtId="0" fontId="42" fillId="0" borderId="7" xfId="0" applyFont="1" applyBorder="1" applyAlignment="1">
      <alignment horizontal="center" vertical="center" wrapText="1"/>
    </xf>
    <xf numFmtId="4" fontId="46" fillId="0" borderId="7" xfId="0" applyNumberFormat="1" applyFont="1" applyFill="1" applyBorder="1" applyAlignment="1">
      <alignment horizontal="center" vertical="center" wrapText="1"/>
    </xf>
    <xf numFmtId="4" fontId="47" fillId="0" borderId="7" xfId="0" applyNumberFormat="1" applyFont="1" applyFill="1" applyBorder="1" applyAlignment="1">
      <alignment horizontal="center" vertical="center" wrapText="1"/>
    </xf>
    <xf numFmtId="4" fontId="46" fillId="0" borderId="7" xfId="0" applyNumberFormat="1" applyFont="1" applyFill="1" applyBorder="1" applyAlignment="1">
      <alignment horizontal="center" vertical="center" wrapText="1"/>
    </xf>
    <xf numFmtId="4" fontId="47" fillId="0" borderId="7" xfId="0" applyNumberFormat="1" applyFont="1" applyFill="1" applyBorder="1" applyAlignment="1">
      <alignment horizontal="center" vertical="center" wrapText="1"/>
    </xf>
    <xf numFmtId="49" fontId="43" fillId="0" borderId="7" xfId="0" applyNumberFormat="1" applyFont="1" applyFill="1" applyBorder="1" applyAlignment="1">
      <alignment horizontal="center" vertical="center" wrapText="1"/>
    </xf>
    <xf numFmtId="0" fontId="43" fillId="0" borderId="7" xfId="0" applyFont="1" applyFill="1" applyBorder="1" applyAlignment="1">
      <alignment horizontal="center" vertical="center" wrapText="1"/>
    </xf>
    <xf numFmtId="49" fontId="44" fillId="27" borderId="7" xfId="0" applyNumberFormat="1" applyFont="1" applyFill="1" applyBorder="1" applyAlignment="1">
      <alignment horizontal="center" vertical="center" wrapText="1"/>
    </xf>
    <xf numFmtId="0" fontId="44" fillId="27" borderId="7" xfId="38" applyNumberFormat="1" applyFont="1" applyFill="1" applyBorder="1" applyAlignment="1" applyProtection="1">
      <alignment horizontal="center" vertical="center" wrapText="1"/>
      <protection locked="0"/>
    </xf>
    <xf numFmtId="4" fontId="48" fillId="27" borderId="7" xfId="0" applyNumberFormat="1" applyFont="1" applyFill="1" applyBorder="1" applyAlignment="1">
      <alignment horizontal="center" vertical="center"/>
    </xf>
    <xf numFmtId="4" fontId="45" fillId="27" borderId="7" xfId="0" applyNumberFormat="1" applyFont="1" applyFill="1" applyBorder="1" applyAlignment="1">
      <alignment horizontal="center" vertical="center"/>
    </xf>
    <xf numFmtId="49" fontId="41" fillId="27" borderId="7" xfId="0" applyNumberFormat="1" applyFont="1" applyFill="1" applyBorder="1" applyAlignment="1">
      <alignment horizontal="center" vertical="center" wrapText="1"/>
    </xf>
    <xf numFmtId="0" fontId="41" fillId="27" borderId="7" xfId="38" applyNumberFormat="1" applyFont="1" applyFill="1" applyBorder="1" applyAlignment="1" applyProtection="1">
      <alignment horizontal="center" vertical="center" wrapText="1"/>
      <protection locked="0"/>
    </xf>
    <xf numFmtId="4" fontId="45" fillId="27" borderId="7" xfId="0" applyNumberFormat="1" applyFont="1" applyFill="1" applyBorder="1" applyAlignment="1">
      <alignment horizontal="center" vertical="center" wrapText="1"/>
    </xf>
    <xf numFmtId="4" fontId="48" fillId="27" borderId="7" xfId="0" applyNumberFormat="1" applyFont="1" applyFill="1" applyBorder="1" applyAlignment="1">
      <alignment horizontal="center" vertical="center" wrapText="1"/>
    </xf>
    <xf numFmtId="4" fontId="45" fillId="27" borderId="7" xfId="38" applyNumberFormat="1" applyFont="1" applyFill="1" applyBorder="1" applyAlignment="1" applyProtection="1">
      <alignment horizontal="center" vertical="center" wrapText="1"/>
      <protection locked="0"/>
    </xf>
    <xf numFmtId="4" fontId="46" fillId="27" borderId="7" xfId="0" applyNumberFormat="1" applyFont="1" applyFill="1" applyBorder="1" applyAlignment="1">
      <alignment horizontal="center" vertical="center" wrapText="1"/>
    </xf>
    <xf numFmtId="4" fontId="47" fillId="27" borderId="7" xfId="0" applyNumberFormat="1" applyFont="1" applyFill="1" applyBorder="1" applyAlignment="1">
      <alignment horizontal="center" vertical="center" wrapText="1"/>
    </xf>
    <xf numFmtId="4" fontId="48" fillId="27" borderId="7" xfId="38" applyNumberFormat="1" applyFont="1" applyFill="1" applyBorder="1" applyAlignment="1" applyProtection="1">
      <alignment horizontal="center" vertical="center" wrapText="1"/>
      <protection locked="0"/>
    </xf>
    <xf numFmtId="49" fontId="43" fillId="27" borderId="7" xfId="0" applyNumberFormat="1" applyFont="1" applyFill="1" applyBorder="1" applyAlignment="1">
      <alignment horizontal="center" vertical="center"/>
    </xf>
    <xf numFmtId="49" fontId="41" fillId="27" borderId="7" xfId="0" applyNumberFormat="1" applyFont="1" applyFill="1" applyBorder="1" applyAlignment="1">
      <alignment horizontal="center" vertical="center"/>
    </xf>
    <xf numFmtId="0" fontId="44" fillId="27" borderId="7" xfId="0" applyFont="1" applyFill="1" applyBorder="1" applyAlignment="1">
      <alignment horizontal="center" vertical="center" wrapText="1"/>
    </xf>
    <xf numFmtId="0" fontId="41" fillId="27" borderId="7" xfId="0" applyFont="1" applyFill="1" applyBorder="1" applyAlignment="1">
      <alignment horizontal="center" vertical="center" wrapText="1"/>
    </xf>
    <xf numFmtId="49" fontId="48" fillId="27" borderId="7" xfId="0" applyNumberFormat="1" applyFont="1" applyFill="1" applyBorder="1" applyAlignment="1">
      <alignment horizontal="center" vertical="center" wrapText="1"/>
    </xf>
    <xf numFmtId="166" fontId="47" fillId="0" borderId="7" xfId="0" applyNumberFormat="1" applyFont="1" applyFill="1" applyBorder="1" applyAlignment="1">
      <alignment horizontal="center" vertical="center" wrapText="1"/>
    </xf>
    <xf numFmtId="0" fontId="43" fillId="0" borderId="13" xfId="38" applyNumberFormat="1" applyFont="1" applyFill="1" applyBorder="1" applyAlignment="1" applyProtection="1">
      <alignment horizontal="center" vertical="center" wrapText="1"/>
      <protection locked="0"/>
    </xf>
    <xf numFmtId="0" fontId="43" fillId="0" borderId="11" xfId="38" applyNumberFormat="1" applyFont="1" applyFill="1" applyBorder="1" applyAlignment="1" applyProtection="1">
      <alignment horizontal="center" vertical="center" wrapText="1"/>
      <protection locked="0"/>
    </xf>
    <xf numFmtId="49" fontId="43" fillId="0" borderId="8" xfId="0" applyNumberFormat="1" applyFont="1" applyFill="1" applyBorder="1" applyAlignment="1">
      <alignment horizontal="center" vertical="center" wrapText="1"/>
    </xf>
    <xf numFmtId="4" fontId="46" fillId="0" borderId="7" xfId="0" applyNumberFormat="1" applyFont="1" applyFill="1" applyBorder="1" applyAlignment="1">
      <alignment horizontal="center" vertical="center" wrapText="1"/>
    </xf>
    <xf numFmtId="4" fontId="47" fillId="0" borderId="7" xfId="0" applyNumberFormat="1" applyFont="1" applyFill="1" applyBorder="1" applyAlignment="1">
      <alignment horizontal="center" vertical="center" wrapText="1"/>
    </xf>
    <xf numFmtId="49" fontId="42" fillId="0" borderId="8" xfId="0" applyNumberFormat="1" applyFont="1" applyFill="1" applyBorder="1" applyAlignment="1">
      <alignment horizontal="center" vertical="center" wrapText="1"/>
    </xf>
    <xf numFmtId="49" fontId="43" fillId="0" borderId="7"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9" fontId="43" fillId="0" borderId="7" xfId="0" applyNumberFormat="1" applyFont="1" applyFill="1" applyBorder="1" applyAlignment="1">
      <alignment horizontal="center" vertical="center" wrapText="1"/>
    </xf>
    <xf numFmtId="4" fontId="46" fillId="0" borderId="7" xfId="0" applyNumberFormat="1" applyFont="1" applyFill="1" applyBorder="1" applyAlignment="1">
      <alignment horizontal="center" vertical="center" wrapText="1"/>
    </xf>
    <xf numFmtId="4" fontId="47" fillId="0" borderId="7" xfId="0" applyNumberFormat="1" applyFont="1" applyFill="1" applyBorder="1" applyAlignment="1">
      <alignment horizontal="center" vertical="center" wrapText="1"/>
    </xf>
    <xf numFmtId="4" fontId="46" fillId="0" borderId="7" xfId="0" applyNumberFormat="1" applyFont="1" applyFill="1" applyBorder="1" applyAlignment="1">
      <alignment horizontal="center" vertical="center" wrapText="1"/>
    </xf>
    <xf numFmtId="4" fontId="47" fillId="0" borderId="7" xfId="0" applyNumberFormat="1" applyFont="1" applyFill="1" applyBorder="1" applyAlignment="1">
      <alignment horizontal="center" vertical="center" wrapText="1"/>
    </xf>
    <xf numFmtId="49" fontId="43" fillId="0" borderId="7"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0" fontId="43" fillId="0" borderId="7" xfId="0" applyFont="1" applyFill="1" applyBorder="1" applyAlignment="1">
      <alignment horizontal="center" vertical="center" wrapText="1"/>
    </xf>
    <xf numFmtId="0" fontId="30" fillId="28" borderId="7" xfId="35" applyFont="1" applyFill="1" applyBorder="1" applyAlignment="1">
      <alignment horizontal="center" vertical="center" wrapText="1"/>
    </xf>
    <xf numFmtId="49" fontId="52" fillId="27" borderId="7" xfId="0" applyNumberFormat="1" applyFont="1" applyFill="1" applyBorder="1" applyAlignment="1">
      <alignment horizontal="center" vertical="center" wrapText="1"/>
    </xf>
    <xf numFmtId="0" fontId="52" fillId="27" borderId="7" xfId="38" applyNumberFormat="1" applyFont="1" applyFill="1" applyBorder="1" applyAlignment="1" applyProtection="1">
      <alignment horizontal="center" vertical="center" wrapText="1"/>
      <protection locked="0"/>
    </xf>
    <xf numFmtId="0" fontId="30" fillId="27" borderId="7" xfId="35" applyFont="1" applyFill="1" applyBorder="1" applyAlignment="1">
      <alignment horizontal="center" vertical="center" wrapText="1"/>
    </xf>
    <xf numFmtId="4" fontId="52" fillId="27" borderId="7" xfId="35" applyNumberFormat="1" applyFont="1" applyFill="1" applyBorder="1" applyAlignment="1">
      <alignment horizontal="center" vertical="center" wrapText="1"/>
    </xf>
    <xf numFmtId="49" fontId="30" fillId="27" borderId="7" xfId="0" applyNumberFormat="1" applyFont="1" applyFill="1" applyBorder="1" applyAlignment="1">
      <alignment horizontal="center" vertical="center" wrapText="1"/>
    </xf>
    <xf numFmtId="0" fontId="30" fillId="27" borderId="7" xfId="38" applyNumberFormat="1" applyFont="1" applyFill="1" applyBorder="1" applyAlignment="1" applyProtection="1">
      <alignment horizontal="center" vertical="center" wrapText="1"/>
      <protection locked="0"/>
    </xf>
    <xf numFmtId="4" fontId="30" fillId="27" borderId="7" xfId="35" applyNumberFormat="1" applyFont="1" applyFill="1" applyBorder="1" applyAlignment="1">
      <alignment horizontal="center" vertical="center" wrapText="1"/>
    </xf>
    <xf numFmtId="49" fontId="29" fillId="27" borderId="7" xfId="35" applyNumberFormat="1" applyFont="1" applyFill="1" applyBorder="1" applyAlignment="1">
      <alignment horizontal="center" vertical="center" wrapText="1"/>
    </xf>
    <xf numFmtId="164" fontId="15" fillId="27" borderId="7" xfId="30" applyNumberFormat="1" applyFont="1" applyFill="1" applyBorder="1" applyAlignment="1">
      <alignment horizontal="center" vertical="center"/>
    </xf>
    <xf numFmtId="4" fontId="33" fillId="27" borderId="7" xfId="30" applyNumberFormat="1" applyFont="1" applyFill="1" applyBorder="1" applyAlignment="1">
      <alignment horizontal="center" vertical="center"/>
    </xf>
    <xf numFmtId="49" fontId="30" fillId="27" borderId="7" xfId="35" applyNumberFormat="1" applyFont="1" applyFill="1" applyBorder="1" applyAlignment="1">
      <alignment horizontal="center" vertical="center" wrapText="1"/>
    </xf>
    <xf numFmtId="164" fontId="39" fillId="27" borderId="7" xfId="30" applyNumberFormat="1" applyFont="1" applyFill="1" applyBorder="1" applyAlignment="1">
      <alignment horizontal="center" vertical="center"/>
    </xf>
    <xf numFmtId="4" fontId="31" fillId="27" borderId="7" xfId="30" applyNumberFormat="1" applyFont="1" applyFill="1" applyBorder="1" applyAlignment="1">
      <alignment horizontal="center" vertical="center"/>
    </xf>
    <xf numFmtId="164" fontId="32" fillId="27" borderId="7" xfId="30" applyNumberFormat="1" applyFont="1" applyFill="1" applyBorder="1" applyAlignment="1">
      <alignment horizontal="center" vertical="center"/>
    </xf>
    <xf numFmtId="4" fontId="52" fillId="27" borderId="7" xfId="0" applyNumberFormat="1" applyFont="1" applyFill="1" applyBorder="1" applyAlignment="1">
      <alignment horizontal="center" vertical="center" wrapText="1"/>
    </xf>
    <xf numFmtId="4" fontId="30" fillId="27" borderId="7" xfId="0" applyNumberFormat="1" applyFont="1" applyFill="1" applyBorder="1" applyAlignment="1">
      <alignment horizontal="center" vertical="center" wrapText="1"/>
    </xf>
    <xf numFmtId="164" fontId="39" fillId="27" borderId="7" xfId="30" applyNumberFormat="1" applyFont="1" applyFill="1" applyBorder="1">
      <alignment vertical="top"/>
    </xf>
    <xf numFmtId="0" fontId="52" fillId="27" borderId="7" xfId="0" applyFont="1" applyFill="1" applyBorder="1" applyAlignment="1">
      <alignment horizontal="center" vertical="center" wrapText="1"/>
    </xf>
    <xf numFmtId="0" fontId="30" fillId="27" borderId="7" xfId="0" applyFont="1" applyFill="1" applyBorder="1" applyAlignment="1">
      <alignment horizontal="center" vertical="center" wrapText="1"/>
    </xf>
    <xf numFmtId="164" fontId="39" fillId="27" borderId="7" xfId="30" applyNumberFormat="1" applyFont="1" applyFill="1" applyBorder="1" applyAlignment="1">
      <alignment vertical="center"/>
    </xf>
    <xf numFmtId="164" fontId="33" fillId="27" borderId="7" xfId="30" applyNumberFormat="1" applyFont="1" applyFill="1" applyBorder="1" applyAlignment="1">
      <alignment horizontal="center" vertical="center"/>
    </xf>
    <xf numFmtId="164" fontId="31" fillId="27" borderId="7" xfId="30" applyNumberFormat="1" applyFont="1" applyFill="1" applyBorder="1" applyAlignment="1">
      <alignment horizontal="center" vertical="center"/>
    </xf>
    <xf numFmtId="164" fontId="32" fillId="27" borderId="7" xfId="30" applyNumberFormat="1" applyFont="1" applyFill="1" applyBorder="1" applyAlignment="1">
      <alignment horizontal="center" vertical="center" wrapText="1"/>
    </xf>
    <xf numFmtId="49" fontId="30" fillId="27" borderId="7" xfId="0" applyNumberFormat="1" applyFont="1" applyFill="1" applyBorder="1" applyAlignment="1">
      <alignment horizontal="center" vertical="center"/>
    </xf>
    <xf numFmtId="49" fontId="29" fillId="27" borderId="7" xfId="0" applyNumberFormat="1" applyFont="1" applyFill="1" applyBorder="1" applyAlignment="1">
      <alignment horizontal="center" vertical="center"/>
    </xf>
    <xf numFmtId="164" fontId="56" fillId="27" borderId="7" xfId="30" applyNumberFormat="1" applyFont="1" applyFill="1" applyBorder="1" applyAlignment="1">
      <alignment horizontal="center" vertical="center" wrapText="1"/>
    </xf>
    <xf numFmtId="164" fontId="56" fillId="27" borderId="7" xfId="30" applyNumberFormat="1" applyFont="1" applyFill="1" applyBorder="1" applyAlignment="1">
      <alignment horizontal="center" vertical="center"/>
    </xf>
    <xf numFmtId="4" fontId="56" fillId="27" borderId="7" xfId="30" applyNumberFormat="1" applyFont="1" applyFill="1" applyBorder="1" applyAlignment="1">
      <alignment horizontal="center" vertical="center"/>
    </xf>
    <xf numFmtId="4" fontId="32" fillId="27" borderId="7" xfId="30" applyNumberFormat="1" applyFont="1" applyFill="1" applyBorder="1" applyAlignment="1">
      <alignment horizontal="center" vertical="center"/>
    </xf>
    <xf numFmtId="4" fontId="45" fillId="28" borderId="7" xfId="0" applyNumberFormat="1" applyFont="1" applyFill="1" applyBorder="1" applyAlignment="1">
      <alignment horizontal="center" vertical="center"/>
    </xf>
    <xf numFmtId="4" fontId="48" fillId="28" borderId="7" xfId="0" applyNumberFormat="1" applyFont="1" applyFill="1" applyBorder="1" applyAlignment="1">
      <alignment horizontal="center" vertical="center"/>
    </xf>
    <xf numFmtId="0" fontId="29" fillId="28" borderId="7" xfId="35" applyFont="1" applyFill="1" applyBorder="1" applyAlignment="1">
      <alignment horizontal="center" vertical="center" wrapText="1"/>
    </xf>
    <xf numFmtId="49" fontId="29" fillId="28" borderId="7" xfId="35" applyNumberFormat="1" applyFont="1" applyFill="1" applyBorder="1" applyAlignment="1">
      <alignment horizontal="center" vertical="center" wrapText="1"/>
    </xf>
    <xf numFmtId="0" fontId="30" fillId="28" borderId="7" xfId="35" applyFont="1" applyFill="1" applyBorder="1" applyAlignment="1">
      <alignment horizontal="justify" vertical="center" wrapText="1"/>
    </xf>
    <xf numFmtId="164" fontId="32" fillId="28" borderId="7" xfId="35" applyNumberFormat="1" applyFont="1" applyFill="1" applyBorder="1" applyAlignment="1">
      <alignment vertical="justify"/>
    </xf>
    <xf numFmtId="4" fontId="31" fillId="28" borderId="7" xfId="35" applyNumberFormat="1" applyFont="1" applyFill="1" applyBorder="1" applyAlignment="1">
      <alignment horizontal="center" vertical="center"/>
    </xf>
    <xf numFmtId="4" fontId="30" fillId="28" borderId="7" xfId="35" applyNumberFormat="1" applyFont="1" applyFill="1" applyBorder="1" applyAlignment="1" applyProtection="1">
      <alignment horizontal="center" vertical="center"/>
    </xf>
    <xf numFmtId="2" fontId="79" fillId="28" borderId="7" xfId="36" applyNumberFormat="1" applyFont="1" applyFill="1" applyBorder="1" applyAlignment="1" applyProtection="1">
      <alignment horizontal="center" vertical="center" wrapText="1"/>
    </xf>
    <xf numFmtId="2" fontId="10" fillId="28" borderId="7" xfId="36" applyNumberFormat="1" applyFont="1" applyFill="1" applyBorder="1" applyAlignment="1" applyProtection="1">
      <alignment horizontal="center" vertical="center"/>
    </xf>
    <xf numFmtId="4" fontId="90" fillId="28" borderId="7" xfId="36" applyNumberFormat="1" applyFont="1" applyFill="1" applyBorder="1" applyAlignment="1" applyProtection="1">
      <alignment horizontal="center" vertical="center"/>
    </xf>
    <xf numFmtId="2" fontId="9" fillId="28" borderId="7" xfId="36" applyNumberFormat="1" applyFont="1" applyFill="1" applyBorder="1" applyAlignment="1" applyProtection="1">
      <alignment horizontal="center" vertical="center" wrapText="1"/>
    </xf>
    <xf numFmtId="2" fontId="86" fillId="28" borderId="7" xfId="36" applyNumberFormat="1" applyFont="1" applyFill="1" applyBorder="1" applyAlignment="1" applyProtection="1">
      <alignment horizontal="center" vertical="center" wrapText="1"/>
    </xf>
    <xf numFmtId="4" fontId="90" fillId="28" borderId="7" xfId="36" applyNumberFormat="1" applyFont="1" applyFill="1" applyBorder="1" applyAlignment="1" applyProtection="1">
      <alignment horizontal="center" vertical="center" wrapText="1"/>
    </xf>
    <xf numFmtId="4" fontId="92" fillId="28" borderId="7" xfId="0" applyNumberFormat="1" applyFont="1" applyFill="1" applyBorder="1" applyAlignment="1">
      <alignment horizontal="center" vertical="center"/>
    </xf>
    <xf numFmtId="164" fontId="34" fillId="28" borderId="7" xfId="35" applyNumberFormat="1" applyFont="1" applyFill="1" applyBorder="1" applyAlignment="1">
      <alignment vertical="justify"/>
    </xf>
    <xf numFmtId="4" fontId="31" fillId="28" borderId="7" xfId="30" applyNumberFormat="1" applyFont="1" applyFill="1" applyBorder="1" applyAlignment="1">
      <alignment horizontal="center" vertical="center"/>
    </xf>
    <xf numFmtId="49" fontId="53" fillId="0" borderId="7" xfId="0" applyNumberFormat="1" applyFont="1" applyFill="1" applyBorder="1" applyAlignment="1">
      <alignment horizontal="center" vertical="center"/>
    </xf>
    <xf numFmtId="49" fontId="29" fillId="0" borderId="7" xfId="0" applyNumberFormat="1" applyFont="1" applyFill="1" applyBorder="1" applyAlignment="1">
      <alignment horizontal="center" vertical="center" wrapText="1"/>
    </xf>
    <xf numFmtId="4" fontId="30" fillId="0" borderId="7" xfId="30" applyNumberFormat="1" applyFont="1" applyFill="1" applyBorder="1" applyAlignment="1">
      <alignment horizontal="center" vertical="center"/>
    </xf>
    <xf numFmtId="49" fontId="29" fillId="0" borderId="7" xfId="0" applyNumberFormat="1" applyFont="1" applyFill="1" applyBorder="1" applyAlignment="1">
      <alignment horizontal="center" vertical="center" wrapText="1"/>
    </xf>
    <xf numFmtId="4" fontId="29" fillId="0" borderId="10" xfId="0" applyNumberFormat="1" applyFont="1" applyFill="1" applyBorder="1" applyAlignment="1">
      <alignment horizontal="center" vertical="center"/>
    </xf>
    <xf numFmtId="49" fontId="97" fillId="0" borderId="7" xfId="0" applyNumberFormat="1" applyFont="1" applyFill="1" applyBorder="1" applyAlignment="1">
      <alignment horizontal="left" vertical="center" wrapText="1"/>
    </xf>
    <xf numFmtId="0" fontId="9" fillId="0" borderId="0" xfId="0" applyFont="1"/>
    <xf numFmtId="49" fontId="29" fillId="0" borderId="7" xfId="0" applyNumberFormat="1" applyFont="1" applyFill="1" applyBorder="1" applyAlignment="1">
      <alignment horizontal="center" vertical="center" wrapText="1"/>
    </xf>
    <xf numFmtId="0" fontId="9" fillId="0" borderId="0" xfId="0" applyFont="1" applyAlignment="1">
      <alignment horizontal="center" vertical="center"/>
    </xf>
    <xf numFmtId="0" fontId="0" fillId="0" borderId="0" xfId="0" applyAlignment="1"/>
    <xf numFmtId="0" fontId="0" fillId="0" borderId="0" xfId="0" applyAlignment="1">
      <alignment horizontal="center" vertical="center"/>
    </xf>
    <xf numFmtId="0" fontId="70" fillId="0" borderId="0" xfId="39" applyNumberFormat="1" applyFont="1" applyFill="1" applyBorder="1" applyAlignment="1" applyProtection="1">
      <alignment horizontal="center" vertical="center"/>
    </xf>
    <xf numFmtId="0" fontId="70" fillId="0" borderId="0" xfId="39" applyFont="1" applyFill="1" applyBorder="1" applyAlignment="1">
      <alignment horizontal="center" vertical="center"/>
    </xf>
    <xf numFmtId="0" fontId="70" fillId="0" borderId="0" xfId="39" applyNumberFormat="1" applyFont="1" applyFill="1" applyAlignment="1" applyProtection="1">
      <alignment horizontal="center" vertical="center"/>
    </xf>
    <xf numFmtId="0" fontId="70" fillId="0" borderId="0" xfId="39" applyFont="1" applyFill="1" applyAlignment="1">
      <alignment horizontal="center" vertical="center"/>
    </xf>
    <xf numFmtId="0" fontId="10" fillId="0" borderId="7" xfId="39" applyNumberFormat="1" applyFont="1" applyFill="1" applyBorder="1" applyAlignment="1" applyProtection="1">
      <alignment horizontal="center" vertical="center" wrapText="1"/>
    </xf>
    <xf numFmtId="0" fontId="13" fillId="0" borderId="7" xfId="0" applyFont="1" applyFill="1" applyBorder="1" applyAlignment="1">
      <alignment horizontal="center" vertical="center" wrapText="1"/>
    </xf>
    <xf numFmtId="0" fontId="0" fillId="0" borderId="7" xfId="0" applyBorder="1" applyAlignment="1">
      <alignment horizontal="center" vertical="center" wrapText="1"/>
    </xf>
    <xf numFmtId="0" fontId="80" fillId="0" borderId="0" xfId="0" applyFont="1" applyFill="1" applyAlignment="1">
      <alignment horizontal="center"/>
    </xf>
    <xf numFmtId="0" fontId="72" fillId="0" borderId="7" xfId="0" applyFont="1" applyFill="1" applyBorder="1" applyAlignment="1">
      <alignment horizontal="center" vertical="center" wrapText="1"/>
    </xf>
    <xf numFmtId="4" fontId="46" fillId="0" borderId="8" xfId="0" applyNumberFormat="1"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4" fontId="47" fillId="0" borderId="8" xfId="0" applyNumberFormat="1" applyFont="1" applyFill="1" applyBorder="1" applyAlignment="1">
      <alignment horizontal="center" vertical="center" wrapText="1"/>
    </xf>
    <xf numFmtId="4" fontId="45" fillId="0" borderId="8" xfId="0" applyNumberFormat="1" applyFont="1" applyFill="1" applyBorder="1" applyAlignment="1">
      <alignment horizontal="center" vertical="center" wrapText="1"/>
    </xf>
    <xf numFmtId="49" fontId="43" fillId="0" borderId="8" xfId="0" applyNumberFormat="1" applyFont="1" applyFill="1" applyBorder="1" applyAlignment="1">
      <alignment horizontal="center" vertical="center" wrapText="1"/>
    </xf>
    <xf numFmtId="49" fontId="43" fillId="0" borderId="7" xfId="0"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58" fillId="0" borderId="9" xfId="0" applyFont="1" applyFill="1" applyBorder="1" applyAlignment="1">
      <alignment horizontal="center" vertical="center" wrapText="1"/>
    </xf>
    <xf numFmtId="0" fontId="58" fillId="0" borderId="10" xfId="0" applyFont="1" applyFill="1" applyBorder="1" applyAlignment="1">
      <alignment horizontal="center" vertical="center" wrapText="1"/>
    </xf>
    <xf numFmtId="0" fontId="43" fillId="0" borderId="8"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2" fillId="0" borderId="7" xfId="0" applyFont="1" applyBorder="1" applyAlignment="1">
      <alignment horizontal="center" vertical="center" wrapText="1"/>
    </xf>
    <xf numFmtId="0" fontId="43" fillId="0" borderId="9" xfId="0" applyFont="1" applyBorder="1" applyAlignment="1">
      <alignment horizontal="center" vertical="center"/>
    </xf>
    <xf numFmtId="0" fontId="43" fillId="0" borderId="7" xfId="0" applyFont="1" applyBorder="1" applyAlignment="1">
      <alignment horizontal="center" vertical="center"/>
    </xf>
    <xf numFmtId="0" fontId="43" fillId="0" borderId="7" xfId="0" applyFont="1" applyBorder="1" applyAlignment="1">
      <alignment horizontal="center" vertical="center" wrapText="1"/>
    </xf>
    <xf numFmtId="49" fontId="42" fillId="0" borderId="8" xfId="0" applyNumberFormat="1" applyFont="1" applyFill="1" applyBorder="1" applyAlignment="1">
      <alignment horizontal="center" vertical="center" wrapText="1"/>
    </xf>
    <xf numFmtId="4" fontId="46" fillId="0" borderId="9" xfId="0" applyNumberFormat="1" applyFont="1" applyFill="1" applyBorder="1" applyAlignment="1">
      <alignment horizontal="center" vertical="center" wrapText="1"/>
    </xf>
    <xf numFmtId="4" fontId="46" fillId="0" borderId="10" xfId="0" applyNumberFormat="1" applyFont="1" applyFill="1" applyBorder="1" applyAlignment="1">
      <alignment horizontal="center" vertical="center" wrapText="1"/>
    </xf>
    <xf numFmtId="4" fontId="46" fillId="0" borderId="7" xfId="0" applyNumberFormat="1" applyFont="1" applyFill="1" applyBorder="1" applyAlignment="1">
      <alignment horizontal="center" vertical="center" wrapText="1"/>
    </xf>
    <xf numFmtId="49" fontId="42" fillId="0" borderId="18" xfId="0" applyNumberFormat="1" applyFont="1" applyFill="1" applyBorder="1" applyAlignment="1">
      <alignment horizontal="center" vertical="center" wrapText="1"/>
    </xf>
    <xf numFmtId="0" fontId="58" fillId="0" borderId="9" xfId="0" applyFont="1" applyFill="1" applyBorder="1" applyAlignment="1"/>
    <xf numFmtId="0" fontId="58" fillId="0" borderId="10" xfId="0" applyFont="1" applyFill="1" applyBorder="1" applyAlignment="1"/>
    <xf numFmtId="0" fontId="43" fillId="0" borderId="0" xfId="0" applyFont="1" applyAlignment="1">
      <alignment horizontal="center" vertical="center"/>
    </xf>
    <xf numFmtId="0" fontId="43" fillId="0" borderId="0" xfId="0" applyFont="1" applyAlignment="1">
      <alignment vertical="center"/>
    </xf>
    <xf numFmtId="0" fontId="41" fillId="0" borderId="0" xfId="0" applyFont="1" applyAlignment="1">
      <alignment horizontal="center" vertical="center"/>
    </xf>
    <xf numFmtId="0" fontId="43" fillId="0" borderId="0" xfId="0" applyFont="1" applyAlignment="1"/>
    <xf numFmtId="4" fontId="47" fillId="0" borderId="7" xfId="0" applyNumberFormat="1" applyFont="1" applyFill="1" applyBorder="1" applyAlignment="1">
      <alignment horizontal="center" vertical="center" wrapText="1"/>
    </xf>
    <xf numFmtId="0" fontId="44" fillId="28" borderId="7" xfId="0" applyFont="1" applyFill="1" applyBorder="1" applyAlignment="1">
      <alignment horizontal="center" vertical="center"/>
    </xf>
    <xf numFmtId="4" fontId="46" fillId="0" borderId="15" xfId="0" applyNumberFormat="1" applyFont="1" applyFill="1" applyBorder="1" applyAlignment="1">
      <alignment horizontal="center" vertical="center" wrapText="1"/>
    </xf>
    <xf numFmtId="0" fontId="46" fillId="0" borderId="15" xfId="0" applyFont="1" applyFill="1" applyBorder="1" applyAlignment="1">
      <alignment horizontal="center" vertical="center" wrapText="1"/>
    </xf>
    <xf numFmtId="4" fontId="47" fillId="0" borderId="9" xfId="0" applyNumberFormat="1" applyFont="1" applyFill="1" applyBorder="1" applyAlignment="1">
      <alignment horizontal="center" vertical="center" wrapText="1"/>
    </xf>
    <xf numFmtId="4" fontId="47" fillId="0" borderId="10"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29" fillId="0" borderId="0" xfId="35" applyNumberFormat="1" applyFont="1" applyFill="1" applyAlignment="1" applyProtection="1">
      <alignment horizontal="center" vertical="center" wrapText="1"/>
    </xf>
    <xf numFmtId="0" fontId="11" fillId="0" borderId="0" xfId="35" applyNumberFormat="1" applyFont="1" applyFill="1" applyAlignment="1" applyProtection="1">
      <alignment horizontal="center" vertical="center" wrapText="1"/>
    </xf>
    <xf numFmtId="0" fontId="14" fillId="0" borderId="8" xfId="35" applyNumberFormat="1" applyFont="1" applyFill="1" applyBorder="1" applyAlignment="1" applyProtection="1">
      <alignment horizontal="center" vertical="center" wrapText="1"/>
    </xf>
    <xf numFmtId="0" fontId="14" fillId="0" borderId="9" xfId="35" applyNumberFormat="1" applyFont="1" applyFill="1" applyBorder="1" applyAlignment="1" applyProtection="1">
      <alignment horizontal="center" vertical="center" wrapText="1"/>
    </xf>
    <xf numFmtId="0" fontId="14" fillId="0" borderId="10" xfId="35" applyNumberFormat="1" applyFont="1" applyFill="1" applyBorder="1" applyAlignment="1" applyProtection="1">
      <alignment horizontal="center" vertical="center" wrapText="1"/>
    </xf>
    <xf numFmtId="0" fontId="82" fillId="0" borderId="8" xfId="35" applyNumberFormat="1" applyFont="1" applyFill="1" applyBorder="1" applyAlignment="1" applyProtection="1">
      <alignment horizontal="center" vertical="center" wrapText="1"/>
    </xf>
    <xf numFmtId="0" fontId="82" fillId="0" borderId="9" xfId="35" applyNumberFormat="1" applyFont="1" applyFill="1" applyBorder="1" applyAlignment="1" applyProtection="1">
      <alignment horizontal="center" vertical="center" wrapText="1"/>
    </xf>
    <xf numFmtId="0" fontId="82" fillId="0" borderId="10" xfId="35" applyNumberFormat="1" applyFont="1" applyFill="1" applyBorder="1" applyAlignment="1" applyProtection="1">
      <alignment horizontal="center" vertical="center" wrapText="1"/>
    </xf>
    <xf numFmtId="0" fontId="9" fillId="0" borderId="19" xfId="35" applyNumberFormat="1" applyFont="1" applyFill="1" applyBorder="1" applyAlignment="1" applyProtection="1">
      <alignment horizontal="center" vertical="center" wrapText="1"/>
    </xf>
    <xf numFmtId="0" fontId="9" fillId="0" borderId="15" xfId="35" applyNumberFormat="1" applyFont="1" applyFill="1" applyBorder="1" applyAlignment="1" applyProtection="1">
      <alignment horizontal="center" vertical="center" wrapText="1"/>
    </xf>
    <xf numFmtId="0" fontId="9" fillId="0" borderId="18" xfId="35" applyNumberFormat="1" applyFont="1" applyFill="1" applyBorder="1" applyAlignment="1" applyProtection="1">
      <alignment horizontal="center" vertical="center" wrapText="1"/>
    </xf>
    <xf numFmtId="0" fontId="9" fillId="0" borderId="7" xfId="35" applyNumberFormat="1" applyFont="1" applyFill="1" applyBorder="1" applyAlignment="1" applyProtection="1">
      <alignment horizontal="center" vertical="center" wrapText="1"/>
    </xf>
    <xf numFmtId="4" fontId="29" fillId="0" borderId="8" xfId="0" applyNumberFormat="1"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12" fillId="0" borderId="0" xfId="0" applyFont="1" applyAlignment="1"/>
    <xf numFmtId="49" fontId="53" fillId="0" borderId="8" xfId="0" applyNumberFormat="1"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0" xfId="0" applyFont="1" applyFill="1" applyBorder="1" applyAlignment="1">
      <alignment horizontal="center" vertical="center" wrapText="1"/>
    </xf>
    <xf numFmtId="49" fontId="29" fillId="0" borderId="8" xfId="0" applyNumberFormat="1" applyFont="1" applyFill="1" applyBorder="1" applyAlignment="1">
      <alignment horizontal="center" vertical="center" wrapText="1"/>
    </xf>
    <xf numFmtId="0" fontId="60" fillId="0" borderId="9" xfId="0" applyFont="1" applyBorder="1" applyAlignment="1">
      <alignment horizontal="center" vertical="center" wrapText="1"/>
    </xf>
    <xf numFmtId="0" fontId="60" fillId="0" borderId="10" xfId="0" applyFont="1" applyBorder="1" applyAlignment="1">
      <alignment horizontal="center" vertical="center" wrapText="1"/>
    </xf>
    <xf numFmtId="49" fontId="29" fillId="0" borderId="7" xfId="0" applyNumberFormat="1" applyFont="1" applyFill="1" applyBorder="1" applyAlignment="1">
      <alignment horizontal="center" vertical="center" wrapText="1"/>
    </xf>
    <xf numFmtId="0" fontId="60" fillId="0" borderId="7" xfId="0" applyFont="1" applyBorder="1" applyAlignment="1">
      <alignment horizontal="center" vertical="center" wrapText="1"/>
    </xf>
    <xf numFmtId="4" fontId="53" fillId="0" borderId="8" xfId="0" applyNumberFormat="1" applyFont="1" applyFill="1" applyBorder="1" applyAlignment="1">
      <alignment horizontal="center" vertical="center" wrapText="1"/>
    </xf>
    <xf numFmtId="4" fontId="53" fillId="0" borderId="9" xfId="0" applyNumberFormat="1" applyFont="1" applyFill="1" applyBorder="1" applyAlignment="1">
      <alignment horizontal="center" vertical="center" wrapText="1"/>
    </xf>
    <xf numFmtId="4" fontId="53" fillId="0" borderId="10" xfId="0" applyNumberFormat="1" applyFont="1" applyFill="1" applyBorder="1" applyAlignment="1">
      <alignment horizontal="center" vertical="center" wrapText="1"/>
    </xf>
    <xf numFmtId="0" fontId="61" fillId="0" borderId="9" xfId="0" applyFont="1" applyFill="1" applyBorder="1" applyAlignment="1"/>
    <xf numFmtId="0" fontId="61" fillId="0" borderId="10" xfId="0" applyFont="1" applyFill="1" applyBorder="1" applyAlignment="1"/>
    <xf numFmtId="0" fontId="9" fillId="0" borderId="0" xfId="35" applyNumberFormat="1" applyFont="1" applyFill="1" applyAlignment="1" applyProtection="1">
      <alignment horizontal="left" vertical="top"/>
    </xf>
    <xf numFmtId="0" fontId="50" fillId="0" borderId="0" xfId="35" applyNumberFormat="1" applyFont="1" applyFill="1" applyBorder="1" applyAlignment="1" applyProtection="1">
      <alignment horizontal="center" vertical="top" wrapText="1"/>
    </xf>
    <xf numFmtId="0" fontId="11" fillId="0" borderId="0" xfId="35" applyNumberFormat="1" applyFont="1" applyFill="1" applyBorder="1" applyAlignment="1" applyProtection="1">
      <alignment horizontal="center" vertical="top" wrapText="1"/>
    </xf>
    <xf numFmtId="4" fontId="53" fillId="6" borderId="8" xfId="0" applyNumberFormat="1" applyFont="1" applyFill="1" applyBorder="1" applyAlignment="1">
      <alignment horizontal="center" vertical="center" wrapText="1"/>
    </xf>
    <xf numFmtId="0" fontId="61" fillId="6" borderId="10" xfId="0" applyFont="1" applyFill="1" applyBorder="1" applyAlignment="1">
      <alignment horizontal="center" vertical="center" wrapText="1"/>
    </xf>
    <xf numFmtId="4" fontId="30" fillId="6" borderId="8" xfId="0" applyNumberFormat="1" applyFont="1" applyFill="1" applyBorder="1" applyAlignment="1">
      <alignment horizontal="center" vertical="center" wrapText="1"/>
    </xf>
    <xf numFmtId="0" fontId="60" fillId="6" borderId="10" xfId="0" applyFont="1" applyFill="1" applyBorder="1" applyAlignment="1">
      <alignment horizontal="center" vertical="center" wrapText="1"/>
    </xf>
    <xf numFmtId="49" fontId="29" fillId="6" borderId="8" xfId="0" applyNumberFormat="1" applyFont="1" applyFill="1" applyBorder="1" applyAlignment="1">
      <alignment horizontal="center" vertical="center" wrapText="1"/>
    </xf>
    <xf numFmtId="4" fontId="29" fillId="6" borderId="8" xfId="0" applyNumberFormat="1" applyFont="1" applyFill="1" applyBorder="1" applyAlignment="1">
      <alignment horizontal="center" vertical="center" wrapText="1"/>
    </xf>
    <xf numFmtId="4" fontId="60" fillId="6" borderId="10" xfId="0" applyNumberFormat="1" applyFont="1" applyFill="1" applyBorder="1" applyAlignment="1">
      <alignment horizontal="center" vertical="center" wrapText="1"/>
    </xf>
    <xf numFmtId="0" fontId="12" fillId="0" borderId="0" xfId="36" applyNumberFormat="1" applyFont="1" applyFill="1" applyBorder="1" applyAlignment="1" applyProtection="1">
      <alignment horizontal="left" vertical="top" wrapText="1"/>
    </xf>
    <xf numFmtId="0" fontId="9" fillId="0" borderId="0" xfId="36" applyNumberFormat="1" applyFont="1" applyFill="1" applyBorder="1" applyAlignment="1" applyProtection="1">
      <alignment horizontal="center" vertical="center" wrapText="1"/>
    </xf>
    <xf numFmtId="0" fontId="87" fillId="0" borderId="0" xfId="0" applyFont="1" applyAlignment="1">
      <alignment horizontal="center" vertical="center"/>
    </xf>
    <xf numFmtId="0" fontId="86" fillId="0" borderId="0" xfId="36" applyNumberFormat="1" applyFont="1" applyFill="1" applyBorder="1" applyAlignment="1" applyProtection="1">
      <alignment horizontal="center" vertical="top"/>
    </xf>
    <xf numFmtId="0" fontId="10" fillId="0" borderId="0" xfId="0" applyFont="1" applyFill="1" applyAlignment="1">
      <alignment horizontal="center"/>
    </xf>
    <xf numFmtId="0" fontId="0" fillId="0" borderId="0" xfId="0" applyAlignment="1">
      <alignment horizontal="center"/>
    </xf>
    <xf numFmtId="0" fontId="10" fillId="0" borderId="11" xfId="0" applyFont="1" applyFill="1" applyBorder="1" applyAlignment="1">
      <alignment horizontal="center"/>
    </xf>
    <xf numFmtId="0" fontId="0" fillId="0" borderId="11" xfId="0" applyBorder="1" applyAlignment="1">
      <alignment horizontal="center"/>
    </xf>
    <xf numFmtId="0" fontId="92" fillId="28" borderId="7" xfId="0" applyFont="1" applyFill="1" applyBorder="1" applyAlignment="1">
      <alignment horizontal="center" vertical="center"/>
    </xf>
    <xf numFmtId="0" fontId="9" fillId="0" borderId="0" xfId="36" applyNumberFormat="1" applyFont="1" applyFill="1" applyBorder="1" applyAlignment="1" applyProtection="1">
      <alignment horizontal="left" vertical="top" wrapText="1"/>
    </xf>
    <xf numFmtId="4" fontId="33" fillId="0" borderId="8" xfId="30" applyNumberFormat="1" applyFont="1" applyFill="1" applyBorder="1" applyAlignment="1">
      <alignment horizontal="center" vertical="center" wrapText="1"/>
    </xf>
    <xf numFmtId="4" fontId="52" fillId="0" borderId="9" xfId="0" applyNumberFormat="1" applyFont="1" applyFill="1" applyBorder="1" applyAlignment="1">
      <alignment horizontal="center" vertical="center" wrapText="1"/>
    </xf>
    <xf numFmtId="4" fontId="52" fillId="0" borderId="10" xfId="0" applyNumberFormat="1" applyFont="1" applyFill="1" applyBorder="1" applyAlignment="1">
      <alignment horizontal="center" vertical="center" wrapText="1"/>
    </xf>
    <xf numFmtId="4" fontId="56" fillId="0" borderId="8" xfId="30" applyNumberFormat="1" applyFont="1" applyFill="1" applyBorder="1" applyAlignment="1">
      <alignment horizontal="center" vertical="center" wrapText="1"/>
    </xf>
    <xf numFmtId="164" fontId="56" fillId="0" borderId="8" xfId="30" applyNumberFormat="1" applyFont="1" applyBorder="1" applyAlignment="1">
      <alignment horizontal="center" vertical="center" wrapText="1"/>
    </xf>
    <xf numFmtId="0" fontId="58" fillId="0" borderId="9" xfId="0" applyFont="1" applyBorder="1" applyAlignment="1">
      <alignment horizontal="center" vertical="center" wrapText="1"/>
    </xf>
    <xf numFmtId="0" fontId="58" fillId="0" borderId="10"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10" xfId="0" applyFont="1" applyBorder="1" applyAlignment="1">
      <alignment horizontal="center" vertical="center" wrapText="1"/>
    </xf>
    <xf numFmtId="49" fontId="53" fillId="6" borderId="8" xfId="0" applyNumberFormat="1" applyFont="1" applyFill="1" applyBorder="1" applyAlignment="1">
      <alignment horizontal="center" vertical="center" wrapText="1"/>
    </xf>
    <xf numFmtId="0" fontId="53" fillId="6" borderId="9" xfId="0" applyFont="1" applyFill="1" applyBorder="1" applyAlignment="1">
      <alignment horizontal="center" vertical="center" wrapText="1"/>
    </xf>
    <xf numFmtId="0" fontId="53" fillId="6" borderId="10" xfId="0" applyFont="1" applyFill="1" applyBorder="1" applyAlignment="1">
      <alignment horizontal="center" vertical="center" wrapText="1"/>
    </xf>
    <xf numFmtId="4" fontId="33" fillId="0" borderId="8" xfId="30" applyNumberFormat="1" applyFont="1" applyFill="1" applyBorder="1" applyAlignment="1">
      <alignment horizontal="center" vertical="center"/>
    </xf>
    <xf numFmtId="4" fontId="53" fillId="0" borderId="9" xfId="0" applyNumberFormat="1" applyFont="1" applyFill="1" applyBorder="1" applyAlignment="1">
      <alignment horizontal="center" vertical="center"/>
    </xf>
    <xf numFmtId="4" fontId="53" fillId="0" borderId="10" xfId="0" applyNumberFormat="1" applyFont="1" applyFill="1" applyBorder="1" applyAlignment="1">
      <alignment horizontal="center" vertical="center"/>
    </xf>
    <xf numFmtId="4" fontId="32" fillId="0" borderId="8" xfId="30" applyNumberFormat="1" applyFont="1" applyFill="1" applyBorder="1" applyAlignment="1">
      <alignment horizontal="center" vertical="center"/>
    </xf>
    <xf numFmtId="4" fontId="29" fillId="0" borderId="10" xfId="0" applyNumberFormat="1" applyFont="1" applyFill="1" applyBorder="1" applyAlignment="1">
      <alignment horizontal="center" vertical="center"/>
    </xf>
    <xf numFmtId="0" fontId="53" fillId="0" borderId="9" xfId="0" applyFont="1" applyFill="1" applyBorder="1" applyAlignment="1">
      <alignment horizontal="center" vertical="center"/>
    </xf>
    <xf numFmtId="0" fontId="53" fillId="0" borderId="10" xfId="0" applyFont="1" applyFill="1" applyBorder="1" applyAlignment="1">
      <alignment horizontal="center" vertical="center"/>
    </xf>
    <xf numFmtId="4" fontId="56" fillId="0" borderId="8" xfId="30" applyNumberFormat="1" applyFont="1" applyFill="1" applyBorder="1" applyAlignment="1">
      <alignment horizontal="center" vertical="center"/>
    </xf>
    <xf numFmtId="0" fontId="29" fillId="6" borderId="10" xfId="0" applyFont="1" applyFill="1" applyBorder="1" applyAlignment="1">
      <alignment horizontal="center" vertical="center" wrapText="1"/>
    </xf>
    <xf numFmtId="164" fontId="32" fillId="0" borderId="8" xfId="30" applyNumberFormat="1" applyFont="1" applyBorder="1" applyAlignment="1">
      <alignment horizontal="center" vertical="center" wrapText="1"/>
    </xf>
    <xf numFmtId="0" fontId="29" fillId="0" borderId="10" xfId="0" applyFont="1" applyBorder="1" applyAlignment="1">
      <alignment horizontal="center" vertical="center" wrapText="1"/>
    </xf>
    <xf numFmtId="49" fontId="53" fillId="6" borderId="18" xfId="0" applyNumberFormat="1" applyFont="1" applyFill="1" applyBorder="1" applyAlignment="1">
      <alignment horizontal="center" vertical="center" wrapText="1"/>
    </xf>
  </cellXfs>
  <cellStyles count="86">
    <cellStyle name="20% - Акцент1" xfId="48"/>
    <cellStyle name="20% - Акцент2" xfId="49"/>
    <cellStyle name="20% - Акцент3" xfId="50"/>
    <cellStyle name="20% - Акцент4" xfId="51"/>
    <cellStyle name="20% - Акцент5" xfId="52"/>
    <cellStyle name="20% - Акцент6" xfId="53"/>
    <cellStyle name="40% - Акцент1" xfId="54"/>
    <cellStyle name="40% - Акцент2" xfId="55"/>
    <cellStyle name="40% - Акцент3" xfId="56"/>
    <cellStyle name="40% - Акцент4" xfId="57"/>
    <cellStyle name="40% - Акцент5" xfId="58"/>
    <cellStyle name="40% - Акцент6" xfId="59"/>
    <cellStyle name="60% - Акцент1" xfId="60"/>
    <cellStyle name="60% - Акцент2" xfId="61"/>
    <cellStyle name="60% - Акцент3" xfId="62"/>
    <cellStyle name="60% - Акцент4" xfId="63"/>
    <cellStyle name="60% - Акцент5" xfId="64"/>
    <cellStyle name="60% - Акцент6" xfId="65"/>
    <cellStyle name="Normal_meresha_07" xfId="1"/>
    <cellStyle name="Акцент1" xfId="66"/>
    <cellStyle name="Акцент2" xfId="67"/>
    <cellStyle name="Акцент3" xfId="68"/>
    <cellStyle name="Акцент4" xfId="69"/>
    <cellStyle name="Акцент5" xfId="70"/>
    <cellStyle name="Акцент6" xfId="71"/>
    <cellStyle name="Ввід" xfId="2"/>
    <cellStyle name="Ввод " xfId="72"/>
    <cellStyle name="Вывод" xfId="73"/>
    <cellStyle name="Вычисление" xfId="74"/>
    <cellStyle name="Гіперпосилання 2" xfId="75"/>
    <cellStyle name="Добре" xfId="3"/>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10" xfId="8"/>
    <cellStyle name="Звичайний 11" xfId="9"/>
    <cellStyle name="Звичайний 12" xfId="10"/>
    <cellStyle name="Звичайний 13" xfId="11"/>
    <cellStyle name="Звичайний 14" xfId="12"/>
    <cellStyle name="Звичайний 15" xfId="13"/>
    <cellStyle name="Звичайний 16" xfId="14"/>
    <cellStyle name="Звичайний 17" xfId="15"/>
    <cellStyle name="Звичайний 18" xfId="16"/>
    <cellStyle name="Звичайний 19" xfId="17"/>
    <cellStyle name="Звичайний 2" xfId="18"/>
    <cellStyle name="Звичайний 2 2" xfId="19"/>
    <cellStyle name="Звичайний 20" xfId="20"/>
    <cellStyle name="Звичайний 3" xfId="21"/>
    <cellStyle name="Звичайний 3 2" xfId="22"/>
    <cellStyle name="Звичайний 4" xfId="23"/>
    <cellStyle name="Звичайний 4 2" xfId="24"/>
    <cellStyle name="Звичайний 5" xfId="25"/>
    <cellStyle name="Звичайний 6" xfId="26"/>
    <cellStyle name="Звичайний 7" xfId="27"/>
    <cellStyle name="Звичайний 8" xfId="28"/>
    <cellStyle name="Звичайний 9" xfId="29"/>
    <cellStyle name="Звичайний_Додаток _ 3 зм_ни 4575" xfId="30"/>
    <cellStyle name="Зв'язана клітинка" xfId="43"/>
    <cellStyle name="Итог" xfId="76"/>
    <cellStyle name="Контрольна клітинка" xfId="31"/>
    <cellStyle name="Контрольная ячейка" xfId="77"/>
    <cellStyle name="Назва" xfId="32"/>
    <cellStyle name="Название" xfId="78"/>
    <cellStyle name="Нейтральный" xfId="79"/>
    <cellStyle name="Обычный" xfId="0" builtinId="0"/>
    <cellStyle name="Обычный 2" xfId="33"/>
    <cellStyle name="Обычный 2 2" xfId="34"/>
    <cellStyle name="Обычный 3" xfId="35"/>
    <cellStyle name="Обычный_Plan_kapbud_2006 уточн." xfId="36"/>
    <cellStyle name="Обычный_дод.1" xfId="37"/>
    <cellStyle name="Обычный_Додаток 2 до бюджету 2000 року" xfId="38"/>
    <cellStyle name="Обычный_Додаток №1" xfId="39"/>
    <cellStyle name="Обычный_КАПІТАЛЬНІ  ВКЛАДЕННЯ 2015" xfId="40"/>
    <cellStyle name="Обычный_КАПІТАЛЬНІ  ВКЛАДЕННЯ 2015 2 2" xfId="47"/>
    <cellStyle name="Обычный_УЖКГ бюджет 2016 Після Ямчука 2" xfId="41"/>
    <cellStyle name="Обычный_УКБ до бюджету 2016р ост" xfId="42"/>
    <cellStyle name="Плохой" xfId="80"/>
    <cellStyle name="Пояснение" xfId="81"/>
    <cellStyle name="Примечание" xfId="82"/>
    <cellStyle name="Связанная ячейка" xfId="83"/>
    <cellStyle name="Середній" xfId="44"/>
    <cellStyle name="Стиль 1" xfId="45"/>
    <cellStyle name="Текст попередження" xfId="46"/>
    <cellStyle name="Текст предупреждения" xfId="84"/>
    <cellStyle name="Хороший" xfId="85"/>
  </cellStyles>
  <dxfs count="0"/>
  <tableStyles count="0" defaultTableStyle="TableStyleMedium2" defaultPivotStyle="PivotStyleLight16"/>
  <colors>
    <mruColors>
      <color rgb="FFFB0592"/>
      <color rgb="FFFCB142"/>
      <color rgb="FFFFCC00"/>
      <color rgb="FFFFA2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IR149"/>
  <sheetViews>
    <sheetView showZeros="0" workbookViewId="0">
      <selection activeCell="G14" sqref="G14"/>
    </sheetView>
  </sheetViews>
  <sheetFormatPr defaultColWidth="6.85546875" defaultRowHeight="12.75"/>
  <cols>
    <col min="1" max="1" width="10.140625" style="153" customWidth="1"/>
    <col min="2" max="2" width="40.42578125" style="153" customWidth="1"/>
    <col min="3" max="4" width="17.28515625" style="153" customWidth="1"/>
    <col min="5" max="5" width="15.7109375" style="153" customWidth="1"/>
    <col min="6" max="6" width="14.5703125" style="153" customWidth="1"/>
    <col min="7" max="11" width="7.85546875" style="153" customWidth="1"/>
    <col min="12" max="243" width="7.85546875" style="154" customWidth="1"/>
    <col min="244" max="252" width="7.85546875" style="153" customWidth="1"/>
    <col min="253" max="16384" width="6.85546875" style="154"/>
  </cols>
  <sheetData>
    <row r="1" spans="1:252" ht="15.75">
      <c r="D1" s="469" t="s">
        <v>642</v>
      </c>
      <c r="E1" s="470"/>
      <c r="F1" s="470"/>
      <c r="G1" s="470"/>
    </row>
    <row r="2" spans="1:252" ht="15.75">
      <c r="C2" s="155"/>
      <c r="D2" s="469" t="s">
        <v>954</v>
      </c>
      <c r="E2" s="471"/>
      <c r="F2" s="471"/>
      <c r="G2" s="471"/>
      <c r="L2" s="153"/>
    </row>
    <row r="3" spans="1:252" ht="6" customHeight="1">
      <c r="C3" s="155"/>
      <c r="D3" s="469"/>
      <c r="E3" s="471"/>
      <c r="F3" s="471"/>
      <c r="G3" s="471"/>
      <c r="L3" s="153"/>
    </row>
    <row r="4" spans="1:252" ht="20.25" hidden="1">
      <c r="A4" s="472"/>
      <c r="B4" s="473"/>
      <c r="C4" s="473"/>
      <c r="D4" s="473"/>
      <c r="E4" s="473"/>
      <c r="F4" s="156"/>
      <c r="G4" s="156"/>
    </row>
    <row r="5" spans="1:252" ht="25.5" customHeight="1">
      <c r="A5" s="474" t="s">
        <v>643</v>
      </c>
      <c r="B5" s="475"/>
      <c r="C5" s="475"/>
      <c r="D5" s="475"/>
      <c r="E5" s="475"/>
      <c r="G5" s="156"/>
    </row>
    <row r="6" spans="1:252" ht="10.5" customHeight="1">
      <c r="B6" s="157"/>
      <c r="C6" s="157"/>
      <c r="D6" s="157"/>
      <c r="E6" s="157"/>
      <c r="F6" s="157" t="s">
        <v>644</v>
      </c>
      <c r="G6" s="156"/>
    </row>
    <row r="7" spans="1:252" s="161" customFormat="1" ht="31.5" customHeight="1">
      <c r="A7" s="476" t="s">
        <v>645</v>
      </c>
      <c r="B7" s="476" t="s">
        <v>646</v>
      </c>
      <c r="C7" s="476" t="s">
        <v>47</v>
      </c>
      <c r="D7" s="476" t="s">
        <v>212</v>
      </c>
      <c r="E7" s="476" t="s">
        <v>559</v>
      </c>
      <c r="F7" s="476"/>
      <c r="G7" s="159"/>
      <c r="H7" s="160"/>
      <c r="I7" s="160"/>
      <c r="J7" s="160"/>
      <c r="K7" s="160"/>
      <c r="IJ7" s="160"/>
      <c r="IK7" s="160"/>
      <c r="IL7" s="160"/>
      <c r="IM7" s="160"/>
      <c r="IN7" s="160"/>
      <c r="IO7" s="160"/>
      <c r="IP7" s="160"/>
      <c r="IQ7" s="160"/>
      <c r="IR7" s="160"/>
    </row>
    <row r="8" spans="1:252" s="165" customFormat="1" ht="25.5">
      <c r="A8" s="476"/>
      <c r="B8" s="476"/>
      <c r="C8" s="476"/>
      <c r="D8" s="476"/>
      <c r="E8" s="158" t="s">
        <v>47</v>
      </c>
      <c r="F8" s="162" t="s">
        <v>647</v>
      </c>
      <c r="G8" s="163"/>
      <c r="H8" s="164"/>
      <c r="I8" s="164"/>
      <c r="J8" s="164"/>
      <c r="K8" s="164"/>
      <c r="IJ8" s="164"/>
      <c r="IK8" s="164"/>
      <c r="IL8" s="164"/>
      <c r="IM8" s="164"/>
      <c r="IN8" s="164"/>
      <c r="IO8" s="164"/>
      <c r="IP8" s="164"/>
      <c r="IQ8" s="164"/>
      <c r="IR8" s="164"/>
    </row>
    <row r="9" spans="1:252" s="165" customFormat="1" ht="15.75">
      <c r="A9" s="158">
        <v>1</v>
      </c>
      <c r="B9" s="158">
        <v>2</v>
      </c>
      <c r="C9" s="158">
        <v>3</v>
      </c>
      <c r="D9" s="158">
        <v>4</v>
      </c>
      <c r="E9" s="158">
        <v>5</v>
      </c>
      <c r="F9" s="162">
        <v>6</v>
      </c>
      <c r="G9" s="163"/>
      <c r="H9" s="164"/>
      <c r="I9" s="164"/>
      <c r="J9" s="164"/>
      <c r="K9" s="164"/>
      <c r="IJ9" s="164"/>
      <c r="IK9" s="164"/>
      <c r="IL9" s="164"/>
      <c r="IM9" s="164"/>
      <c r="IN9" s="164"/>
      <c r="IO9" s="164"/>
      <c r="IP9" s="164"/>
      <c r="IQ9" s="164"/>
      <c r="IR9" s="164"/>
    </row>
    <row r="10" spans="1:252" s="171" customFormat="1" ht="14.25">
      <c r="A10" s="166">
        <v>10000000</v>
      </c>
      <c r="B10" s="167" t="s">
        <v>648</v>
      </c>
      <c r="C10" s="168">
        <f>SUM(D10,E10)</f>
        <v>1180626527</v>
      </c>
      <c r="D10" s="168">
        <f>SUM(D11,D20,D21,D22,D23,D41)</f>
        <v>1179806527</v>
      </c>
      <c r="E10" s="168">
        <v>820000</v>
      </c>
      <c r="F10" s="168"/>
      <c r="G10" s="169"/>
      <c r="H10" s="170"/>
      <c r="I10" s="170"/>
      <c r="J10" s="170"/>
      <c r="K10" s="170"/>
      <c r="IJ10" s="170"/>
      <c r="IK10" s="170"/>
      <c r="IL10" s="170"/>
      <c r="IM10" s="170"/>
      <c r="IN10" s="170"/>
      <c r="IO10" s="170"/>
      <c r="IP10" s="170"/>
      <c r="IQ10" s="170"/>
      <c r="IR10" s="170"/>
    </row>
    <row r="11" spans="1:252" s="178" customFormat="1" ht="25.5">
      <c r="A11" s="172">
        <v>11000000</v>
      </c>
      <c r="B11" s="173" t="s">
        <v>649</v>
      </c>
      <c r="C11" s="174">
        <f t="shared" ref="C11:C77" si="0">SUM(D11,E11)</f>
        <v>686220000</v>
      </c>
      <c r="D11" s="174">
        <f>SUM(D12,D18)</f>
        <v>686220000</v>
      </c>
      <c r="E11" s="175"/>
      <c r="F11" s="175"/>
      <c r="G11" s="176"/>
      <c r="H11" s="177"/>
      <c r="I11" s="177"/>
      <c r="J11" s="177"/>
      <c r="K11" s="177"/>
      <c r="IJ11" s="177"/>
      <c r="IK11" s="177"/>
      <c r="IL11" s="177"/>
      <c r="IM11" s="177"/>
      <c r="IN11" s="177"/>
      <c r="IO11" s="177"/>
      <c r="IP11" s="177"/>
      <c r="IQ11" s="177"/>
      <c r="IR11" s="177"/>
    </row>
    <row r="12" spans="1:252" s="178" customFormat="1" ht="14.25">
      <c r="A12" s="166">
        <v>11010000</v>
      </c>
      <c r="B12" s="179" t="s">
        <v>650</v>
      </c>
      <c r="C12" s="174">
        <f t="shared" si="0"/>
        <v>685820000</v>
      </c>
      <c r="D12" s="180">
        <f>SUM(D13:D17)</f>
        <v>685820000</v>
      </c>
      <c r="E12" s="168"/>
      <c r="F12" s="168"/>
      <c r="G12" s="176"/>
      <c r="H12" s="177"/>
      <c r="I12" s="177"/>
      <c r="J12" s="177"/>
      <c r="K12" s="177"/>
      <c r="IJ12" s="177"/>
      <c r="IK12" s="177"/>
      <c r="IL12" s="177"/>
      <c r="IM12" s="177"/>
      <c r="IN12" s="177"/>
      <c r="IO12" s="177"/>
      <c r="IP12" s="177"/>
      <c r="IQ12" s="177"/>
      <c r="IR12" s="177"/>
    </row>
    <row r="13" spans="1:252" s="178" customFormat="1" ht="36">
      <c r="A13" s="181">
        <v>11010100</v>
      </c>
      <c r="B13" s="182" t="s">
        <v>651</v>
      </c>
      <c r="C13" s="168">
        <f t="shared" si="0"/>
        <v>564750000</v>
      </c>
      <c r="D13" s="183">
        <v>564750000</v>
      </c>
      <c r="E13" s="183"/>
      <c r="F13" s="183"/>
      <c r="G13" s="176"/>
      <c r="H13" s="177"/>
      <c r="I13" s="177"/>
      <c r="J13" s="177"/>
      <c r="K13" s="177"/>
      <c r="IJ13" s="177"/>
      <c r="IK13" s="177"/>
      <c r="IL13" s="177"/>
      <c r="IM13" s="177"/>
      <c r="IN13" s="177"/>
      <c r="IO13" s="177"/>
      <c r="IP13" s="177"/>
      <c r="IQ13" s="177"/>
      <c r="IR13" s="177"/>
    </row>
    <row r="14" spans="1:252" s="178" customFormat="1" ht="60">
      <c r="A14" s="181">
        <v>11010200</v>
      </c>
      <c r="B14" s="182" t="s">
        <v>652</v>
      </c>
      <c r="C14" s="168">
        <f t="shared" si="0"/>
        <v>102470000</v>
      </c>
      <c r="D14" s="183">
        <v>102470000</v>
      </c>
      <c r="E14" s="183"/>
      <c r="F14" s="183"/>
      <c r="G14" s="176"/>
      <c r="H14" s="177"/>
      <c r="I14" s="177"/>
      <c r="J14" s="177"/>
      <c r="K14" s="177"/>
      <c r="IJ14" s="177"/>
      <c r="IK14" s="177"/>
      <c r="IL14" s="177"/>
      <c r="IM14" s="177"/>
      <c r="IN14" s="177"/>
      <c r="IO14" s="177"/>
      <c r="IP14" s="177"/>
      <c r="IQ14" s="177"/>
      <c r="IR14" s="177"/>
    </row>
    <row r="15" spans="1:252" s="178" customFormat="1" ht="36">
      <c r="A15" s="181">
        <v>11010400</v>
      </c>
      <c r="B15" s="182" t="s">
        <v>653</v>
      </c>
      <c r="C15" s="168">
        <f t="shared" si="0"/>
        <v>7400000</v>
      </c>
      <c r="D15" s="183">
        <v>7400000</v>
      </c>
      <c r="E15" s="183"/>
      <c r="F15" s="183"/>
      <c r="G15" s="176"/>
      <c r="H15" s="177"/>
      <c r="I15" s="177"/>
      <c r="J15" s="177"/>
      <c r="K15" s="177"/>
      <c r="IJ15" s="177"/>
      <c r="IK15" s="177"/>
      <c r="IL15" s="177"/>
      <c r="IM15" s="177"/>
      <c r="IN15" s="177"/>
      <c r="IO15" s="177"/>
      <c r="IP15" s="177"/>
      <c r="IQ15" s="177"/>
      <c r="IR15" s="177"/>
    </row>
    <row r="16" spans="1:252" s="164" customFormat="1" ht="36">
      <c r="A16" s="181">
        <v>11010500</v>
      </c>
      <c r="B16" s="182" t="s">
        <v>654</v>
      </c>
      <c r="C16" s="168">
        <f t="shared" si="0"/>
        <v>10450000</v>
      </c>
      <c r="D16" s="183">
        <v>10450000</v>
      </c>
      <c r="E16" s="183"/>
      <c r="F16" s="183"/>
      <c r="G16" s="163"/>
    </row>
    <row r="17" spans="1:252" s="165" customFormat="1" ht="60">
      <c r="A17" s="181">
        <v>11010900</v>
      </c>
      <c r="B17" s="182" t="s">
        <v>655</v>
      </c>
      <c r="C17" s="168">
        <f t="shared" si="0"/>
        <v>750000</v>
      </c>
      <c r="D17" s="183">
        <v>750000</v>
      </c>
      <c r="E17" s="183"/>
      <c r="F17" s="183"/>
      <c r="G17" s="163"/>
      <c r="H17" s="164"/>
      <c r="I17" s="164"/>
      <c r="J17" s="164"/>
      <c r="K17" s="164"/>
      <c r="IJ17" s="164"/>
      <c r="IK17" s="164"/>
      <c r="IL17" s="164"/>
      <c r="IM17" s="164"/>
      <c r="IN17" s="164"/>
      <c r="IO17" s="164"/>
      <c r="IP17" s="164"/>
      <c r="IQ17" s="164"/>
      <c r="IR17" s="164"/>
    </row>
    <row r="18" spans="1:252" s="171" customFormat="1" ht="15">
      <c r="A18" s="172">
        <v>11020000</v>
      </c>
      <c r="B18" s="179" t="s">
        <v>656</v>
      </c>
      <c r="C18" s="168">
        <f t="shared" si="0"/>
        <v>400000</v>
      </c>
      <c r="D18" s="184">
        <f>SUM(D19)</f>
        <v>400000</v>
      </c>
      <c r="E18" s="185"/>
      <c r="F18" s="185"/>
      <c r="G18" s="169"/>
      <c r="H18" s="170"/>
      <c r="I18" s="170"/>
      <c r="J18" s="170"/>
      <c r="K18" s="170"/>
      <c r="IJ18" s="170"/>
      <c r="IK18" s="170"/>
      <c r="IL18" s="170"/>
      <c r="IM18" s="170"/>
      <c r="IN18" s="170"/>
      <c r="IO18" s="170"/>
      <c r="IP18" s="170"/>
      <c r="IQ18" s="170"/>
      <c r="IR18" s="170"/>
    </row>
    <row r="19" spans="1:252" s="165" customFormat="1" ht="24">
      <c r="A19" s="181">
        <v>11020200</v>
      </c>
      <c r="B19" s="186" t="s">
        <v>657</v>
      </c>
      <c r="C19" s="168">
        <f t="shared" si="0"/>
        <v>400000</v>
      </c>
      <c r="D19" s="175">
        <v>400000</v>
      </c>
      <c r="E19" s="187"/>
      <c r="F19" s="175"/>
      <c r="G19" s="163"/>
      <c r="H19" s="164"/>
      <c r="I19" s="164"/>
      <c r="J19" s="164"/>
      <c r="K19" s="164"/>
      <c r="IJ19" s="164"/>
      <c r="IK19" s="164"/>
      <c r="IL19" s="164"/>
      <c r="IM19" s="164"/>
      <c r="IN19" s="164"/>
      <c r="IO19" s="164"/>
      <c r="IP19" s="164"/>
      <c r="IQ19" s="164"/>
      <c r="IR19" s="164"/>
    </row>
    <row r="20" spans="1:252" s="191" customFormat="1" ht="39.75" customHeight="1">
      <c r="A20" s="162">
        <v>140219000</v>
      </c>
      <c r="B20" s="173" t="s">
        <v>834</v>
      </c>
      <c r="C20" s="174">
        <f>SUM(D20,E20)</f>
        <v>14125000</v>
      </c>
      <c r="D20" s="174">
        <v>14125000</v>
      </c>
      <c r="E20" s="188"/>
      <c r="F20" s="188"/>
      <c r="G20" s="189"/>
      <c r="H20" s="190"/>
      <c r="I20" s="190"/>
      <c r="J20" s="190"/>
      <c r="K20" s="190"/>
      <c r="IJ20" s="190"/>
      <c r="IK20" s="190"/>
      <c r="IL20" s="190"/>
      <c r="IM20" s="190"/>
      <c r="IN20" s="190"/>
      <c r="IO20" s="190"/>
      <c r="IP20" s="190"/>
      <c r="IQ20" s="190"/>
      <c r="IR20" s="190"/>
    </row>
    <row r="21" spans="1:252" s="191" customFormat="1" ht="39.75" customHeight="1">
      <c r="A21" s="162">
        <v>140319000</v>
      </c>
      <c r="B21" s="173" t="s">
        <v>835</v>
      </c>
      <c r="C21" s="174">
        <v>48375000</v>
      </c>
      <c r="D21" s="174">
        <v>48375000</v>
      </c>
      <c r="E21" s="188"/>
      <c r="F21" s="188"/>
      <c r="G21" s="189"/>
      <c r="H21" s="190"/>
      <c r="I21" s="190"/>
      <c r="J21" s="190"/>
      <c r="K21" s="190"/>
      <c r="IJ21" s="190"/>
      <c r="IK21" s="190"/>
      <c r="IL21" s="190"/>
      <c r="IM21" s="190"/>
      <c r="IN21" s="190"/>
      <c r="IO21" s="190"/>
      <c r="IP21" s="190"/>
      <c r="IQ21" s="190"/>
      <c r="IR21" s="190"/>
    </row>
    <row r="22" spans="1:252" s="191" customFormat="1" ht="39.75" customHeight="1">
      <c r="A22" s="162">
        <v>14040000</v>
      </c>
      <c r="B22" s="173" t="s">
        <v>658</v>
      </c>
      <c r="C22" s="174">
        <v>79951527</v>
      </c>
      <c r="D22" s="174">
        <v>79951527</v>
      </c>
      <c r="E22" s="188"/>
      <c r="F22" s="188"/>
      <c r="G22" s="189"/>
      <c r="H22" s="190"/>
      <c r="I22" s="190"/>
      <c r="J22" s="190"/>
      <c r="K22" s="190"/>
      <c r="IJ22" s="190"/>
      <c r="IK22" s="190"/>
      <c r="IL22" s="190"/>
      <c r="IM22" s="190"/>
      <c r="IN22" s="190"/>
      <c r="IO22" s="190"/>
      <c r="IP22" s="190"/>
      <c r="IQ22" s="190"/>
      <c r="IR22" s="190"/>
    </row>
    <row r="23" spans="1:252" s="165" customFormat="1" ht="15">
      <c r="A23" s="166">
        <v>1800000</v>
      </c>
      <c r="B23" s="192" t="s">
        <v>659</v>
      </c>
      <c r="C23" s="168">
        <f t="shared" si="0"/>
        <v>351135000</v>
      </c>
      <c r="D23" s="168">
        <f>SUM(D24,D35,D38)</f>
        <v>351135000</v>
      </c>
      <c r="E23" s="168"/>
      <c r="F23" s="168"/>
      <c r="G23" s="163"/>
      <c r="H23" s="164"/>
      <c r="I23" s="164"/>
      <c r="J23" s="164"/>
      <c r="K23" s="164"/>
      <c r="IJ23" s="164"/>
      <c r="IK23" s="164"/>
      <c r="IL23" s="164"/>
      <c r="IM23" s="164"/>
      <c r="IN23" s="164"/>
      <c r="IO23" s="164"/>
      <c r="IP23" s="164"/>
      <c r="IQ23" s="164"/>
      <c r="IR23" s="164"/>
    </row>
    <row r="24" spans="1:252" s="165" customFormat="1" ht="15">
      <c r="A24" s="172">
        <v>18010000</v>
      </c>
      <c r="B24" s="193" t="s">
        <v>660</v>
      </c>
      <c r="C24" s="168">
        <f t="shared" si="0"/>
        <v>145965000</v>
      </c>
      <c r="D24" s="194">
        <f>SUM(D25:D34)</f>
        <v>145965000</v>
      </c>
      <c r="E24" s="175"/>
      <c r="F24" s="175"/>
      <c r="G24" s="163"/>
      <c r="H24" s="164"/>
      <c r="I24" s="164"/>
      <c r="J24" s="164"/>
      <c r="K24" s="164"/>
      <c r="IJ24" s="164"/>
      <c r="IK24" s="164"/>
      <c r="IL24" s="164"/>
      <c r="IM24" s="164"/>
      <c r="IN24" s="164"/>
      <c r="IO24" s="164"/>
      <c r="IP24" s="164"/>
      <c r="IQ24" s="164"/>
      <c r="IR24" s="164"/>
    </row>
    <row r="25" spans="1:252" s="165" customFormat="1" ht="36">
      <c r="A25" s="172">
        <v>18010100</v>
      </c>
      <c r="B25" s="195" t="s">
        <v>661</v>
      </c>
      <c r="C25" s="168">
        <f t="shared" si="0"/>
        <v>95000</v>
      </c>
      <c r="D25" s="175">
        <v>95000</v>
      </c>
      <c r="E25" s="175"/>
      <c r="F25" s="175"/>
      <c r="G25" s="163"/>
      <c r="H25" s="164"/>
      <c r="I25" s="164"/>
      <c r="J25" s="164"/>
      <c r="K25" s="164"/>
      <c r="IJ25" s="164"/>
      <c r="IK25" s="164"/>
      <c r="IL25" s="164"/>
      <c r="IM25" s="164"/>
      <c r="IN25" s="164"/>
      <c r="IO25" s="164"/>
      <c r="IP25" s="164"/>
      <c r="IQ25" s="164"/>
      <c r="IR25" s="164"/>
    </row>
    <row r="26" spans="1:252" s="165" customFormat="1" ht="36">
      <c r="A26" s="172">
        <v>18010200</v>
      </c>
      <c r="B26" s="195" t="s">
        <v>662</v>
      </c>
      <c r="C26" s="168">
        <v>1600000</v>
      </c>
      <c r="D26" s="175">
        <v>1600000</v>
      </c>
      <c r="E26" s="175"/>
      <c r="F26" s="175"/>
      <c r="G26" s="163"/>
      <c r="H26" s="164"/>
      <c r="I26" s="164"/>
      <c r="J26" s="164"/>
      <c r="K26" s="164"/>
      <c r="IJ26" s="164"/>
      <c r="IK26" s="164"/>
      <c r="IL26" s="164"/>
      <c r="IM26" s="164"/>
      <c r="IN26" s="164"/>
      <c r="IO26" s="164"/>
      <c r="IP26" s="164"/>
      <c r="IQ26" s="164"/>
      <c r="IR26" s="164"/>
    </row>
    <row r="27" spans="1:252" s="165" customFormat="1" ht="36">
      <c r="A27" s="172">
        <v>18010300</v>
      </c>
      <c r="B27" s="195" t="s">
        <v>663</v>
      </c>
      <c r="C27" s="168">
        <f t="shared" si="0"/>
        <v>200000</v>
      </c>
      <c r="D27" s="175">
        <v>200000</v>
      </c>
      <c r="E27" s="175"/>
      <c r="F27" s="175"/>
      <c r="G27" s="163"/>
      <c r="H27" s="164"/>
      <c r="I27" s="164"/>
      <c r="J27" s="164"/>
      <c r="K27" s="164"/>
      <c r="IJ27" s="164"/>
      <c r="IK27" s="164"/>
      <c r="IL27" s="164"/>
      <c r="IM27" s="164"/>
      <c r="IN27" s="164"/>
      <c r="IO27" s="164"/>
      <c r="IP27" s="164"/>
      <c r="IQ27" s="164"/>
      <c r="IR27" s="164"/>
    </row>
    <row r="28" spans="1:252" s="165" customFormat="1" ht="36">
      <c r="A28" s="172">
        <v>18010400</v>
      </c>
      <c r="B28" s="195" t="s">
        <v>664</v>
      </c>
      <c r="C28" s="168">
        <f t="shared" si="0"/>
        <v>5370000</v>
      </c>
      <c r="D28" s="175">
        <v>5370000</v>
      </c>
      <c r="E28" s="175"/>
      <c r="F28" s="175"/>
      <c r="G28" s="163"/>
      <c r="H28" s="164"/>
      <c r="I28" s="164"/>
      <c r="J28" s="164"/>
      <c r="K28" s="164"/>
      <c r="IJ28" s="164"/>
      <c r="IK28" s="164"/>
      <c r="IL28" s="164"/>
      <c r="IM28" s="164"/>
      <c r="IN28" s="164"/>
      <c r="IO28" s="164"/>
      <c r="IP28" s="164"/>
      <c r="IQ28" s="164"/>
      <c r="IR28" s="164"/>
    </row>
    <row r="29" spans="1:252" s="165" customFormat="1" ht="15">
      <c r="A29" s="172">
        <v>18010500</v>
      </c>
      <c r="B29" s="196" t="s">
        <v>665</v>
      </c>
      <c r="C29" s="168">
        <f t="shared" si="0"/>
        <v>39000000</v>
      </c>
      <c r="D29" s="175">
        <v>39000000</v>
      </c>
      <c r="E29" s="175"/>
      <c r="F29" s="175"/>
      <c r="G29" s="163"/>
      <c r="H29" s="164"/>
      <c r="I29" s="164"/>
      <c r="J29" s="164"/>
      <c r="K29" s="164"/>
      <c r="IJ29" s="164"/>
      <c r="IK29" s="164"/>
      <c r="IL29" s="164"/>
      <c r="IM29" s="164"/>
      <c r="IN29" s="164"/>
      <c r="IO29" s="164"/>
      <c r="IP29" s="164"/>
      <c r="IQ29" s="164"/>
      <c r="IR29" s="164"/>
    </row>
    <row r="30" spans="1:252" s="165" customFormat="1" ht="15">
      <c r="A30" s="172">
        <v>18010600</v>
      </c>
      <c r="B30" s="195" t="s">
        <v>666</v>
      </c>
      <c r="C30" s="168">
        <f t="shared" si="0"/>
        <v>76500000</v>
      </c>
      <c r="D30" s="175">
        <v>76500000</v>
      </c>
      <c r="E30" s="175"/>
      <c r="F30" s="175"/>
      <c r="G30" s="163"/>
      <c r="H30" s="164"/>
      <c r="I30" s="164"/>
      <c r="J30" s="164"/>
      <c r="K30" s="164"/>
      <c r="IJ30" s="164"/>
      <c r="IK30" s="164"/>
      <c r="IL30" s="164"/>
      <c r="IM30" s="164"/>
      <c r="IN30" s="164"/>
      <c r="IO30" s="164"/>
      <c r="IP30" s="164"/>
      <c r="IQ30" s="164"/>
      <c r="IR30" s="164"/>
    </row>
    <row r="31" spans="1:252" s="165" customFormat="1" ht="15">
      <c r="A31" s="172">
        <v>18010700</v>
      </c>
      <c r="B31" s="195" t="s">
        <v>667</v>
      </c>
      <c r="C31" s="168">
        <f t="shared" si="0"/>
        <v>2000000</v>
      </c>
      <c r="D31" s="175">
        <v>2000000</v>
      </c>
      <c r="E31" s="175"/>
      <c r="F31" s="175"/>
      <c r="G31" s="163"/>
      <c r="H31" s="164"/>
      <c r="I31" s="164"/>
      <c r="J31" s="164"/>
      <c r="K31" s="164"/>
      <c r="IJ31" s="164"/>
      <c r="IK31" s="164"/>
      <c r="IL31" s="164"/>
      <c r="IM31" s="164"/>
      <c r="IN31" s="164"/>
      <c r="IO31" s="164"/>
      <c r="IP31" s="164"/>
      <c r="IQ31" s="164"/>
      <c r="IR31" s="164"/>
    </row>
    <row r="32" spans="1:252" s="165" customFormat="1" ht="15">
      <c r="A32" s="172">
        <v>18010900</v>
      </c>
      <c r="B32" s="195" t="s">
        <v>668</v>
      </c>
      <c r="C32" s="168">
        <f t="shared" si="0"/>
        <v>20000000</v>
      </c>
      <c r="D32" s="175">
        <v>20000000</v>
      </c>
      <c r="E32" s="175"/>
      <c r="F32" s="175"/>
      <c r="G32" s="163"/>
      <c r="H32" s="164"/>
      <c r="I32" s="164"/>
      <c r="J32" s="164"/>
      <c r="K32" s="164"/>
      <c r="IJ32" s="164"/>
      <c r="IK32" s="164"/>
      <c r="IL32" s="164"/>
      <c r="IM32" s="164"/>
      <c r="IN32" s="164"/>
      <c r="IO32" s="164"/>
      <c r="IP32" s="164"/>
      <c r="IQ32" s="164"/>
      <c r="IR32" s="164"/>
    </row>
    <row r="33" spans="1:252" s="171" customFormat="1" ht="15">
      <c r="A33" s="172">
        <v>18011000</v>
      </c>
      <c r="B33" s="195" t="s">
        <v>669</v>
      </c>
      <c r="C33" s="168">
        <f t="shared" si="0"/>
        <v>800000</v>
      </c>
      <c r="D33" s="175">
        <v>800000</v>
      </c>
      <c r="E33" s="175"/>
      <c r="F33" s="175"/>
      <c r="G33" s="169"/>
      <c r="H33" s="170"/>
      <c r="I33" s="170"/>
      <c r="J33" s="170"/>
      <c r="K33" s="170"/>
      <c r="IJ33" s="170"/>
      <c r="IK33" s="170"/>
      <c r="IL33" s="170"/>
      <c r="IM33" s="170"/>
      <c r="IN33" s="170"/>
      <c r="IO33" s="170"/>
      <c r="IP33" s="170"/>
      <c r="IQ33" s="170"/>
      <c r="IR33" s="170"/>
    </row>
    <row r="34" spans="1:252" s="165" customFormat="1" ht="15">
      <c r="A34" s="172">
        <v>18011100</v>
      </c>
      <c r="B34" s="195" t="s">
        <v>670</v>
      </c>
      <c r="C34" s="168">
        <f t="shared" si="0"/>
        <v>400000</v>
      </c>
      <c r="D34" s="175">
        <v>400000</v>
      </c>
      <c r="E34" s="175"/>
      <c r="F34" s="175"/>
      <c r="G34" s="163"/>
      <c r="H34" s="164"/>
      <c r="I34" s="164"/>
      <c r="J34" s="164"/>
      <c r="K34" s="164"/>
      <c r="IJ34" s="164"/>
      <c r="IK34" s="164"/>
      <c r="IL34" s="164"/>
      <c r="IM34" s="164"/>
      <c r="IN34" s="164"/>
      <c r="IO34" s="164"/>
      <c r="IP34" s="164"/>
      <c r="IQ34" s="164"/>
      <c r="IR34" s="164"/>
    </row>
    <row r="35" spans="1:252" s="165" customFormat="1" ht="15">
      <c r="A35" s="166">
        <v>1803000</v>
      </c>
      <c r="B35" s="197" t="s">
        <v>671</v>
      </c>
      <c r="C35" s="168">
        <f t="shared" si="0"/>
        <v>170000</v>
      </c>
      <c r="D35" s="168">
        <f>SUM(D36:D37)</f>
        <v>170000</v>
      </c>
      <c r="E35" s="168"/>
      <c r="F35" s="168"/>
      <c r="G35" s="163"/>
      <c r="H35" s="164"/>
      <c r="I35" s="164"/>
      <c r="J35" s="164"/>
      <c r="K35" s="164"/>
      <c r="IJ35" s="164"/>
      <c r="IK35" s="164"/>
      <c r="IL35" s="164"/>
      <c r="IM35" s="164"/>
      <c r="IN35" s="164"/>
      <c r="IO35" s="164"/>
      <c r="IP35" s="164"/>
      <c r="IQ35" s="164"/>
      <c r="IR35" s="164"/>
    </row>
    <row r="36" spans="1:252" s="165" customFormat="1" ht="15">
      <c r="A36" s="172">
        <v>18030100</v>
      </c>
      <c r="B36" s="195" t="s">
        <v>672</v>
      </c>
      <c r="C36" s="168">
        <f t="shared" si="0"/>
        <v>110000</v>
      </c>
      <c r="D36" s="175">
        <v>110000</v>
      </c>
      <c r="E36" s="175"/>
      <c r="F36" s="175"/>
      <c r="G36" s="163"/>
      <c r="H36" s="164"/>
      <c r="I36" s="164"/>
      <c r="J36" s="164"/>
      <c r="K36" s="164"/>
      <c r="IJ36" s="164"/>
      <c r="IK36" s="164"/>
      <c r="IL36" s="164"/>
      <c r="IM36" s="164"/>
      <c r="IN36" s="164"/>
      <c r="IO36" s="164"/>
      <c r="IP36" s="164"/>
      <c r="IQ36" s="164"/>
      <c r="IR36" s="164"/>
    </row>
    <row r="37" spans="1:252" s="165" customFormat="1" ht="15">
      <c r="A37" s="172">
        <v>18030200</v>
      </c>
      <c r="B37" s="195" t="s">
        <v>673</v>
      </c>
      <c r="C37" s="168">
        <f t="shared" si="0"/>
        <v>60000</v>
      </c>
      <c r="D37" s="175">
        <v>60000</v>
      </c>
      <c r="E37" s="175"/>
      <c r="F37" s="175"/>
      <c r="G37" s="163"/>
      <c r="H37" s="164"/>
      <c r="I37" s="164"/>
      <c r="J37" s="164"/>
      <c r="K37" s="164"/>
      <c r="IJ37" s="164"/>
      <c r="IK37" s="164"/>
      <c r="IL37" s="164"/>
      <c r="IM37" s="164"/>
      <c r="IN37" s="164"/>
      <c r="IO37" s="164"/>
      <c r="IP37" s="164"/>
      <c r="IQ37" s="164"/>
      <c r="IR37" s="164"/>
    </row>
    <row r="38" spans="1:252" s="165" customFormat="1" ht="15">
      <c r="A38" s="172">
        <v>18050000</v>
      </c>
      <c r="B38" s="193" t="s">
        <v>674</v>
      </c>
      <c r="C38" s="168">
        <f t="shared" si="0"/>
        <v>205000000</v>
      </c>
      <c r="D38" s="168">
        <f>SUM(D39:D40)</f>
        <v>205000000</v>
      </c>
      <c r="E38" s="175"/>
      <c r="F38" s="175"/>
      <c r="G38" s="163"/>
      <c r="H38" s="164"/>
      <c r="I38" s="164"/>
      <c r="J38" s="164"/>
      <c r="K38" s="164"/>
      <c r="IJ38" s="164"/>
      <c r="IK38" s="164"/>
      <c r="IL38" s="164"/>
      <c r="IM38" s="164"/>
      <c r="IN38" s="164"/>
      <c r="IO38" s="164"/>
      <c r="IP38" s="164"/>
      <c r="IQ38" s="164"/>
      <c r="IR38" s="164"/>
    </row>
    <row r="39" spans="1:252" s="165" customFormat="1" ht="17.25" customHeight="1">
      <c r="A39" s="172">
        <v>18050300</v>
      </c>
      <c r="B39" s="182" t="s">
        <v>675</v>
      </c>
      <c r="C39" s="174">
        <f t="shared" si="0"/>
        <v>48875000</v>
      </c>
      <c r="D39" s="175">
        <v>48875000</v>
      </c>
      <c r="E39" s="175"/>
      <c r="F39" s="175"/>
      <c r="G39" s="163"/>
      <c r="H39" s="164"/>
      <c r="I39" s="164"/>
      <c r="J39" s="164"/>
      <c r="K39" s="164"/>
      <c r="IJ39" s="164"/>
      <c r="IK39" s="164"/>
      <c r="IL39" s="164"/>
      <c r="IM39" s="164"/>
      <c r="IN39" s="164"/>
      <c r="IO39" s="164"/>
      <c r="IP39" s="164"/>
      <c r="IQ39" s="164"/>
      <c r="IR39" s="164"/>
    </row>
    <row r="40" spans="1:252" s="171" customFormat="1" ht="15">
      <c r="A40" s="172">
        <v>18050400</v>
      </c>
      <c r="B40" s="195" t="s">
        <v>676</v>
      </c>
      <c r="C40" s="174">
        <f t="shared" si="0"/>
        <v>156125000</v>
      </c>
      <c r="D40" s="175">
        <v>156125000</v>
      </c>
      <c r="E40" s="175"/>
      <c r="F40" s="175"/>
      <c r="G40" s="169"/>
      <c r="H40" s="170"/>
      <c r="I40" s="170"/>
      <c r="J40" s="170"/>
      <c r="K40" s="170"/>
      <c r="IJ40" s="170"/>
      <c r="IK40" s="170"/>
      <c r="IL40" s="170"/>
      <c r="IM40" s="170"/>
      <c r="IN40" s="170"/>
      <c r="IO40" s="170"/>
      <c r="IP40" s="170"/>
      <c r="IQ40" s="170"/>
      <c r="IR40" s="170"/>
    </row>
    <row r="41" spans="1:252" s="165" customFormat="1" ht="15">
      <c r="A41" s="166">
        <v>1901000</v>
      </c>
      <c r="B41" s="192" t="s">
        <v>677</v>
      </c>
      <c r="C41" s="168">
        <f t="shared" si="0"/>
        <v>820000</v>
      </c>
      <c r="D41" s="168">
        <f>SUM(D42:D44)</f>
        <v>0</v>
      </c>
      <c r="E41" s="168">
        <f>SUM(E42:E44)</f>
        <v>820000</v>
      </c>
      <c r="F41" s="168"/>
      <c r="G41" s="163"/>
      <c r="H41" s="164"/>
      <c r="I41" s="164"/>
      <c r="J41" s="164"/>
      <c r="K41" s="164"/>
      <c r="IJ41" s="164"/>
      <c r="IK41" s="164"/>
      <c r="IL41" s="164"/>
      <c r="IM41" s="164"/>
      <c r="IN41" s="164"/>
      <c r="IO41" s="164"/>
      <c r="IP41" s="164"/>
      <c r="IQ41" s="164"/>
      <c r="IR41" s="164"/>
    </row>
    <row r="42" spans="1:252" s="165" customFormat="1" ht="36">
      <c r="A42" s="172">
        <v>19010100</v>
      </c>
      <c r="B42" s="182" t="s">
        <v>678</v>
      </c>
      <c r="C42" s="168">
        <f t="shared" si="0"/>
        <v>185000</v>
      </c>
      <c r="D42" s="175"/>
      <c r="E42" s="175">
        <v>185000</v>
      </c>
      <c r="F42" s="175"/>
      <c r="G42" s="163"/>
      <c r="H42" s="164"/>
      <c r="I42" s="164"/>
      <c r="J42" s="164"/>
      <c r="K42" s="164"/>
      <c r="IJ42" s="164"/>
      <c r="IK42" s="164"/>
      <c r="IL42" s="164"/>
      <c r="IM42" s="164"/>
      <c r="IN42" s="164"/>
      <c r="IO42" s="164"/>
      <c r="IP42" s="164"/>
      <c r="IQ42" s="164"/>
      <c r="IR42" s="164"/>
    </row>
    <row r="43" spans="1:252" s="191" customFormat="1" ht="24">
      <c r="A43" s="172">
        <v>19010200</v>
      </c>
      <c r="B43" s="182" t="s">
        <v>679</v>
      </c>
      <c r="C43" s="168">
        <f t="shared" si="0"/>
        <v>125000</v>
      </c>
      <c r="D43" s="175"/>
      <c r="E43" s="175">
        <v>125000</v>
      </c>
      <c r="F43" s="175"/>
      <c r="G43" s="189"/>
      <c r="H43" s="190"/>
      <c r="I43" s="190"/>
      <c r="J43" s="190"/>
      <c r="K43" s="190"/>
      <c r="IJ43" s="190"/>
      <c r="IK43" s="190"/>
      <c r="IL43" s="190"/>
      <c r="IM43" s="190"/>
      <c r="IN43" s="190"/>
      <c r="IO43" s="190"/>
      <c r="IP43" s="190"/>
      <c r="IQ43" s="190"/>
      <c r="IR43" s="190"/>
    </row>
    <row r="44" spans="1:252" s="165" customFormat="1" ht="36">
      <c r="A44" s="172">
        <v>19010300</v>
      </c>
      <c r="B44" s="182" t="s">
        <v>680</v>
      </c>
      <c r="C44" s="168">
        <f t="shared" si="0"/>
        <v>510000</v>
      </c>
      <c r="D44" s="175"/>
      <c r="E44" s="175">
        <v>510000</v>
      </c>
      <c r="F44" s="175"/>
      <c r="G44" s="163"/>
      <c r="H44" s="164"/>
      <c r="I44" s="164"/>
      <c r="J44" s="164"/>
      <c r="K44" s="164"/>
      <c r="IJ44" s="164"/>
      <c r="IK44" s="164"/>
      <c r="IL44" s="164"/>
      <c r="IM44" s="164"/>
      <c r="IN44" s="164"/>
      <c r="IO44" s="164"/>
      <c r="IP44" s="164"/>
      <c r="IQ44" s="164"/>
      <c r="IR44" s="164"/>
    </row>
    <row r="45" spans="1:252" s="165" customFormat="1" ht="15">
      <c r="A45" s="166">
        <v>20000000</v>
      </c>
      <c r="B45" s="167" t="s">
        <v>681</v>
      </c>
      <c r="C45" s="168">
        <f t="shared" si="0"/>
        <v>205721483</v>
      </c>
      <c r="D45" s="174">
        <f>SUM(D46,D47,D48,D51,D59,D71)</f>
        <v>86730000</v>
      </c>
      <c r="E45" s="174">
        <f>SUM(E46,E51,E59,E55,E62)</f>
        <v>118991483</v>
      </c>
      <c r="F45" s="174">
        <f>SUM(F46,F51,F59,F55)</f>
        <v>25000000</v>
      </c>
      <c r="G45" s="163"/>
      <c r="H45" s="164"/>
      <c r="I45" s="164"/>
      <c r="J45" s="164"/>
      <c r="K45" s="164"/>
      <c r="IJ45" s="164"/>
      <c r="IK45" s="164"/>
      <c r="IL45" s="164"/>
      <c r="IM45" s="164"/>
      <c r="IN45" s="164"/>
      <c r="IO45" s="164"/>
      <c r="IP45" s="164"/>
      <c r="IQ45" s="164"/>
      <c r="IR45" s="164"/>
    </row>
    <row r="46" spans="1:252" s="165" customFormat="1" ht="41.25" customHeight="1">
      <c r="A46" s="172">
        <v>21010300</v>
      </c>
      <c r="B46" s="198" t="s">
        <v>682</v>
      </c>
      <c r="C46" s="168">
        <f t="shared" si="0"/>
        <v>700000</v>
      </c>
      <c r="D46" s="175">
        <v>700000</v>
      </c>
      <c r="E46" s="175"/>
      <c r="F46" s="175"/>
      <c r="G46" s="163"/>
      <c r="H46" s="164"/>
      <c r="I46" s="164"/>
      <c r="J46" s="164"/>
      <c r="K46" s="164"/>
      <c r="IJ46" s="164"/>
      <c r="IK46" s="164"/>
      <c r="IL46" s="164"/>
      <c r="IM46" s="164"/>
      <c r="IN46" s="164"/>
      <c r="IO46" s="164"/>
      <c r="IP46" s="164"/>
      <c r="IQ46" s="164"/>
      <c r="IR46" s="164"/>
    </row>
    <row r="47" spans="1:252" s="165" customFormat="1" ht="27" customHeight="1">
      <c r="A47" s="172">
        <v>21050000</v>
      </c>
      <c r="B47" s="198" t="s">
        <v>683</v>
      </c>
      <c r="C47" s="168">
        <v>24500000</v>
      </c>
      <c r="D47" s="175">
        <v>24500000</v>
      </c>
      <c r="E47" s="175"/>
      <c r="F47" s="175"/>
      <c r="G47" s="163"/>
      <c r="H47" s="164"/>
      <c r="I47" s="164"/>
      <c r="J47" s="164"/>
      <c r="K47" s="164"/>
      <c r="IJ47" s="164"/>
      <c r="IK47" s="164"/>
      <c r="IL47" s="164"/>
      <c r="IM47" s="164"/>
      <c r="IN47" s="164"/>
      <c r="IO47" s="164"/>
      <c r="IP47" s="164"/>
      <c r="IQ47" s="164"/>
      <c r="IR47" s="164"/>
    </row>
    <row r="48" spans="1:252" s="191" customFormat="1" ht="27">
      <c r="A48" s="199">
        <v>21800000</v>
      </c>
      <c r="B48" s="200" t="s">
        <v>684</v>
      </c>
      <c r="C48" s="174">
        <f>SUM(D48,E48)</f>
        <v>1420000</v>
      </c>
      <c r="D48" s="180">
        <f>SUM(D49:D50)</f>
        <v>1420000</v>
      </c>
      <c r="E48" s="180"/>
      <c r="F48" s="180"/>
      <c r="G48" s="189"/>
      <c r="H48" s="190"/>
      <c r="I48" s="190"/>
      <c r="J48" s="190"/>
      <c r="K48" s="190"/>
      <c r="IJ48" s="190"/>
      <c r="IK48" s="190"/>
      <c r="IL48" s="190"/>
      <c r="IM48" s="190"/>
      <c r="IN48" s="190"/>
      <c r="IO48" s="190"/>
      <c r="IP48" s="190"/>
      <c r="IQ48" s="190"/>
      <c r="IR48" s="190"/>
    </row>
    <row r="49" spans="1:252" s="165" customFormat="1" ht="15">
      <c r="A49" s="181">
        <v>21081100</v>
      </c>
      <c r="B49" s="201" t="s">
        <v>685</v>
      </c>
      <c r="C49" s="168">
        <f>SUM(D49,E49)</f>
        <v>720000</v>
      </c>
      <c r="D49" s="175">
        <v>720000</v>
      </c>
      <c r="E49" s="175"/>
      <c r="F49" s="175"/>
      <c r="G49" s="163"/>
      <c r="H49" s="164"/>
      <c r="I49" s="164"/>
      <c r="J49" s="164"/>
      <c r="K49" s="164"/>
      <c r="IJ49" s="164"/>
      <c r="IK49" s="164"/>
      <c r="IL49" s="164"/>
      <c r="IM49" s="164"/>
      <c r="IN49" s="164"/>
      <c r="IO49" s="164"/>
      <c r="IP49" s="164"/>
      <c r="IQ49" s="164"/>
      <c r="IR49" s="164"/>
    </row>
    <row r="50" spans="1:252" s="165" customFormat="1" ht="36">
      <c r="A50" s="172">
        <v>21081500</v>
      </c>
      <c r="B50" s="182" t="s">
        <v>686</v>
      </c>
      <c r="C50" s="168">
        <f>SUM(D50,E50)</f>
        <v>700000</v>
      </c>
      <c r="D50" s="175">
        <v>700000</v>
      </c>
      <c r="E50" s="175"/>
      <c r="F50" s="175"/>
      <c r="G50" s="163"/>
      <c r="H50" s="164"/>
      <c r="I50" s="164"/>
      <c r="J50" s="164"/>
      <c r="K50" s="164"/>
      <c r="IJ50" s="164"/>
      <c r="IK50" s="164"/>
      <c r="IL50" s="164"/>
      <c r="IM50" s="164"/>
      <c r="IN50" s="164"/>
      <c r="IO50" s="164"/>
      <c r="IP50" s="164"/>
      <c r="IQ50" s="164"/>
      <c r="IR50" s="164"/>
    </row>
    <row r="51" spans="1:252" s="165" customFormat="1" ht="27">
      <c r="A51" s="166">
        <v>22000000</v>
      </c>
      <c r="B51" s="179" t="s">
        <v>687</v>
      </c>
      <c r="C51" s="168">
        <f t="shared" si="0"/>
        <v>25425000</v>
      </c>
      <c r="D51" s="175">
        <f>SUM(D52:D55)</f>
        <v>25425000</v>
      </c>
      <c r="E51" s="175"/>
      <c r="F51" s="175"/>
      <c r="G51" s="163"/>
      <c r="H51" s="164"/>
      <c r="I51" s="164"/>
      <c r="J51" s="164"/>
      <c r="K51" s="164"/>
      <c r="IJ51" s="164"/>
      <c r="IK51" s="164"/>
      <c r="IL51" s="164"/>
      <c r="IM51" s="164"/>
      <c r="IN51" s="164"/>
      <c r="IO51" s="164"/>
      <c r="IP51" s="164"/>
      <c r="IQ51" s="164"/>
      <c r="IR51" s="164"/>
    </row>
    <row r="52" spans="1:252" s="165" customFormat="1" ht="25.5">
      <c r="A52" s="172">
        <v>22012600</v>
      </c>
      <c r="B52" s="202" t="s">
        <v>688</v>
      </c>
      <c r="C52" s="168">
        <v>500000</v>
      </c>
      <c r="D52" s="175">
        <v>500000</v>
      </c>
      <c r="E52" s="175"/>
      <c r="F52" s="175"/>
      <c r="G52" s="163"/>
      <c r="H52" s="164"/>
      <c r="I52" s="164"/>
      <c r="J52" s="164"/>
      <c r="K52" s="164"/>
      <c r="IJ52" s="164"/>
      <c r="IK52" s="164"/>
      <c r="IL52" s="164"/>
      <c r="IM52" s="164"/>
      <c r="IN52" s="164"/>
      <c r="IO52" s="164"/>
      <c r="IP52" s="164"/>
      <c r="IQ52" s="164"/>
      <c r="IR52" s="164"/>
    </row>
    <row r="53" spans="1:252" s="205" customFormat="1" ht="15">
      <c r="A53" s="172">
        <v>22012500</v>
      </c>
      <c r="B53" s="182" t="s">
        <v>689</v>
      </c>
      <c r="C53" s="168">
        <f t="shared" si="0"/>
        <v>15000000</v>
      </c>
      <c r="D53" s="175">
        <v>15000000</v>
      </c>
      <c r="E53" s="175"/>
      <c r="F53" s="175"/>
      <c r="G53" s="203"/>
      <c r="H53" s="204"/>
      <c r="I53" s="204"/>
      <c r="J53" s="204"/>
      <c r="K53" s="204"/>
      <c r="IJ53" s="204"/>
      <c r="IK53" s="204"/>
      <c r="IL53" s="204"/>
      <c r="IM53" s="204"/>
      <c r="IN53" s="204"/>
      <c r="IO53" s="204"/>
      <c r="IP53" s="204"/>
      <c r="IQ53" s="204"/>
      <c r="IR53" s="204"/>
    </row>
    <row r="54" spans="1:252" s="165" customFormat="1" ht="36">
      <c r="A54" s="181">
        <v>22080400</v>
      </c>
      <c r="B54" s="201" t="s">
        <v>690</v>
      </c>
      <c r="C54" s="168">
        <f t="shared" si="0"/>
        <v>8925000</v>
      </c>
      <c r="D54" s="175">
        <v>8925000</v>
      </c>
      <c r="E54" s="175"/>
      <c r="F54" s="175"/>
      <c r="G54" s="163"/>
      <c r="H54" s="164"/>
      <c r="I54" s="164"/>
      <c r="J54" s="164"/>
      <c r="K54" s="164"/>
      <c r="IJ54" s="164"/>
      <c r="IK54" s="164"/>
      <c r="IL54" s="164"/>
      <c r="IM54" s="164"/>
      <c r="IN54" s="164"/>
      <c r="IO54" s="164"/>
      <c r="IP54" s="164"/>
      <c r="IQ54" s="164"/>
      <c r="IR54" s="164"/>
    </row>
    <row r="55" spans="1:252" s="165" customFormat="1" ht="15">
      <c r="A55" s="206">
        <v>22090000</v>
      </c>
      <c r="B55" s="207" t="s">
        <v>691</v>
      </c>
      <c r="C55" s="168">
        <f t="shared" si="0"/>
        <v>1000000</v>
      </c>
      <c r="D55" s="208">
        <f>SUM(D56:D58)</f>
        <v>1000000</v>
      </c>
      <c r="E55" s="209"/>
      <c r="F55" s="209"/>
      <c r="G55" s="163"/>
      <c r="H55" s="164"/>
      <c r="I55" s="164"/>
      <c r="J55" s="164"/>
      <c r="K55" s="164"/>
      <c r="IJ55" s="164"/>
      <c r="IK55" s="164"/>
      <c r="IL55" s="164"/>
      <c r="IM55" s="164"/>
      <c r="IN55" s="164"/>
      <c r="IO55" s="164"/>
      <c r="IP55" s="164"/>
      <c r="IQ55" s="164"/>
      <c r="IR55" s="164"/>
    </row>
    <row r="56" spans="1:252" s="165" customFormat="1" ht="36">
      <c r="A56" s="181">
        <v>22090100</v>
      </c>
      <c r="B56" s="195" t="s">
        <v>692</v>
      </c>
      <c r="C56" s="168">
        <f t="shared" si="0"/>
        <v>120000</v>
      </c>
      <c r="D56" s="175">
        <v>120000</v>
      </c>
      <c r="E56" s="175"/>
      <c r="F56" s="175"/>
      <c r="G56" s="163"/>
      <c r="H56" s="164"/>
      <c r="I56" s="164"/>
      <c r="J56" s="164"/>
      <c r="K56" s="164"/>
      <c r="IJ56" s="164"/>
      <c r="IK56" s="164"/>
      <c r="IL56" s="164"/>
      <c r="IM56" s="164"/>
      <c r="IN56" s="164"/>
      <c r="IO56" s="164"/>
      <c r="IP56" s="164"/>
      <c r="IQ56" s="164"/>
      <c r="IR56" s="164"/>
    </row>
    <row r="57" spans="1:252" s="165" customFormat="1" ht="15">
      <c r="A57" s="181">
        <v>22090200</v>
      </c>
      <c r="B57" s="195" t="s">
        <v>693</v>
      </c>
      <c r="C57" s="168">
        <f t="shared" si="0"/>
        <v>330000</v>
      </c>
      <c r="D57" s="175">
        <v>330000</v>
      </c>
      <c r="E57" s="175"/>
      <c r="F57" s="175"/>
      <c r="G57" s="163"/>
      <c r="H57" s="164"/>
      <c r="I57" s="164"/>
      <c r="J57" s="164"/>
      <c r="K57" s="164"/>
      <c r="IJ57" s="164"/>
      <c r="IK57" s="164"/>
      <c r="IL57" s="164"/>
      <c r="IM57" s="164"/>
      <c r="IN57" s="164"/>
      <c r="IO57" s="164"/>
      <c r="IP57" s="164"/>
      <c r="IQ57" s="164"/>
      <c r="IR57" s="164"/>
    </row>
    <row r="58" spans="1:252" s="178" customFormat="1" ht="36">
      <c r="A58" s="181">
        <v>22090400</v>
      </c>
      <c r="B58" s="195" t="s">
        <v>694</v>
      </c>
      <c r="C58" s="168">
        <f t="shared" si="0"/>
        <v>550000</v>
      </c>
      <c r="D58" s="175">
        <v>550000</v>
      </c>
      <c r="E58" s="175"/>
      <c r="F58" s="175"/>
      <c r="G58" s="176"/>
      <c r="H58" s="177"/>
      <c r="I58" s="177"/>
      <c r="J58" s="177"/>
      <c r="K58" s="177"/>
      <c r="IJ58" s="177"/>
      <c r="IK58" s="177"/>
      <c r="IL58" s="177"/>
      <c r="IM58" s="177"/>
      <c r="IN58" s="177"/>
      <c r="IO58" s="177"/>
      <c r="IP58" s="177"/>
      <c r="IQ58" s="177"/>
      <c r="IR58" s="177"/>
    </row>
    <row r="59" spans="1:252" s="165" customFormat="1" ht="15">
      <c r="A59" s="166">
        <v>24000000</v>
      </c>
      <c r="B59" s="207" t="s">
        <v>695</v>
      </c>
      <c r="C59" s="168">
        <f t="shared" si="0"/>
        <v>59650000</v>
      </c>
      <c r="D59" s="184">
        <f>D60+D61</f>
        <v>34650000</v>
      </c>
      <c r="E59" s="184">
        <f>E60+E61</f>
        <v>25000000</v>
      </c>
      <c r="F59" s="168">
        <v>25000000</v>
      </c>
      <c r="G59" s="163"/>
      <c r="H59" s="164"/>
      <c r="I59" s="164"/>
      <c r="J59" s="164"/>
      <c r="K59" s="164"/>
      <c r="IJ59" s="164"/>
      <c r="IK59" s="164"/>
      <c r="IL59" s="164"/>
      <c r="IM59" s="164"/>
      <c r="IN59" s="164"/>
      <c r="IO59" s="164"/>
      <c r="IP59" s="164"/>
      <c r="IQ59" s="164"/>
      <c r="IR59" s="164"/>
    </row>
    <row r="60" spans="1:252" s="165" customFormat="1" ht="15">
      <c r="A60" s="181">
        <v>24060300</v>
      </c>
      <c r="B60" s="182" t="s">
        <v>696</v>
      </c>
      <c r="C60" s="168">
        <f t="shared" si="0"/>
        <v>34650000</v>
      </c>
      <c r="D60" s="185">
        <v>34650000</v>
      </c>
      <c r="E60" s="185"/>
      <c r="F60" s="185"/>
      <c r="G60" s="163"/>
      <c r="H60" s="164"/>
      <c r="I60" s="164"/>
      <c r="J60" s="164"/>
      <c r="K60" s="164"/>
      <c r="IJ60" s="164"/>
      <c r="IK60" s="164"/>
      <c r="IL60" s="164"/>
      <c r="IM60" s="164"/>
      <c r="IN60" s="164"/>
      <c r="IO60" s="164"/>
      <c r="IP60" s="164"/>
      <c r="IQ60" s="164"/>
      <c r="IR60" s="164"/>
    </row>
    <row r="61" spans="1:252" s="171" customFormat="1" ht="24">
      <c r="A61" s="181">
        <v>24170000</v>
      </c>
      <c r="B61" s="186" t="s">
        <v>697</v>
      </c>
      <c r="C61" s="168">
        <f t="shared" si="0"/>
        <v>25000000</v>
      </c>
      <c r="D61" s="185"/>
      <c r="E61" s="185">
        <v>25000000</v>
      </c>
      <c r="F61" s="185">
        <v>25000000</v>
      </c>
      <c r="G61" s="169"/>
      <c r="H61" s="170"/>
      <c r="I61" s="170"/>
      <c r="J61" s="170"/>
      <c r="K61" s="170"/>
      <c r="IJ61" s="170"/>
      <c r="IK61" s="170"/>
      <c r="IL61" s="170"/>
      <c r="IM61" s="170"/>
      <c r="IN61" s="170"/>
      <c r="IO61" s="170"/>
      <c r="IP61" s="170"/>
      <c r="IQ61" s="170"/>
      <c r="IR61" s="170"/>
    </row>
    <row r="62" spans="1:252" s="165" customFormat="1" ht="15">
      <c r="A62" s="166">
        <v>25000000</v>
      </c>
      <c r="B62" s="173" t="s">
        <v>698</v>
      </c>
      <c r="C62" s="168">
        <f t="shared" si="0"/>
        <v>93991483</v>
      </c>
      <c r="D62" s="184">
        <f>SUM(D63,D68)</f>
        <v>0</v>
      </c>
      <c r="E62" s="184">
        <f>SUM(E63,E68)</f>
        <v>93991483</v>
      </c>
      <c r="F62" s="184"/>
      <c r="G62" s="163"/>
      <c r="H62" s="164"/>
      <c r="I62" s="164"/>
      <c r="J62" s="164"/>
      <c r="K62" s="164"/>
      <c r="IJ62" s="164"/>
      <c r="IK62" s="164"/>
      <c r="IL62" s="164"/>
      <c r="IM62" s="164"/>
      <c r="IN62" s="164"/>
      <c r="IO62" s="164"/>
      <c r="IP62" s="164"/>
      <c r="IQ62" s="164"/>
      <c r="IR62" s="164"/>
    </row>
    <row r="63" spans="1:252" s="165" customFormat="1" ht="38.25">
      <c r="A63" s="172">
        <v>25010000</v>
      </c>
      <c r="B63" s="210" t="s">
        <v>699</v>
      </c>
      <c r="C63" s="168">
        <f t="shared" si="0"/>
        <v>93975483</v>
      </c>
      <c r="D63" s="185"/>
      <c r="E63" s="185">
        <f>SUM(E64:E67)</f>
        <v>93975483</v>
      </c>
      <c r="F63" s="185"/>
      <c r="G63" s="163"/>
      <c r="H63" s="164"/>
      <c r="I63" s="164"/>
      <c r="J63" s="164"/>
      <c r="K63" s="164"/>
      <c r="IJ63" s="164"/>
      <c r="IK63" s="164"/>
      <c r="IL63" s="164"/>
      <c r="IM63" s="164"/>
      <c r="IN63" s="164"/>
      <c r="IO63" s="164"/>
      <c r="IP63" s="164"/>
      <c r="IQ63" s="164"/>
      <c r="IR63" s="164"/>
    </row>
    <row r="64" spans="1:252" s="165" customFormat="1" ht="38.25">
      <c r="A64" s="172">
        <v>25010100</v>
      </c>
      <c r="B64" s="211" t="s">
        <v>700</v>
      </c>
      <c r="C64" s="168">
        <f t="shared" si="0"/>
        <v>80936360</v>
      </c>
      <c r="D64" s="185"/>
      <c r="E64" s="185">
        <v>80936360</v>
      </c>
      <c r="F64" s="185"/>
      <c r="G64" s="163"/>
      <c r="H64" s="164"/>
      <c r="I64" s="164"/>
      <c r="J64" s="164"/>
      <c r="K64" s="164"/>
      <c r="IJ64" s="164"/>
      <c r="IK64" s="164"/>
      <c r="IL64" s="164"/>
      <c r="IM64" s="164"/>
      <c r="IN64" s="164"/>
      <c r="IO64" s="164"/>
      <c r="IP64" s="164"/>
      <c r="IQ64" s="164"/>
      <c r="IR64" s="164"/>
    </row>
    <row r="65" spans="1:252" s="165" customFormat="1" ht="25.5">
      <c r="A65" s="172">
        <v>25010200</v>
      </c>
      <c r="B65" s="211" t="s">
        <v>701</v>
      </c>
      <c r="C65" s="168">
        <f t="shared" si="0"/>
        <v>8935260</v>
      </c>
      <c r="D65" s="185"/>
      <c r="E65" s="185">
        <v>8935260</v>
      </c>
      <c r="F65" s="185"/>
      <c r="G65" s="163"/>
      <c r="H65" s="164"/>
      <c r="I65" s="164"/>
      <c r="J65" s="164"/>
      <c r="K65" s="164"/>
      <c r="IJ65" s="164"/>
      <c r="IK65" s="164"/>
      <c r="IL65" s="164"/>
      <c r="IM65" s="164"/>
      <c r="IN65" s="164"/>
      <c r="IO65" s="164"/>
      <c r="IP65" s="164"/>
      <c r="IQ65" s="164"/>
      <c r="IR65" s="164"/>
    </row>
    <row r="66" spans="1:252" s="165" customFormat="1" ht="15">
      <c r="A66" s="172">
        <v>25010300</v>
      </c>
      <c r="B66" s="211" t="s">
        <v>702</v>
      </c>
      <c r="C66" s="168">
        <f t="shared" si="0"/>
        <v>4082963</v>
      </c>
      <c r="D66" s="185"/>
      <c r="E66" s="185">
        <v>4082963</v>
      </c>
      <c r="F66" s="185"/>
      <c r="G66" s="163"/>
      <c r="H66" s="164"/>
      <c r="I66" s="164"/>
      <c r="J66" s="164"/>
      <c r="K66" s="164"/>
      <c r="IJ66" s="164"/>
      <c r="IK66" s="164"/>
      <c r="IL66" s="164"/>
      <c r="IM66" s="164"/>
      <c r="IN66" s="164"/>
      <c r="IO66" s="164"/>
      <c r="IP66" s="164"/>
      <c r="IQ66" s="164"/>
      <c r="IR66" s="164"/>
    </row>
    <row r="67" spans="1:252" s="165" customFormat="1" ht="38.25">
      <c r="A67" s="172">
        <v>25010400</v>
      </c>
      <c r="B67" s="211" t="s">
        <v>703</v>
      </c>
      <c r="C67" s="168">
        <f t="shared" si="0"/>
        <v>20900</v>
      </c>
      <c r="D67" s="185"/>
      <c r="E67" s="185">
        <v>20900</v>
      </c>
      <c r="F67" s="185"/>
      <c r="G67" s="163"/>
      <c r="H67" s="164"/>
      <c r="I67" s="164"/>
      <c r="J67" s="164"/>
      <c r="K67" s="164"/>
      <c r="IJ67" s="164"/>
      <c r="IK67" s="164"/>
      <c r="IL67" s="164"/>
      <c r="IM67" s="164"/>
      <c r="IN67" s="164"/>
      <c r="IO67" s="164"/>
      <c r="IP67" s="164"/>
      <c r="IQ67" s="164"/>
      <c r="IR67" s="164"/>
    </row>
    <row r="68" spans="1:252" s="165" customFormat="1" ht="28.5">
      <c r="A68" s="172">
        <v>25020000</v>
      </c>
      <c r="B68" s="210" t="s">
        <v>704</v>
      </c>
      <c r="C68" s="168">
        <f t="shared" si="0"/>
        <v>16000</v>
      </c>
      <c r="D68" s="185">
        <f>SUM(D69,D70)</f>
        <v>0</v>
      </c>
      <c r="E68" s="185">
        <f>SUM(E69,E70)</f>
        <v>16000</v>
      </c>
      <c r="F68" s="185"/>
      <c r="G68" s="163"/>
      <c r="H68" s="164"/>
      <c r="I68" s="164"/>
      <c r="J68" s="164"/>
      <c r="K68" s="164"/>
      <c r="IJ68" s="164"/>
      <c r="IK68" s="164"/>
      <c r="IL68" s="164"/>
      <c r="IM68" s="164"/>
      <c r="IN68" s="164"/>
      <c r="IO68" s="164"/>
      <c r="IP68" s="164"/>
      <c r="IQ68" s="164"/>
      <c r="IR68" s="164"/>
    </row>
    <row r="69" spans="1:252" s="191" customFormat="1" ht="15">
      <c r="A69" s="172">
        <v>25020100</v>
      </c>
      <c r="B69" s="211" t="s">
        <v>705</v>
      </c>
      <c r="C69" s="168">
        <f t="shared" si="0"/>
        <v>16000</v>
      </c>
      <c r="D69" s="185"/>
      <c r="E69" s="185">
        <v>16000</v>
      </c>
      <c r="F69" s="185"/>
      <c r="G69" s="189"/>
      <c r="H69" s="190"/>
      <c r="I69" s="190"/>
      <c r="J69" s="190"/>
      <c r="K69" s="190"/>
      <c r="IJ69" s="190"/>
      <c r="IK69" s="190"/>
      <c r="IL69" s="190"/>
      <c r="IM69" s="190"/>
      <c r="IN69" s="190"/>
      <c r="IO69" s="190"/>
      <c r="IP69" s="190"/>
      <c r="IQ69" s="190"/>
      <c r="IR69" s="190"/>
    </row>
    <row r="70" spans="1:252" s="165" customFormat="1" ht="89.25" hidden="1">
      <c r="A70" s="172">
        <v>25020200</v>
      </c>
      <c r="B70" s="211" t="s">
        <v>706</v>
      </c>
      <c r="C70" s="168">
        <f t="shared" si="0"/>
        <v>0</v>
      </c>
      <c r="D70" s="185"/>
      <c r="E70" s="185">
        <v>0</v>
      </c>
      <c r="F70" s="185"/>
      <c r="G70" s="163"/>
      <c r="H70" s="164"/>
      <c r="I70" s="164"/>
      <c r="J70" s="164"/>
      <c r="K70" s="164"/>
      <c r="IJ70" s="164"/>
      <c r="IK70" s="164"/>
      <c r="IL70" s="164"/>
      <c r="IM70" s="164"/>
      <c r="IN70" s="164"/>
      <c r="IO70" s="164"/>
      <c r="IP70" s="164"/>
      <c r="IQ70" s="164"/>
      <c r="IR70" s="164"/>
    </row>
    <row r="71" spans="1:252" s="178" customFormat="1" ht="14.25">
      <c r="A71" s="166">
        <v>30000000</v>
      </c>
      <c r="B71" s="167" t="s">
        <v>707</v>
      </c>
      <c r="C71" s="168">
        <f t="shared" si="0"/>
        <v>4414523</v>
      </c>
      <c r="D71" s="184">
        <f>SUM(D72:D78)</f>
        <v>35000</v>
      </c>
      <c r="E71" s="184">
        <f>SUM(E72,E75)</f>
        <v>4379523</v>
      </c>
      <c r="F71" s="184">
        <f>SUM(F72,F75)</f>
        <v>4379523</v>
      </c>
      <c r="G71" s="176"/>
      <c r="H71" s="177"/>
      <c r="I71" s="177"/>
      <c r="J71" s="177"/>
      <c r="K71" s="177"/>
      <c r="IJ71" s="177"/>
      <c r="IK71" s="177"/>
      <c r="IL71" s="177"/>
      <c r="IM71" s="177"/>
      <c r="IN71" s="177"/>
      <c r="IO71" s="177"/>
      <c r="IP71" s="177"/>
      <c r="IQ71" s="177"/>
      <c r="IR71" s="177"/>
    </row>
    <row r="72" spans="1:252" s="165" customFormat="1" ht="30">
      <c r="A72" s="172">
        <v>31000000</v>
      </c>
      <c r="B72" s="212" t="s">
        <v>708</v>
      </c>
      <c r="C72" s="168">
        <f t="shared" si="0"/>
        <v>1198800</v>
      </c>
      <c r="D72" s="194"/>
      <c r="E72" s="194">
        <f>SUM(E74)</f>
        <v>1198800</v>
      </c>
      <c r="F72" s="194">
        <f>SUM(F74)</f>
        <v>1198800</v>
      </c>
      <c r="G72" s="163"/>
      <c r="H72" s="164"/>
      <c r="I72" s="164"/>
      <c r="J72" s="164"/>
      <c r="K72" s="164"/>
      <c r="IJ72" s="164"/>
      <c r="IK72" s="164"/>
      <c r="IL72" s="164"/>
      <c r="IM72" s="164"/>
      <c r="IN72" s="164"/>
      <c r="IO72" s="164"/>
      <c r="IP72" s="164"/>
      <c r="IQ72" s="164"/>
      <c r="IR72" s="164"/>
    </row>
    <row r="73" spans="1:252" s="165" customFormat="1" ht="60">
      <c r="A73" s="181">
        <v>31010200</v>
      </c>
      <c r="B73" s="186" t="s">
        <v>709</v>
      </c>
      <c r="C73" s="168">
        <f>SUM(D73,E73)</f>
        <v>35000</v>
      </c>
      <c r="D73" s="185">
        <v>35000</v>
      </c>
      <c r="E73" s="185"/>
      <c r="F73" s="185"/>
      <c r="G73" s="163"/>
      <c r="H73" s="164"/>
      <c r="I73" s="164"/>
      <c r="J73" s="164"/>
      <c r="K73" s="164"/>
      <c r="IJ73" s="164"/>
      <c r="IK73" s="164"/>
      <c r="IL73" s="164"/>
      <c r="IM73" s="164"/>
      <c r="IN73" s="164"/>
      <c r="IO73" s="164"/>
      <c r="IP73" s="164"/>
      <c r="IQ73" s="164"/>
      <c r="IR73" s="164"/>
    </row>
    <row r="74" spans="1:252" s="165" customFormat="1" ht="36">
      <c r="A74" s="181">
        <v>31030000</v>
      </c>
      <c r="B74" s="213" t="s">
        <v>710</v>
      </c>
      <c r="C74" s="168">
        <f t="shared" si="0"/>
        <v>1198800</v>
      </c>
      <c r="D74" s="183"/>
      <c r="E74" s="183">
        <v>1198800</v>
      </c>
      <c r="F74" s="183">
        <v>1198800</v>
      </c>
      <c r="G74" s="163"/>
      <c r="H74" s="164"/>
      <c r="I74" s="164"/>
      <c r="J74" s="164"/>
      <c r="K74" s="164"/>
      <c r="IJ74" s="164"/>
      <c r="IK74" s="164"/>
      <c r="IL74" s="164"/>
      <c r="IM74" s="164"/>
      <c r="IN74" s="164"/>
      <c r="IO74" s="164"/>
      <c r="IP74" s="164"/>
      <c r="IQ74" s="164"/>
      <c r="IR74" s="164"/>
    </row>
    <row r="75" spans="1:252" s="165" customFormat="1" ht="30">
      <c r="A75" s="172">
        <v>33000000</v>
      </c>
      <c r="B75" s="212" t="s">
        <v>711</v>
      </c>
      <c r="C75" s="168">
        <f t="shared" si="0"/>
        <v>3180723</v>
      </c>
      <c r="D75" s="194"/>
      <c r="E75" s="194">
        <f>SUM(E76)</f>
        <v>3180723</v>
      </c>
      <c r="F75" s="194">
        <f>SUM(F76)</f>
        <v>3180723</v>
      </c>
      <c r="G75" s="163"/>
      <c r="H75" s="164"/>
      <c r="I75" s="164"/>
      <c r="J75" s="164"/>
      <c r="K75" s="164"/>
      <c r="IJ75" s="164"/>
      <c r="IK75" s="164"/>
      <c r="IL75" s="164"/>
      <c r="IM75" s="164"/>
      <c r="IN75" s="164"/>
      <c r="IO75" s="164"/>
      <c r="IP75" s="164"/>
      <c r="IQ75" s="164"/>
      <c r="IR75" s="164"/>
    </row>
    <row r="76" spans="1:252" s="165" customFormat="1" ht="15">
      <c r="A76" s="172">
        <v>33010000</v>
      </c>
      <c r="B76" s="212" t="s">
        <v>712</v>
      </c>
      <c r="C76" s="168">
        <f t="shared" si="0"/>
        <v>3180723</v>
      </c>
      <c r="D76" s="175"/>
      <c r="E76" s="175">
        <f>SUM(E77,E78)</f>
        <v>3180723</v>
      </c>
      <c r="F76" s="175">
        <f>SUM(F77,F78)</f>
        <v>3180723</v>
      </c>
      <c r="G76" s="163"/>
      <c r="H76" s="164"/>
      <c r="I76" s="164"/>
      <c r="J76" s="164"/>
      <c r="K76" s="164"/>
      <c r="IJ76" s="164"/>
      <c r="IK76" s="164"/>
      <c r="IL76" s="164"/>
      <c r="IM76" s="164"/>
      <c r="IN76" s="164"/>
      <c r="IO76" s="164"/>
      <c r="IP76" s="164"/>
      <c r="IQ76" s="164"/>
      <c r="IR76" s="164"/>
    </row>
    <row r="77" spans="1:252" s="165" customFormat="1" ht="48">
      <c r="A77" s="172">
        <v>33010100</v>
      </c>
      <c r="B77" s="213" t="s">
        <v>713</v>
      </c>
      <c r="C77" s="168">
        <f t="shared" si="0"/>
        <v>1530268</v>
      </c>
      <c r="D77" s="175"/>
      <c r="E77" s="175">
        <v>1530268</v>
      </c>
      <c r="F77" s="175">
        <v>1530268</v>
      </c>
      <c r="G77" s="163"/>
      <c r="H77" s="164"/>
      <c r="I77" s="164"/>
      <c r="J77" s="164"/>
      <c r="K77" s="164"/>
      <c r="IJ77" s="164"/>
      <c r="IK77" s="164"/>
      <c r="IL77" s="164"/>
      <c r="IM77" s="164"/>
      <c r="IN77" s="164"/>
      <c r="IO77" s="164"/>
      <c r="IP77" s="164"/>
      <c r="IQ77" s="164"/>
      <c r="IR77" s="164"/>
    </row>
    <row r="78" spans="1:252" s="165" customFormat="1" ht="48">
      <c r="A78" s="172">
        <v>33010200</v>
      </c>
      <c r="B78" s="213" t="s">
        <v>714</v>
      </c>
      <c r="C78" s="168">
        <f t="shared" ref="C78:C101" si="1">SUM(D78,E78)</f>
        <v>1650455</v>
      </c>
      <c r="D78" s="175"/>
      <c r="E78" s="175">
        <v>1650455</v>
      </c>
      <c r="F78" s="175">
        <v>1650455</v>
      </c>
      <c r="G78" s="163"/>
      <c r="H78" s="164"/>
      <c r="I78" s="164"/>
      <c r="J78" s="164"/>
      <c r="K78" s="164"/>
      <c r="IJ78" s="164"/>
      <c r="IK78" s="164"/>
      <c r="IL78" s="164"/>
      <c r="IM78" s="164"/>
      <c r="IN78" s="164"/>
      <c r="IO78" s="164"/>
      <c r="IP78" s="164"/>
      <c r="IQ78" s="164"/>
      <c r="IR78" s="164"/>
    </row>
    <row r="79" spans="1:252" s="165" customFormat="1" ht="53.25" customHeight="1">
      <c r="A79" s="166">
        <v>50110000</v>
      </c>
      <c r="B79" s="214" t="s">
        <v>715</v>
      </c>
      <c r="C79" s="168">
        <v>3358800</v>
      </c>
      <c r="D79" s="175"/>
      <c r="E79" s="168">
        <v>3358800</v>
      </c>
      <c r="F79" s="175"/>
      <c r="G79" s="163"/>
      <c r="H79" s="164"/>
      <c r="I79" s="164"/>
      <c r="J79" s="164"/>
      <c r="K79" s="164"/>
      <c r="IJ79" s="164"/>
      <c r="IK79" s="164"/>
      <c r="IL79" s="164"/>
      <c r="IM79" s="164"/>
      <c r="IN79" s="164"/>
      <c r="IO79" s="164"/>
      <c r="IP79" s="164"/>
      <c r="IQ79" s="164"/>
      <c r="IR79" s="164"/>
    </row>
    <row r="80" spans="1:252" s="171" customFormat="1" ht="18.75">
      <c r="A80" s="166"/>
      <c r="B80" s="215" t="s">
        <v>716</v>
      </c>
      <c r="C80" s="168">
        <f t="shared" si="1"/>
        <v>1394086333</v>
      </c>
      <c r="D80" s="184">
        <f>D10+D45</f>
        <v>1266536527</v>
      </c>
      <c r="E80" s="184">
        <f>E10+E45+E71+E79</f>
        <v>127549806</v>
      </c>
      <c r="F80" s="184">
        <f>F10+F45+F62+F71</f>
        <v>29379523</v>
      </c>
      <c r="G80" s="169"/>
      <c r="H80" s="170"/>
      <c r="I80" s="170"/>
      <c r="J80" s="170"/>
      <c r="K80" s="170"/>
      <c r="IJ80" s="170"/>
      <c r="IK80" s="170"/>
      <c r="IL80" s="170"/>
      <c r="IM80" s="170"/>
      <c r="IN80" s="170"/>
      <c r="IO80" s="170"/>
      <c r="IP80" s="170"/>
      <c r="IQ80" s="170"/>
      <c r="IR80" s="170"/>
    </row>
    <row r="81" spans="1:252" s="171" customFormat="1" ht="15.75">
      <c r="A81" s="166">
        <v>41020000</v>
      </c>
      <c r="B81" s="216" t="s">
        <v>717</v>
      </c>
      <c r="C81" s="168">
        <v>0</v>
      </c>
      <c r="D81" s="184">
        <v>0</v>
      </c>
      <c r="E81" s="184"/>
      <c r="F81" s="184"/>
      <c r="G81" s="169"/>
      <c r="H81" s="170"/>
      <c r="I81" s="170"/>
      <c r="J81" s="170"/>
      <c r="K81" s="170"/>
      <c r="IJ81" s="170"/>
      <c r="IK81" s="170"/>
      <c r="IL81" s="170"/>
      <c r="IM81" s="170"/>
      <c r="IN81" s="170"/>
      <c r="IO81" s="170"/>
      <c r="IP81" s="170"/>
      <c r="IQ81" s="170"/>
      <c r="IR81" s="170"/>
    </row>
    <row r="82" spans="1:252" s="171" customFormat="1" ht="14.25">
      <c r="A82" s="166">
        <v>41030000</v>
      </c>
      <c r="B82" s="192" t="s">
        <v>718</v>
      </c>
      <c r="C82" s="168">
        <f t="shared" si="1"/>
        <v>1278239112.5699999</v>
      </c>
      <c r="D82" s="184">
        <f>SUM(D83,D84,D85,D86,D95)</f>
        <v>1261669112.5699999</v>
      </c>
      <c r="E82" s="184">
        <f>SUM(E83:E95)</f>
        <v>16570000</v>
      </c>
      <c r="F82" s="168">
        <v>16570000</v>
      </c>
      <c r="G82" s="169"/>
      <c r="H82" s="170"/>
      <c r="I82" s="170"/>
      <c r="J82" s="170"/>
      <c r="K82" s="170"/>
      <c r="IJ82" s="170"/>
      <c r="IK82" s="170"/>
      <c r="IL82" s="170"/>
      <c r="IM82" s="170"/>
      <c r="IN82" s="170"/>
      <c r="IO82" s="170"/>
      <c r="IP82" s="170"/>
      <c r="IQ82" s="170"/>
      <c r="IR82" s="170"/>
    </row>
    <row r="83" spans="1:252" s="171" customFormat="1" ht="27">
      <c r="A83" s="172">
        <v>41033900</v>
      </c>
      <c r="B83" s="179" t="s">
        <v>719</v>
      </c>
      <c r="C83" s="168">
        <f t="shared" si="1"/>
        <v>287195800</v>
      </c>
      <c r="D83" s="175">
        <v>287195800</v>
      </c>
      <c r="E83" s="168"/>
      <c r="F83" s="168"/>
      <c r="G83" s="169"/>
      <c r="H83" s="170"/>
      <c r="I83" s="170"/>
      <c r="J83" s="170"/>
      <c r="K83" s="170"/>
      <c r="IJ83" s="170"/>
      <c r="IK83" s="170"/>
      <c r="IL83" s="170"/>
      <c r="IM83" s="170"/>
      <c r="IN83" s="170"/>
      <c r="IO83" s="170"/>
      <c r="IP83" s="170"/>
      <c r="IQ83" s="170"/>
      <c r="IR83" s="170"/>
    </row>
    <row r="84" spans="1:252" s="171" customFormat="1" ht="27">
      <c r="A84" s="172">
        <v>41034200</v>
      </c>
      <c r="B84" s="179" t="s">
        <v>720</v>
      </c>
      <c r="C84" s="168">
        <f t="shared" si="1"/>
        <v>223689200</v>
      </c>
      <c r="D84" s="175">
        <v>223689200</v>
      </c>
      <c r="E84" s="168"/>
      <c r="F84" s="168"/>
      <c r="G84" s="169"/>
      <c r="H84" s="170"/>
      <c r="I84" s="170"/>
      <c r="J84" s="170"/>
      <c r="K84" s="170"/>
      <c r="IJ84" s="170"/>
      <c r="IK84" s="170"/>
      <c r="IL84" s="170"/>
      <c r="IM84" s="170"/>
      <c r="IN84" s="170"/>
      <c r="IO84" s="170"/>
      <c r="IP84" s="170"/>
      <c r="IQ84" s="170"/>
      <c r="IR84" s="170"/>
    </row>
    <row r="85" spans="1:252" s="171" customFormat="1" ht="54">
      <c r="A85" s="172">
        <v>41034500</v>
      </c>
      <c r="B85" s="179" t="s">
        <v>851</v>
      </c>
      <c r="C85" s="168">
        <f t="shared" si="1"/>
        <v>26570000</v>
      </c>
      <c r="D85" s="175">
        <v>10000000</v>
      </c>
      <c r="E85" s="168">
        <v>16570000</v>
      </c>
      <c r="F85" s="168">
        <v>16570000</v>
      </c>
      <c r="G85" s="169"/>
      <c r="H85" s="170"/>
      <c r="I85" s="170"/>
      <c r="J85" s="170"/>
      <c r="K85" s="170"/>
      <c r="IJ85" s="170"/>
      <c r="IK85" s="170"/>
      <c r="IL85" s="170"/>
      <c r="IM85" s="170"/>
      <c r="IN85" s="170"/>
      <c r="IO85" s="170"/>
      <c r="IP85" s="170"/>
      <c r="IQ85" s="170"/>
      <c r="IR85" s="170"/>
    </row>
    <row r="86" spans="1:252" s="171" customFormat="1" ht="40.5">
      <c r="A86" s="172"/>
      <c r="B86" s="179" t="s">
        <v>721</v>
      </c>
      <c r="C86" s="168">
        <f t="shared" si="1"/>
        <v>737163757.56999993</v>
      </c>
      <c r="D86" s="168">
        <f>SUM(D87:D94)</f>
        <v>737163757.56999993</v>
      </c>
      <c r="E86" s="168"/>
      <c r="F86" s="168"/>
      <c r="G86" s="169"/>
      <c r="H86" s="170"/>
      <c r="I86" s="170"/>
      <c r="J86" s="170"/>
      <c r="K86" s="170"/>
      <c r="IJ86" s="170"/>
      <c r="IK86" s="170"/>
      <c r="IL86" s="170"/>
      <c r="IM86" s="170"/>
      <c r="IN86" s="170"/>
      <c r="IO86" s="170"/>
      <c r="IP86" s="170"/>
      <c r="IQ86" s="170"/>
      <c r="IR86" s="170"/>
    </row>
    <row r="87" spans="1:252" s="171" customFormat="1" ht="60">
      <c r="A87" s="166">
        <v>41030600</v>
      </c>
      <c r="B87" s="182" t="s">
        <v>722</v>
      </c>
      <c r="C87" s="168">
        <f t="shared" si="1"/>
        <v>306491500</v>
      </c>
      <c r="D87" s="175">
        <v>306491500</v>
      </c>
      <c r="E87" s="168"/>
      <c r="F87" s="168"/>
      <c r="G87" s="169"/>
      <c r="H87" s="170"/>
      <c r="I87" s="170"/>
      <c r="J87" s="170"/>
      <c r="K87" s="170"/>
      <c r="IJ87" s="170"/>
      <c r="IK87" s="170"/>
      <c r="IL87" s="170"/>
      <c r="IM87" s="170"/>
      <c r="IN87" s="170"/>
      <c r="IO87" s="170"/>
      <c r="IP87" s="170"/>
      <c r="IQ87" s="170"/>
      <c r="IR87" s="170"/>
    </row>
    <row r="88" spans="1:252" s="171" customFormat="1" ht="72">
      <c r="A88" s="166">
        <v>41030800</v>
      </c>
      <c r="B88" s="182" t="s">
        <v>723</v>
      </c>
      <c r="C88" s="168">
        <v>405946266.62</v>
      </c>
      <c r="D88" s="175">
        <v>405946266.62</v>
      </c>
      <c r="E88" s="168"/>
      <c r="F88" s="168"/>
      <c r="G88" s="169"/>
      <c r="H88" s="170"/>
      <c r="I88" s="170"/>
      <c r="J88" s="170"/>
      <c r="K88" s="170"/>
      <c r="IJ88" s="170"/>
      <c r="IK88" s="170"/>
      <c r="IL88" s="170"/>
      <c r="IM88" s="170"/>
      <c r="IN88" s="170"/>
      <c r="IO88" s="170"/>
      <c r="IP88" s="170"/>
      <c r="IQ88" s="170"/>
      <c r="IR88" s="170"/>
    </row>
    <row r="89" spans="1:252" s="171" customFormat="1" ht="36">
      <c r="A89" s="166">
        <v>41031000</v>
      </c>
      <c r="B89" s="182" t="s">
        <v>724</v>
      </c>
      <c r="C89" s="168">
        <f t="shared" si="1"/>
        <v>42284.81</v>
      </c>
      <c r="D89" s="175">
        <v>42284.81</v>
      </c>
      <c r="E89" s="168"/>
      <c r="F89" s="168"/>
      <c r="G89" s="169"/>
      <c r="H89" s="170"/>
      <c r="I89" s="170"/>
      <c r="J89" s="170"/>
      <c r="K89" s="170"/>
      <c r="IJ89" s="170"/>
      <c r="IK89" s="170"/>
      <c r="IL89" s="170"/>
      <c r="IM89" s="170"/>
      <c r="IN89" s="170"/>
      <c r="IO89" s="170"/>
      <c r="IP89" s="170"/>
      <c r="IQ89" s="170"/>
      <c r="IR89" s="170"/>
    </row>
    <row r="90" spans="1:252" s="171" customFormat="1" ht="25.5">
      <c r="A90" s="166">
        <v>41033600</v>
      </c>
      <c r="B90" s="202" t="s">
        <v>831</v>
      </c>
      <c r="C90" s="168">
        <f t="shared" si="1"/>
        <v>4537300</v>
      </c>
      <c r="D90" s="175">
        <v>4537300</v>
      </c>
      <c r="E90" s="168"/>
      <c r="F90" s="168"/>
      <c r="G90" s="169"/>
      <c r="H90" s="170"/>
      <c r="I90" s="170"/>
      <c r="J90" s="170"/>
      <c r="K90" s="170"/>
      <c r="IJ90" s="170"/>
      <c r="IK90" s="170"/>
      <c r="IL90" s="170"/>
      <c r="IM90" s="170"/>
      <c r="IN90" s="170"/>
      <c r="IO90" s="170"/>
      <c r="IP90" s="170"/>
      <c r="IQ90" s="170"/>
      <c r="IR90" s="170"/>
    </row>
    <row r="91" spans="1:252" s="171" customFormat="1" ht="25.5">
      <c r="A91" s="166">
        <v>41035400</v>
      </c>
      <c r="B91" s="202" t="s">
        <v>832</v>
      </c>
      <c r="C91" s="168">
        <f t="shared" si="1"/>
        <v>1243546</v>
      </c>
      <c r="D91" s="175">
        <v>1243546</v>
      </c>
      <c r="E91" s="168"/>
      <c r="F91" s="168"/>
      <c r="G91" s="169"/>
      <c r="H91" s="170"/>
      <c r="I91" s="170"/>
      <c r="J91" s="170"/>
      <c r="K91" s="170"/>
      <c r="IJ91" s="170"/>
      <c r="IK91" s="170"/>
      <c r="IL91" s="170"/>
      <c r="IM91" s="170"/>
      <c r="IN91" s="170"/>
      <c r="IO91" s="170"/>
      <c r="IP91" s="170"/>
      <c r="IQ91" s="170"/>
      <c r="IR91" s="170"/>
    </row>
    <row r="92" spans="1:252" s="171" customFormat="1" ht="178.5">
      <c r="A92" s="166">
        <v>41036100</v>
      </c>
      <c r="B92" s="202" t="s">
        <v>833</v>
      </c>
      <c r="C92" s="168">
        <f t="shared" si="1"/>
        <v>2711687.14</v>
      </c>
      <c r="D92" s="175">
        <v>2711687.14</v>
      </c>
      <c r="E92" s="168"/>
      <c r="F92" s="168"/>
      <c r="G92" s="169"/>
      <c r="H92" s="170"/>
      <c r="I92" s="170"/>
      <c r="J92" s="170"/>
      <c r="K92" s="170"/>
      <c r="IJ92" s="170"/>
      <c r="IK92" s="170"/>
      <c r="IL92" s="170"/>
      <c r="IM92" s="170"/>
      <c r="IN92" s="170"/>
      <c r="IO92" s="170"/>
      <c r="IP92" s="170"/>
      <c r="IQ92" s="170"/>
      <c r="IR92" s="170"/>
    </row>
    <row r="93" spans="1:252" s="171" customFormat="1" ht="107.25" customHeight="1">
      <c r="A93" s="166">
        <v>41035800</v>
      </c>
      <c r="B93" s="217" t="s">
        <v>725</v>
      </c>
      <c r="C93" s="168">
        <f t="shared" si="1"/>
        <v>873280</v>
      </c>
      <c r="D93" s="175">
        <v>873280</v>
      </c>
      <c r="E93" s="168"/>
      <c r="F93" s="168"/>
      <c r="G93" s="169"/>
      <c r="H93" s="170"/>
      <c r="I93" s="170"/>
      <c r="J93" s="170"/>
      <c r="K93" s="170"/>
      <c r="IJ93" s="170"/>
      <c r="IK93" s="170"/>
      <c r="IL93" s="170"/>
      <c r="IM93" s="170"/>
      <c r="IN93" s="170"/>
      <c r="IO93" s="170"/>
      <c r="IP93" s="170"/>
      <c r="IQ93" s="170"/>
      <c r="IR93" s="170"/>
    </row>
    <row r="94" spans="1:252" s="171" customFormat="1" ht="153.75" customHeight="1">
      <c r="A94" s="166">
        <v>41036600</v>
      </c>
      <c r="B94" s="217" t="s">
        <v>889</v>
      </c>
      <c r="C94" s="168">
        <f t="shared" si="1"/>
        <v>15317893</v>
      </c>
      <c r="D94" s="175">
        <v>15317893</v>
      </c>
      <c r="E94" s="168"/>
      <c r="F94" s="168"/>
      <c r="G94" s="169"/>
      <c r="H94" s="170"/>
      <c r="I94" s="170"/>
      <c r="J94" s="170"/>
      <c r="K94" s="170"/>
      <c r="IJ94" s="170"/>
      <c r="IK94" s="170"/>
      <c r="IL94" s="170"/>
      <c r="IM94" s="170"/>
      <c r="IN94" s="170"/>
      <c r="IO94" s="170"/>
      <c r="IP94" s="170"/>
      <c r="IQ94" s="170"/>
      <c r="IR94" s="170"/>
    </row>
    <row r="95" spans="1:252" s="171" customFormat="1" ht="17.25" customHeight="1">
      <c r="A95" s="166">
        <v>41035000</v>
      </c>
      <c r="B95" s="218" t="s">
        <v>726</v>
      </c>
      <c r="C95" s="168">
        <f t="shared" si="1"/>
        <v>3620355</v>
      </c>
      <c r="D95" s="184">
        <f>SUM(D96:D100)</f>
        <v>3620355</v>
      </c>
      <c r="E95" s="168"/>
      <c r="F95" s="168"/>
      <c r="G95" s="169"/>
      <c r="H95" s="170"/>
      <c r="I95" s="170"/>
      <c r="J95" s="170"/>
      <c r="K95" s="170"/>
      <c r="IJ95" s="170"/>
      <c r="IK95" s="170"/>
      <c r="IL95" s="170"/>
      <c r="IM95" s="170"/>
      <c r="IN95" s="170"/>
      <c r="IO95" s="170"/>
      <c r="IP95" s="170"/>
      <c r="IQ95" s="170"/>
      <c r="IR95" s="170"/>
    </row>
    <row r="96" spans="1:252" s="171" customFormat="1" ht="36">
      <c r="A96" s="166"/>
      <c r="B96" s="219" t="s">
        <v>727</v>
      </c>
      <c r="C96" s="168">
        <f t="shared" si="1"/>
        <v>162155</v>
      </c>
      <c r="D96" s="175">
        <v>162155</v>
      </c>
      <c r="E96" s="168"/>
      <c r="F96" s="168"/>
      <c r="G96" s="169"/>
      <c r="H96" s="170"/>
      <c r="I96" s="170"/>
      <c r="J96" s="170"/>
      <c r="K96" s="170"/>
      <c r="IJ96" s="170"/>
      <c r="IK96" s="170"/>
      <c r="IL96" s="170"/>
      <c r="IM96" s="170"/>
      <c r="IN96" s="170"/>
      <c r="IO96" s="170"/>
      <c r="IP96" s="170"/>
      <c r="IQ96" s="170"/>
      <c r="IR96" s="170"/>
    </row>
    <row r="97" spans="1:252" s="171" customFormat="1" ht="36">
      <c r="A97" s="166"/>
      <c r="B97" s="219" t="s">
        <v>728</v>
      </c>
      <c r="C97" s="168">
        <f t="shared" si="1"/>
        <v>216502</v>
      </c>
      <c r="D97" s="175">
        <v>216502</v>
      </c>
      <c r="E97" s="168"/>
      <c r="F97" s="168"/>
      <c r="G97" s="169"/>
      <c r="H97" s="170"/>
      <c r="I97" s="170"/>
      <c r="J97" s="170"/>
      <c r="K97" s="170"/>
      <c r="IJ97" s="170"/>
      <c r="IK97" s="170"/>
      <c r="IL97" s="170"/>
      <c r="IM97" s="170"/>
      <c r="IN97" s="170"/>
      <c r="IO97" s="170"/>
      <c r="IP97" s="170"/>
      <c r="IQ97" s="170"/>
      <c r="IR97" s="170"/>
    </row>
    <row r="98" spans="1:252" s="191" customFormat="1" ht="24">
      <c r="A98" s="166"/>
      <c r="B98" s="219" t="s">
        <v>729</v>
      </c>
      <c r="C98" s="168">
        <f t="shared" si="1"/>
        <v>588</v>
      </c>
      <c r="D98" s="175">
        <v>588</v>
      </c>
      <c r="E98" s="168"/>
      <c r="F98" s="168"/>
      <c r="G98" s="189"/>
      <c r="H98" s="190"/>
      <c r="I98" s="190"/>
      <c r="J98" s="190"/>
      <c r="K98" s="190"/>
      <c r="IJ98" s="190"/>
      <c r="IK98" s="190"/>
      <c r="IL98" s="190"/>
      <c r="IM98" s="190"/>
      <c r="IN98" s="190"/>
      <c r="IO98" s="190"/>
      <c r="IP98" s="190"/>
      <c r="IQ98" s="190"/>
      <c r="IR98" s="190"/>
    </row>
    <row r="99" spans="1:252" ht="24">
      <c r="A99" s="166"/>
      <c r="B99" s="219" t="s">
        <v>730</v>
      </c>
      <c r="C99" s="168">
        <f t="shared" si="1"/>
        <v>241110</v>
      </c>
      <c r="D99" s="175">
        <v>241110</v>
      </c>
      <c r="E99" s="168"/>
      <c r="F99" s="168"/>
      <c r="G99" s="156"/>
    </row>
    <row r="100" spans="1:252" ht="24">
      <c r="A100" s="166"/>
      <c r="B100" s="219" t="s">
        <v>830</v>
      </c>
      <c r="C100" s="168">
        <f t="shared" si="1"/>
        <v>3000000</v>
      </c>
      <c r="D100" s="175">
        <v>3000000</v>
      </c>
      <c r="E100" s="168"/>
      <c r="F100" s="168"/>
      <c r="G100" s="156"/>
    </row>
    <row r="101" spans="1:252" s="224" customFormat="1" ht="20.25">
      <c r="A101" s="220"/>
      <c r="B101" s="221" t="s">
        <v>731</v>
      </c>
      <c r="C101" s="168">
        <f t="shared" si="1"/>
        <v>2672325445.5699997</v>
      </c>
      <c r="D101" s="184">
        <f>SUM(D80:D82)</f>
        <v>2528205639.5699997</v>
      </c>
      <c r="E101" s="184">
        <f>SUM(E80,E82)</f>
        <v>144119806</v>
      </c>
      <c r="F101" s="184">
        <f>SUM(F80:F82)</f>
        <v>45949523</v>
      </c>
      <c r="G101" s="222"/>
      <c r="H101" s="223"/>
      <c r="I101" s="223"/>
      <c r="J101" s="223"/>
      <c r="K101" s="223"/>
      <c r="IJ101" s="223"/>
      <c r="IK101" s="223"/>
      <c r="IL101" s="223"/>
      <c r="IM101" s="223"/>
      <c r="IN101" s="223"/>
      <c r="IO101" s="223"/>
      <c r="IP101" s="223"/>
      <c r="IQ101" s="223"/>
      <c r="IR101" s="223"/>
    </row>
    <row r="102" spans="1:252">
      <c r="G102" s="156"/>
    </row>
    <row r="103" spans="1:252" ht="15.75">
      <c r="A103" s="223"/>
      <c r="B103" s="223" t="s">
        <v>732</v>
      </c>
      <c r="C103" s="223"/>
      <c r="D103" s="223"/>
      <c r="E103" s="223" t="s">
        <v>733</v>
      </c>
      <c r="F103" s="223"/>
      <c r="G103" s="156"/>
    </row>
    <row r="104" spans="1:252">
      <c r="A104" s="156"/>
      <c r="B104" s="156"/>
      <c r="C104" s="156"/>
      <c r="D104" s="156"/>
      <c r="E104" s="156"/>
      <c r="F104" s="156"/>
      <c r="G104" s="156"/>
    </row>
    <row r="105" spans="1:252">
      <c r="A105" s="156"/>
      <c r="B105" s="156"/>
      <c r="C105" s="156"/>
      <c r="D105" s="225"/>
      <c r="E105" s="156"/>
      <c r="F105" s="156"/>
      <c r="G105" s="156"/>
    </row>
    <row r="106" spans="1:252">
      <c r="A106" s="156"/>
      <c r="B106" s="156"/>
      <c r="C106" s="156"/>
      <c r="D106" s="226"/>
      <c r="E106" s="156"/>
      <c r="F106" s="156"/>
      <c r="G106" s="156"/>
    </row>
    <row r="107" spans="1:252">
      <c r="A107" s="156"/>
      <c r="B107" s="156"/>
      <c r="C107" s="156"/>
      <c r="D107" s="156"/>
      <c r="E107" s="156"/>
      <c r="F107" s="156"/>
      <c r="G107" s="156"/>
    </row>
    <row r="149" spans="5:5" ht="18.75">
      <c r="E149" s="358"/>
    </row>
  </sheetData>
  <mergeCells count="10">
    <mergeCell ref="A7:A8"/>
    <mergeCell ref="B7:B8"/>
    <mergeCell ref="C7:C8"/>
    <mergeCell ref="D7:D8"/>
    <mergeCell ref="E7:F7"/>
    <mergeCell ref="D1:G1"/>
    <mergeCell ref="D2:G2"/>
    <mergeCell ref="D3:G3"/>
    <mergeCell ref="A4:E4"/>
    <mergeCell ref="A5:E5"/>
  </mergeCells>
  <hyperlinks>
    <hyperlink ref="B72" location="_ftn1" display="_ftn1"/>
    <hyperlink ref="B71" location="_ftn1" display="_ftn1"/>
    <hyperlink ref="B58" location="_ftn1" display="_ftn1"/>
    <hyperlink ref="B15" location="_ftn1" display="_ftn1"/>
    <hyperlink ref="B14" location="_ftn1" display="_ftn1"/>
    <hyperlink ref="B43" location="_ftn1" display="_ftn1"/>
    <hyperlink ref="B75" location="_ftn1" display="_ftn1"/>
    <hyperlink ref="B76" location="_ftn1" display="_ftn1"/>
    <hyperlink ref="B48" location="_ftn1" display="_ftn1"/>
    <hyperlink ref="B49" location="_ftn1" display="_ftn1"/>
    <hyperlink ref="B89" location="_ftn1" display="_ftn1"/>
  </hyperlinks>
  <printOptions horizontalCentered="1"/>
  <pageMargins left="0.35433070866141736" right="0.15748031496062992" top="0.59055118110236227" bottom="0.51181102362204722" header="0.51181102362204722" footer="0.51181102362204722"/>
  <pageSetup paperSize="9" scale="85"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Q27"/>
  <sheetViews>
    <sheetView view="pageBreakPreview" zoomScaleSheetLayoutView="100" workbookViewId="0">
      <selection activeCell="C19" sqref="C19"/>
    </sheetView>
  </sheetViews>
  <sheetFormatPr defaultColWidth="9.140625" defaultRowHeight="12.75"/>
  <cols>
    <col min="1" max="1" width="9.7109375" style="227" customWidth="1"/>
    <col min="2" max="2" width="20.140625" style="227" customWidth="1"/>
    <col min="3" max="3" width="15.140625" style="227" customWidth="1"/>
    <col min="4" max="4" width="14.5703125" style="227" customWidth="1"/>
    <col min="5" max="5" width="13.140625" style="227" customWidth="1"/>
    <col min="6" max="6" width="13.85546875" style="227" customWidth="1"/>
    <col min="7" max="7" width="15.140625" style="227" customWidth="1"/>
    <col min="8" max="8" width="16.42578125" style="227" customWidth="1"/>
    <col min="9" max="9" width="8.28515625" style="227" customWidth="1"/>
    <col min="10" max="10" width="9.140625" style="227"/>
    <col min="11" max="11" width="9.7109375" style="227" customWidth="1"/>
    <col min="12" max="12" width="9.140625" style="227"/>
    <col min="13" max="13" width="8.140625" style="227" customWidth="1"/>
    <col min="14" max="16384" width="9.140625" style="227"/>
  </cols>
  <sheetData>
    <row r="1" spans="1:17">
      <c r="E1" s="228" t="s">
        <v>734</v>
      </c>
      <c r="F1" s="228"/>
    </row>
    <row r="2" spans="1:17">
      <c r="E2" s="228" t="s">
        <v>735</v>
      </c>
      <c r="F2" s="228"/>
    </row>
    <row r="3" spans="1:17">
      <c r="E3" s="228" t="s">
        <v>955</v>
      </c>
      <c r="F3" s="228"/>
    </row>
    <row r="5" spans="1:17" ht="18.75">
      <c r="A5" s="479" t="s">
        <v>736</v>
      </c>
      <c r="B5" s="479"/>
      <c r="C5" s="479"/>
      <c r="D5" s="479"/>
      <c r="E5" s="479"/>
      <c r="F5" s="479"/>
    </row>
    <row r="7" spans="1:17">
      <c r="A7" s="480" t="s">
        <v>645</v>
      </c>
      <c r="B7" s="480" t="s">
        <v>737</v>
      </c>
      <c r="C7" s="367"/>
      <c r="D7" s="480" t="s">
        <v>559</v>
      </c>
      <c r="E7" s="480"/>
      <c r="F7" s="480" t="s">
        <v>211</v>
      </c>
    </row>
    <row r="8" spans="1:17" ht="24.75" customHeight="1">
      <c r="A8" s="480"/>
      <c r="B8" s="480"/>
      <c r="C8" s="367" t="s">
        <v>212</v>
      </c>
      <c r="D8" s="367" t="s">
        <v>211</v>
      </c>
      <c r="E8" s="367" t="s">
        <v>738</v>
      </c>
      <c r="F8" s="480"/>
    </row>
    <row r="9" spans="1:17">
      <c r="A9" s="229">
        <v>1</v>
      </c>
      <c r="B9" s="229">
        <v>2</v>
      </c>
      <c r="C9" s="229">
        <v>3</v>
      </c>
      <c r="D9" s="230">
        <v>4</v>
      </c>
      <c r="E9" s="230">
        <v>5</v>
      </c>
      <c r="F9" s="229">
        <v>6</v>
      </c>
    </row>
    <row r="10" spans="1:17" ht="25.5">
      <c r="A10" s="231" t="s">
        <v>739</v>
      </c>
      <c r="B10" s="231" t="s">
        <v>740</v>
      </c>
      <c r="C10" s="231">
        <f>C11+C13</f>
        <v>-302334235.09000003</v>
      </c>
      <c r="D10" s="231">
        <f>D11+D13</f>
        <v>448406964.73000002</v>
      </c>
      <c r="E10" s="231">
        <f>E11+E13</f>
        <v>446136789.93000001</v>
      </c>
      <c r="F10" s="231">
        <f>C10+D10</f>
        <v>146072729.63999999</v>
      </c>
      <c r="G10" s="364"/>
      <c r="H10" s="364"/>
      <c r="I10" s="364"/>
      <c r="J10" s="364"/>
      <c r="K10" s="364"/>
      <c r="L10" s="364"/>
      <c r="M10" s="364"/>
      <c r="N10" s="364"/>
      <c r="O10" s="364"/>
      <c r="P10" s="364"/>
      <c r="Q10" s="364"/>
    </row>
    <row r="11" spans="1:17" ht="16.5" customHeight="1">
      <c r="A11" s="232" t="s">
        <v>741</v>
      </c>
      <c r="B11" s="232" t="s">
        <v>742</v>
      </c>
      <c r="C11" s="233">
        <f>128271711.51-400000</f>
        <v>127871711.51000001</v>
      </c>
      <c r="D11" s="233">
        <f>18449142.88-125223.83-122900.92</f>
        <v>18201018.129999999</v>
      </c>
      <c r="E11" s="233">
        <f>18449142.88-122900.92-742165.89-125223.83-443036.32-1084972.59</f>
        <v>15930843.329999998</v>
      </c>
      <c r="F11" s="233">
        <f t="shared" ref="F11:F19" si="0">C11+D11</f>
        <v>146072729.64000002</v>
      </c>
      <c r="G11" s="364"/>
      <c r="H11" s="364"/>
      <c r="I11" s="364"/>
      <c r="J11" s="364"/>
      <c r="K11" s="364"/>
      <c r="L11" s="364"/>
      <c r="M11" s="364"/>
      <c r="N11" s="364"/>
      <c r="O11" s="364"/>
      <c r="P11" s="364"/>
      <c r="Q11" s="364"/>
    </row>
    <row r="12" spans="1:17" ht="18.75" hidden="1" customHeight="1">
      <c r="A12" s="232">
        <v>208200</v>
      </c>
      <c r="B12" s="232" t="s">
        <v>743</v>
      </c>
      <c r="C12" s="233"/>
      <c r="D12" s="233"/>
      <c r="E12" s="231"/>
      <c r="F12" s="233">
        <f t="shared" si="0"/>
        <v>0</v>
      </c>
      <c r="G12" s="364"/>
      <c r="H12" s="364"/>
      <c r="I12" s="364"/>
      <c r="J12" s="364"/>
      <c r="K12" s="364"/>
      <c r="L12" s="364"/>
      <c r="M12" s="364"/>
      <c r="N12" s="364"/>
      <c r="O12" s="364"/>
      <c r="P12" s="364"/>
      <c r="Q12" s="364"/>
    </row>
    <row r="13" spans="1:17" ht="51">
      <c r="A13" s="232">
        <v>208400</v>
      </c>
      <c r="B13" s="234" t="s">
        <v>744</v>
      </c>
      <c r="C13" s="231">
        <v>-430205946.60000002</v>
      </c>
      <c r="D13" s="231">
        <f>-C13</f>
        <v>430205946.60000002</v>
      </c>
      <c r="E13" s="231">
        <v>430205946.60000002</v>
      </c>
      <c r="F13" s="231">
        <f t="shared" si="0"/>
        <v>0</v>
      </c>
      <c r="G13" s="364"/>
      <c r="H13" s="364"/>
      <c r="I13" s="364"/>
      <c r="J13" s="364"/>
      <c r="K13" s="364"/>
      <c r="L13" s="364"/>
      <c r="M13" s="364"/>
      <c r="N13" s="364"/>
      <c r="O13" s="364"/>
      <c r="P13" s="364"/>
      <c r="Q13" s="364"/>
    </row>
    <row r="14" spans="1:17" ht="25.5">
      <c r="A14" s="232">
        <v>400000</v>
      </c>
      <c r="B14" s="365" t="s">
        <v>745</v>
      </c>
      <c r="C14" s="231"/>
      <c r="D14" s="231">
        <v>11839748</v>
      </c>
      <c r="E14" s="231">
        <v>11839748</v>
      </c>
      <c r="F14" s="231">
        <v>11839748</v>
      </c>
      <c r="G14" s="364"/>
      <c r="H14" s="364"/>
      <c r="I14" s="364"/>
      <c r="J14" s="364"/>
      <c r="K14" s="364"/>
      <c r="L14" s="364"/>
      <c r="M14" s="364"/>
      <c r="N14" s="364"/>
      <c r="O14" s="364"/>
      <c r="P14" s="364"/>
      <c r="Q14" s="364"/>
    </row>
    <row r="15" spans="1:17">
      <c r="A15" s="232">
        <v>401000</v>
      </c>
      <c r="B15" s="234" t="s">
        <v>746</v>
      </c>
      <c r="C15" s="231"/>
      <c r="D15" s="233">
        <v>11839748</v>
      </c>
      <c r="E15" s="233">
        <v>11839748</v>
      </c>
      <c r="F15" s="233">
        <v>11839748</v>
      </c>
      <c r="G15" s="364"/>
      <c r="H15" s="364"/>
      <c r="I15" s="364"/>
      <c r="J15" s="364"/>
      <c r="K15" s="364"/>
      <c r="L15" s="364"/>
      <c r="M15" s="364"/>
      <c r="N15" s="364"/>
      <c r="O15" s="364"/>
      <c r="P15" s="364"/>
      <c r="Q15" s="364"/>
    </row>
    <row r="16" spans="1:17" ht="51">
      <c r="A16" s="232">
        <v>401200</v>
      </c>
      <c r="B16" s="234" t="s">
        <v>747</v>
      </c>
      <c r="C16" s="231"/>
      <c r="D16" s="233">
        <v>11839748</v>
      </c>
      <c r="E16" s="233">
        <v>11839748</v>
      </c>
      <c r="F16" s="233">
        <v>11839748</v>
      </c>
      <c r="G16" s="364"/>
      <c r="H16" s="364"/>
      <c r="I16" s="364"/>
      <c r="J16" s="364"/>
      <c r="K16" s="364"/>
      <c r="L16" s="364"/>
      <c r="M16" s="364"/>
      <c r="N16" s="364"/>
      <c r="O16" s="364"/>
      <c r="P16" s="364"/>
      <c r="Q16" s="364"/>
    </row>
    <row r="17" spans="1:17">
      <c r="A17" s="477" t="s">
        <v>748</v>
      </c>
      <c r="B17" s="478"/>
      <c r="C17" s="231"/>
      <c r="D17" s="231">
        <v>11839748</v>
      </c>
      <c r="E17" s="231">
        <v>11839748</v>
      </c>
      <c r="F17" s="231">
        <f t="shared" si="0"/>
        <v>11839748</v>
      </c>
      <c r="G17" s="364"/>
      <c r="H17" s="364"/>
      <c r="I17" s="364"/>
      <c r="J17" s="364"/>
      <c r="K17" s="364"/>
      <c r="L17" s="364"/>
      <c r="M17" s="364"/>
      <c r="N17" s="364"/>
      <c r="O17" s="364"/>
      <c r="P17" s="364"/>
      <c r="Q17" s="364"/>
    </row>
    <row r="18" spans="1:17" ht="25.5">
      <c r="A18" s="366" t="s">
        <v>749</v>
      </c>
      <c r="B18" s="366" t="s">
        <v>750</v>
      </c>
      <c r="C18" s="231">
        <f>C19+C21</f>
        <v>-302334235.09000003</v>
      </c>
      <c r="D18" s="231">
        <f>D19+D21</f>
        <v>448406964.73000002</v>
      </c>
      <c r="E18" s="231">
        <f>E19+E21</f>
        <v>446136789.93000001</v>
      </c>
      <c r="F18" s="231">
        <f t="shared" si="0"/>
        <v>146072729.63999999</v>
      </c>
      <c r="G18" s="364"/>
      <c r="H18" s="364"/>
      <c r="I18" s="364"/>
      <c r="J18" s="364"/>
      <c r="K18" s="364"/>
      <c r="L18" s="364"/>
      <c r="M18" s="364"/>
      <c r="N18" s="364"/>
      <c r="O18" s="364"/>
      <c r="P18" s="364"/>
      <c r="Q18" s="364"/>
    </row>
    <row r="19" spans="1:17" ht="43.5" customHeight="1">
      <c r="A19" s="232">
        <v>602100</v>
      </c>
      <c r="B19" s="234" t="s">
        <v>751</v>
      </c>
      <c r="C19" s="233">
        <f>C11</f>
        <v>127871711.51000001</v>
      </c>
      <c r="D19" s="233">
        <f t="shared" ref="D19:E19" si="1">D11</f>
        <v>18201018.129999999</v>
      </c>
      <c r="E19" s="233">
        <f t="shared" si="1"/>
        <v>15930843.329999998</v>
      </c>
      <c r="F19" s="233">
        <f t="shared" si="0"/>
        <v>146072729.64000002</v>
      </c>
      <c r="G19" s="364"/>
      <c r="H19" s="364"/>
      <c r="I19" s="364"/>
      <c r="J19" s="364"/>
      <c r="K19" s="364"/>
      <c r="L19" s="364"/>
      <c r="M19" s="364"/>
      <c r="N19" s="364"/>
      <c r="O19" s="364"/>
      <c r="P19" s="364"/>
      <c r="Q19" s="364"/>
    </row>
    <row r="20" spans="1:17" ht="39.75" hidden="1" customHeight="1">
      <c r="A20" s="232">
        <v>602200</v>
      </c>
      <c r="B20" s="234" t="s">
        <v>752</v>
      </c>
      <c r="C20" s="233"/>
      <c r="D20" s="233"/>
      <c r="E20" s="231"/>
      <c r="F20" s="233">
        <f>SUM(C20:D20)</f>
        <v>0</v>
      </c>
      <c r="G20" s="364"/>
      <c r="H20" s="364"/>
      <c r="I20" s="364"/>
      <c r="J20" s="364"/>
      <c r="K20" s="364"/>
      <c r="L20" s="364"/>
      <c r="M20" s="364"/>
      <c r="N20" s="364"/>
      <c r="O20" s="364"/>
      <c r="P20" s="364"/>
      <c r="Q20" s="364"/>
    </row>
    <row r="21" spans="1:17" ht="54.75" customHeight="1">
      <c r="A21" s="232">
        <v>602400</v>
      </c>
      <c r="B21" s="234" t="s">
        <v>744</v>
      </c>
      <c r="C21" s="231">
        <v>-430205946.60000002</v>
      </c>
      <c r="D21" s="231">
        <v>430205946.60000002</v>
      </c>
      <c r="E21" s="231">
        <v>430205946.60000002</v>
      </c>
      <c r="F21" s="231">
        <f>C21+D21</f>
        <v>0</v>
      </c>
      <c r="G21" s="364"/>
      <c r="H21" s="364"/>
      <c r="I21" s="364"/>
      <c r="J21" s="364"/>
      <c r="K21" s="364"/>
      <c r="L21" s="364"/>
      <c r="M21" s="364"/>
      <c r="N21" s="364"/>
      <c r="O21" s="364"/>
      <c r="P21" s="364"/>
      <c r="Q21" s="364"/>
    </row>
    <row r="22" spans="1:17" ht="54.75" customHeight="1">
      <c r="A22" s="477" t="s">
        <v>753</v>
      </c>
      <c r="B22" s="478"/>
      <c r="C22" s="231">
        <v>-302334235.08999997</v>
      </c>
      <c r="D22" s="231">
        <v>460246712.73000002</v>
      </c>
      <c r="E22" s="231">
        <v>457976537.93000001</v>
      </c>
      <c r="F22" s="231">
        <f>C22+D22</f>
        <v>157912477.64000005</v>
      </c>
      <c r="G22" s="364"/>
      <c r="H22" s="364"/>
      <c r="I22" s="364"/>
      <c r="J22" s="364"/>
      <c r="K22" s="364"/>
      <c r="L22" s="364"/>
      <c r="M22" s="364"/>
      <c r="N22" s="364"/>
      <c r="O22" s="364"/>
      <c r="P22" s="364"/>
      <c r="Q22" s="364"/>
    </row>
    <row r="23" spans="1:17" ht="54.75" customHeight="1">
      <c r="A23" s="232">
        <v>30000</v>
      </c>
      <c r="B23" s="234" t="s">
        <v>754</v>
      </c>
      <c r="C23" s="231"/>
      <c r="D23" s="231">
        <v>11839748</v>
      </c>
      <c r="E23" s="231">
        <v>11839748</v>
      </c>
      <c r="F23" s="233">
        <v>11839748</v>
      </c>
      <c r="G23" s="364"/>
      <c r="H23" s="364"/>
      <c r="I23" s="364"/>
      <c r="J23" s="364"/>
      <c r="K23" s="364"/>
      <c r="L23" s="364"/>
      <c r="M23" s="364"/>
      <c r="N23" s="364"/>
      <c r="O23" s="364"/>
      <c r="P23" s="364"/>
      <c r="Q23" s="364"/>
    </row>
    <row r="24" spans="1:17" ht="52.5" customHeight="1">
      <c r="A24" s="477" t="s">
        <v>755</v>
      </c>
      <c r="B24" s="478"/>
      <c r="C24" s="231"/>
      <c r="D24" s="231">
        <v>11839748</v>
      </c>
      <c r="E24" s="231">
        <v>11839748</v>
      </c>
      <c r="F24" s="231">
        <f>C24+D24</f>
        <v>11839748</v>
      </c>
      <c r="G24" s="364"/>
      <c r="H24" s="364"/>
      <c r="I24" s="364"/>
      <c r="J24" s="364"/>
      <c r="K24" s="364"/>
      <c r="L24" s="364"/>
      <c r="M24" s="364"/>
      <c r="N24" s="364"/>
      <c r="O24" s="364"/>
      <c r="P24" s="364"/>
      <c r="Q24" s="364"/>
    </row>
    <row r="27" spans="1:17">
      <c r="A27" s="470" t="s">
        <v>756</v>
      </c>
      <c r="B27" s="470"/>
      <c r="C27" s="470"/>
      <c r="D27" s="470"/>
      <c r="E27" s="470"/>
      <c r="F27" s="470"/>
      <c r="G27" s="470"/>
      <c r="H27" s="470"/>
      <c r="I27" s="470"/>
    </row>
  </sheetData>
  <mergeCells count="9">
    <mergeCell ref="A22:B22"/>
    <mergeCell ref="A24:B24"/>
    <mergeCell ref="A27:I27"/>
    <mergeCell ref="A5:F5"/>
    <mergeCell ref="A7:A8"/>
    <mergeCell ref="B7:B8"/>
    <mergeCell ref="D7:E7"/>
    <mergeCell ref="F7:F8"/>
    <mergeCell ref="A17:B17"/>
  </mergeCells>
  <pageMargins left="1.1811023622047245" right="0.44" top="0.39370078740157483" bottom="0.19685039370078741" header="0.39370078740157483" footer="0.1574803149606299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dimension ref="A1:T219"/>
  <sheetViews>
    <sheetView view="pageBreakPreview" topLeftCell="D1" zoomScale="25" zoomScaleNormal="25" zoomScaleSheetLayoutView="25" zoomScalePageLayoutView="10" workbookViewId="0">
      <pane ySplit="11" topLeftCell="A12" activePane="bottomLeft" state="frozen"/>
      <selection pane="bottomLeft" activeCell="L190" sqref="L190:L192"/>
    </sheetView>
  </sheetViews>
  <sheetFormatPr defaultRowHeight="12.75"/>
  <cols>
    <col min="1" max="3" width="43.42578125" style="2" customWidth="1"/>
    <col min="4" max="4" width="106.28515625" style="2" customWidth="1"/>
    <col min="5" max="5" width="50.7109375" style="11" customWidth="1"/>
    <col min="6" max="6" width="51.85546875" style="15" customWidth="1"/>
    <col min="7" max="7" width="48.7109375" style="2" customWidth="1"/>
    <col min="8" max="8" width="48.140625" style="2" customWidth="1"/>
    <col min="9" max="9" width="32.7109375" style="2" customWidth="1"/>
    <col min="10" max="10" width="50.5703125" style="11" customWidth="1"/>
    <col min="11" max="11" width="48.5703125" style="2" customWidth="1"/>
    <col min="12" max="12" width="45.28515625" style="2" customWidth="1"/>
    <col min="13" max="13" width="44.28515625" style="2" customWidth="1"/>
    <col min="14" max="14" width="54.7109375" style="2" customWidth="1"/>
    <col min="15" max="15" width="55.5703125" style="2" customWidth="1"/>
    <col min="16" max="16" width="54.28515625" style="11" customWidth="1"/>
    <col min="17" max="17" width="63" customWidth="1"/>
    <col min="18" max="18" width="40.140625" bestFit="1" customWidth="1"/>
    <col min="20" max="20" width="24.7109375" bestFit="1" customWidth="1"/>
  </cols>
  <sheetData>
    <row r="1" spans="1:17" ht="45.75">
      <c r="D1" s="19"/>
      <c r="E1" s="20"/>
      <c r="F1" s="21"/>
      <c r="G1" s="22"/>
      <c r="H1" s="22"/>
      <c r="I1" s="22"/>
      <c r="J1" s="20"/>
      <c r="K1" s="22"/>
      <c r="L1" s="22"/>
      <c r="M1" s="22"/>
      <c r="N1" s="507" t="s">
        <v>565</v>
      </c>
      <c r="O1" s="507"/>
      <c r="P1" s="507"/>
    </row>
    <row r="2" spans="1:17" ht="45.75">
      <c r="A2" s="19"/>
      <c r="B2" s="19"/>
      <c r="C2" s="19"/>
      <c r="D2" s="19"/>
      <c r="E2" s="20"/>
      <c r="F2" s="21"/>
      <c r="G2" s="22"/>
      <c r="H2" s="22"/>
      <c r="I2" s="22"/>
      <c r="J2" s="20"/>
      <c r="K2" s="22"/>
      <c r="L2" s="22"/>
      <c r="M2" s="22"/>
      <c r="N2" s="507" t="s">
        <v>956</v>
      </c>
      <c r="O2" s="508"/>
      <c r="P2" s="508"/>
    </row>
    <row r="3" spans="1:17" ht="40.5" customHeight="1">
      <c r="A3" s="19"/>
      <c r="B3" s="19"/>
      <c r="C3" s="19"/>
      <c r="D3" s="19"/>
      <c r="E3" s="20"/>
      <c r="F3" s="21"/>
      <c r="G3" s="22"/>
      <c r="H3" s="22"/>
      <c r="I3" s="22"/>
      <c r="J3" s="20"/>
      <c r="K3" s="22"/>
      <c r="L3" s="22"/>
      <c r="M3" s="22"/>
      <c r="N3" s="507"/>
      <c r="O3" s="508"/>
      <c r="P3" s="508"/>
    </row>
    <row r="4" spans="1:17" ht="45.75" hidden="1">
      <c r="A4" s="19"/>
      <c r="B4" s="19"/>
      <c r="C4" s="19"/>
      <c r="D4" s="19"/>
      <c r="E4" s="20"/>
      <c r="F4" s="21"/>
      <c r="G4" s="22"/>
      <c r="H4" s="22"/>
      <c r="I4" s="22"/>
      <c r="J4" s="20"/>
      <c r="K4" s="22"/>
      <c r="L4" s="22"/>
      <c r="M4" s="22"/>
      <c r="N4" s="19"/>
      <c r="O4" s="19"/>
      <c r="P4" s="23"/>
    </row>
    <row r="5" spans="1:17" ht="45">
      <c r="A5" s="509" t="s">
        <v>564</v>
      </c>
      <c r="B5" s="509"/>
      <c r="C5" s="509"/>
      <c r="D5" s="509"/>
      <c r="E5" s="509"/>
      <c r="F5" s="509"/>
      <c r="G5" s="509"/>
      <c r="H5" s="509"/>
      <c r="I5" s="509"/>
      <c r="J5" s="509"/>
      <c r="K5" s="509"/>
      <c r="L5" s="509"/>
      <c r="M5" s="509"/>
      <c r="N5" s="509"/>
      <c r="O5" s="509"/>
      <c r="P5" s="509"/>
    </row>
    <row r="6" spans="1:17" ht="45">
      <c r="A6" s="509" t="s">
        <v>220</v>
      </c>
      <c r="B6" s="509"/>
      <c r="C6" s="509"/>
      <c r="D6" s="509"/>
      <c r="E6" s="509"/>
      <c r="F6" s="509"/>
      <c r="G6" s="509"/>
      <c r="H6" s="509"/>
      <c r="I6" s="509"/>
      <c r="J6" s="509"/>
      <c r="K6" s="509"/>
      <c r="L6" s="509"/>
      <c r="M6" s="509"/>
      <c r="N6" s="509"/>
      <c r="O6" s="509"/>
      <c r="P6" s="509"/>
    </row>
    <row r="7" spans="1:17" ht="53.25" customHeight="1">
      <c r="A7" s="20"/>
      <c r="B7" s="20"/>
      <c r="C7" s="20"/>
      <c r="D7" s="20"/>
      <c r="E7" s="20"/>
      <c r="F7" s="21"/>
      <c r="G7" s="20"/>
      <c r="H7" s="20"/>
      <c r="I7" s="20"/>
      <c r="J7" s="20"/>
      <c r="K7" s="20"/>
      <c r="L7" s="20"/>
      <c r="M7" s="20"/>
      <c r="N7" s="20"/>
      <c r="O7" s="20"/>
      <c r="P7" s="24" t="s">
        <v>578</v>
      </c>
    </row>
    <row r="8" spans="1:17" ht="62.25" customHeight="1">
      <c r="A8" s="491" t="s">
        <v>222</v>
      </c>
      <c r="B8" s="491" t="s">
        <v>224</v>
      </c>
      <c r="C8" s="28"/>
      <c r="D8" s="491" t="s">
        <v>229</v>
      </c>
      <c r="E8" s="498" t="s">
        <v>212</v>
      </c>
      <c r="F8" s="498"/>
      <c r="G8" s="498"/>
      <c r="H8" s="498"/>
      <c r="I8" s="498"/>
      <c r="J8" s="498" t="s">
        <v>559</v>
      </c>
      <c r="K8" s="498"/>
      <c r="L8" s="498"/>
      <c r="M8" s="498"/>
      <c r="N8" s="498"/>
      <c r="O8" s="25"/>
      <c r="P8" s="498" t="s">
        <v>211</v>
      </c>
    </row>
    <row r="9" spans="1:17" ht="255" customHeight="1">
      <c r="A9" s="497"/>
      <c r="B9" s="492"/>
      <c r="C9" s="32" t="s">
        <v>225</v>
      </c>
      <c r="D9" s="497"/>
      <c r="E9" s="499" t="s">
        <v>47</v>
      </c>
      <c r="F9" s="496" t="s">
        <v>561</v>
      </c>
      <c r="G9" s="499" t="s">
        <v>213</v>
      </c>
      <c r="H9" s="499"/>
      <c r="I9" s="496" t="s">
        <v>563</v>
      </c>
      <c r="J9" s="499" t="s">
        <v>47</v>
      </c>
      <c r="K9" s="496" t="s">
        <v>561</v>
      </c>
      <c r="L9" s="499" t="s">
        <v>213</v>
      </c>
      <c r="M9" s="499"/>
      <c r="N9" s="496" t="s">
        <v>563</v>
      </c>
      <c r="O9" s="1" t="s">
        <v>213</v>
      </c>
      <c r="P9" s="498"/>
    </row>
    <row r="10" spans="1:17" ht="137.25">
      <c r="A10" s="493"/>
      <c r="B10" s="493"/>
      <c r="C10" s="33"/>
      <c r="D10" s="493"/>
      <c r="E10" s="499"/>
      <c r="F10" s="496"/>
      <c r="G10" s="1" t="s">
        <v>562</v>
      </c>
      <c r="H10" s="1" t="s">
        <v>221</v>
      </c>
      <c r="I10" s="496"/>
      <c r="J10" s="499"/>
      <c r="K10" s="496"/>
      <c r="L10" s="1" t="s">
        <v>562</v>
      </c>
      <c r="M10" s="1" t="s">
        <v>221</v>
      </c>
      <c r="N10" s="496"/>
      <c r="O10" s="1" t="s">
        <v>203</v>
      </c>
      <c r="P10" s="498"/>
    </row>
    <row r="11" spans="1:17" s="3" customFormat="1" ht="45.75">
      <c r="A11" s="26" t="s">
        <v>49</v>
      </c>
      <c r="B11" s="26" t="s">
        <v>50</v>
      </c>
      <c r="C11" s="26" t="s">
        <v>219</v>
      </c>
      <c r="D11" s="26" t="s">
        <v>55</v>
      </c>
      <c r="E11" s="27">
        <v>5</v>
      </c>
      <c r="F11" s="373">
        <v>6</v>
      </c>
      <c r="G11" s="27">
        <v>7</v>
      </c>
      <c r="H11" s="27">
        <v>8</v>
      </c>
      <c r="I11" s="27">
        <v>9</v>
      </c>
      <c r="J11" s="27">
        <v>10</v>
      </c>
      <c r="K11" s="27">
        <v>11</v>
      </c>
      <c r="L11" s="27">
        <v>12</v>
      </c>
      <c r="M11" s="27">
        <v>13</v>
      </c>
      <c r="N11" s="27">
        <v>14</v>
      </c>
      <c r="O11" s="27">
        <v>15</v>
      </c>
      <c r="P11" s="27">
        <v>16</v>
      </c>
    </row>
    <row r="12" spans="1:17" s="3" customFormat="1" ht="180">
      <c r="A12" s="380" t="s">
        <v>223</v>
      </c>
      <c r="B12" s="380"/>
      <c r="C12" s="380"/>
      <c r="D12" s="381" t="s">
        <v>324</v>
      </c>
      <c r="E12" s="382">
        <f>E13</f>
        <v>102843420.09</v>
      </c>
      <c r="F12" s="382">
        <f t="shared" ref="F12:P12" si="0">F13</f>
        <v>102843420.09</v>
      </c>
      <c r="G12" s="382">
        <f t="shared" si="0"/>
        <v>67665000</v>
      </c>
      <c r="H12" s="382">
        <f t="shared" si="0"/>
        <v>3471190</v>
      </c>
      <c r="I12" s="382">
        <f t="shared" si="0"/>
        <v>0</v>
      </c>
      <c r="J12" s="382">
        <f t="shared" si="0"/>
        <v>19584090.799999997</v>
      </c>
      <c r="K12" s="382">
        <f t="shared" si="0"/>
        <v>3530400</v>
      </c>
      <c r="L12" s="382">
        <f t="shared" si="0"/>
        <v>0</v>
      </c>
      <c r="M12" s="382">
        <f t="shared" si="0"/>
        <v>0</v>
      </c>
      <c r="N12" s="382">
        <f t="shared" si="0"/>
        <v>16053690.799999999</v>
      </c>
      <c r="O12" s="383">
        <f t="shared" si="0"/>
        <v>15450124.909999998</v>
      </c>
      <c r="P12" s="382">
        <f t="shared" si="0"/>
        <v>122427510.89</v>
      </c>
    </row>
    <row r="13" spans="1:17" s="3" customFormat="1" ht="180">
      <c r="A13" s="384" t="s">
        <v>226</v>
      </c>
      <c r="B13" s="384"/>
      <c r="C13" s="384"/>
      <c r="D13" s="385" t="s">
        <v>412</v>
      </c>
      <c r="E13" s="386">
        <f>F13</f>
        <v>102843420.09</v>
      </c>
      <c r="F13" s="387">
        <f>F14+F15+F18+F16+F22+F24+F23+F21</f>
        <v>102843420.09</v>
      </c>
      <c r="G13" s="387">
        <f>G14+G15+G18+G16+G22+G24+G23</f>
        <v>67665000</v>
      </c>
      <c r="H13" s="387">
        <f>H14+H15+H18+H16+H22+H24+H23</f>
        <v>3471190</v>
      </c>
      <c r="I13" s="387">
        <v>0</v>
      </c>
      <c r="J13" s="388">
        <f t="shared" ref="J13:J20" si="1">K13+N13</f>
        <v>19584090.799999997</v>
      </c>
      <c r="K13" s="387">
        <f>K14+K15+K18+K16+K22+K24+K23+K26+K21+K25</f>
        <v>3530400</v>
      </c>
      <c r="L13" s="387">
        <f>L14+L15+L18+L16+L22+L24+L23+L26</f>
        <v>0</v>
      </c>
      <c r="M13" s="387">
        <f>M14+M15+M18+M16+M22+M24+M23+M26</f>
        <v>0</v>
      </c>
      <c r="N13" s="387">
        <f>N14+N15+N18+N16+N22+N24+N23+N26+N21+N25</f>
        <v>16053690.799999999</v>
      </c>
      <c r="O13" s="387">
        <f>O14+O15+O18+O16+O22+O24+O23+O26+O21+O25</f>
        <v>15450124.909999998</v>
      </c>
      <c r="P13" s="386">
        <f>J13+E13</f>
        <v>122427510.89</v>
      </c>
      <c r="Q13" s="344"/>
    </row>
    <row r="14" spans="1:17" ht="320.25">
      <c r="A14" s="404" t="s">
        <v>54</v>
      </c>
      <c r="B14" s="404" t="s">
        <v>57</v>
      </c>
      <c r="C14" s="404" t="s">
        <v>58</v>
      </c>
      <c r="D14" s="404" t="s">
        <v>16</v>
      </c>
      <c r="E14" s="64">
        <f t="shared" ref="E14:E24" si="2">F14</f>
        <v>52704891</v>
      </c>
      <c r="F14" s="74">
        <f>(((32662870+1000000+8640820)+70501+195000+275000+35000-275000)+9262800+15100)+800000+30000-30000+10000-20000+100000-100000+50000+72800-90000</f>
        <v>52704891</v>
      </c>
      <c r="G14" s="300">
        <f>(20527200+7096100)+7600000</f>
        <v>35223300</v>
      </c>
      <c r="H14" s="300">
        <f>(2402090)-30000+10000-20000-100000-90000</f>
        <v>2172090</v>
      </c>
      <c r="I14" s="74"/>
      <c r="J14" s="299">
        <f t="shared" si="1"/>
        <v>3068919</v>
      </c>
      <c r="K14" s="301">
        <v>33000</v>
      </c>
      <c r="L14" s="302"/>
      <c r="M14" s="302"/>
      <c r="N14" s="303">
        <f t="shared" ref="N14:N24" si="3">O14</f>
        <v>3035919</v>
      </c>
      <c r="O14" s="402">
        <f>((1672500+207000+50000-257000)+140000+587000-160000)+656319-15100+28000+200000-72800</f>
        <v>3035919</v>
      </c>
      <c r="P14" s="64">
        <f>+J14+E14</f>
        <v>55773810</v>
      </c>
    </row>
    <row r="15" spans="1:17" ht="137.25">
      <c r="A15" s="404" t="s">
        <v>56</v>
      </c>
      <c r="B15" s="404" t="s">
        <v>466</v>
      </c>
      <c r="C15" s="404" t="s">
        <v>58</v>
      </c>
      <c r="D15" s="404" t="s">
        <v>17</v>
      </c>
      <c r="E15" s="64">
        <f>F15</f>
        <v>43880971.219999999</v>
      </c>
      <c r="F15" s="401">
        <f>(((28086820+15495+9035385)+25107+101000)+6302323.22+200000+98479)-12000-7000+5000+14000-20000+85870+10000+8100+232392-300000</f>
        <v>43880971.219999999</v>
      </c>
      <c r="G15" s="402">
        <f>(19747800+15495+7413405)+5170000</f>
        <v>32346700</v>
      </c>
      <c r="H15" s="402">
        <f>(1618100)-12000-7000-300000</f>
        <v>1299100</v>
      </c>
      <c r="I15" s="401"/>
      <c r="J15" s="64">
        <f t="shared" si="1"/>
        <v>3947548.78</v>
      </c>
      <c r="K15" s="401"/>
      <c r="L15" s="402"/>
      <c r="M15" s="402"/>
      <c r="N15" s="401">
        <f t="shared" si="3"/>
        <v>3947548.78</v>
      </c>
      <c r="O15" s="402">
        <f>((3598000+53000)+76548.78)+200000+20000</f>
        <v>3947548.78</v>
      </c>
      <c r="P15" s="64">
        <f>E15+J15</f>
        <v>47828520</v>
      </c>
    </row>
    <row r="16" spans="1:17" ht="91.5">
      <c r="A16" s="404" t="s">
        <v>69</v>
      </c>
      <c r="B16" s="404" t="s">
        <v>70</v>
      </c>
      <c r="C16" s="404"/>
      <c r="D16" s="404" t="s">
        <v>71</v>
      </c>
      <c r="E16" s="64">
        <f>F16</f>
        <v>1294622.3999999999</v>
      </c>
      <c r="F16" s="401">
        <f>F17</f>
        <v>1294622.3999999999</v>
      </c>
      <c r="G16" s="402">
        <f>G17</f>
        <v>0</v>
      </c>
      <c r="H16" s="402">
        <f>H17</f>
        <v>0</v>
      </c>
      <c r="I16" s="401">
        <f>I17</f>
        <v>0</v>
      </c>
      <c r="J16" s="64">
        <f>K16+N16</f>
        <v>263260.59999999998</v>
      </c>
      <c r="K16" s="401">
        <f>K17</f>
        <v>0</v>
      </c>
      <c r="L16" s="402">
        <f>L17</f>
        <v>0</v>
      </c>
      <c r="M16" s="402">
        <f>M17</f>
        <v>0</v>
      </c>
      <c r="N16" s="401">
        <f>O16</f>
        <v>263260.59999999998</v>
      </c>
      <c r="O16" s="402">
        <f>O17</f>
        <v>263260.59999999998</v>
      </c>
      <c r="P16" s="64">
        <f>+J16+E16</f>
        <v>1557883</v>
      </c>
    </row>
    <row r="17" spans="1:20" ht="91.5">
      <c r="A17" s="304" t="s">
        <v>72</v>
      </c>
      <c r="B17" s="304" t="s">
        <v>73</v>
      </c>
      <c r="C17" s="304" t="s">
        <v>74</v>
      </c>
      <c r="D17" s="304" t="s">
        <v>214</v>
      </c>
      <c r="E17" s="401">
        <f>F17</f>
        <v>1294622.3999999999</v>
      </c>
      <c r="F17" s="401">
        <f>(820000)+474622.4</f>
        <v>1294622.3999999999</v>
      </c>
      <c r="G17" s="401"/>
      <c r="H17" s="401"/>
      <c r="I17" s="401"/>
      <c r="J17" s="401">
        <f>K17+N17</f>
        <v>263260.59999999998</v>
      </c>
      <c r="K17" s="401"/>
      <c r="L17" s="401"/>
      <c r="M17" s="401"/>
      <c r="N17" s="401">
        <f>O17</f>
        <v>263260.59999999998</v>
      </c>
      <c r="O17" s="402">
        <f>(90000)+173260.6</f>
        <v>263260.59999999998</v>
      </c>
      <c r="P17" s="401">
        <f>+J17+E17</f>
        <v>1557883</v>
      </c>
    </row>
    <row r="18" spans="1:20" ht="91.5">
      <c r="A18" s="404" t="s">
        <v>59</v>
      </c>
      <c r="B18" s="404" t="s">
        <v>60</v>
      </c>
      <c r="C18" s="404"/>
      <c r="D18" s="404" t="s">
        <v>61</v>
      </c>
      <c r="E18" s="64">
        <f>F18</f>
        <v>2489610</v>
      </c>
      <c r="F18" s="401">
        <f>F19+F20</f>
        <v>2489610</v>
      </c>
      <c r="G18" s="402">
        <f>G19+G20</f>
        <v>0</v>
      </c>
      <c r="H18" s="402">
        <f>H19+H20</f>
        <v>0</v>
      </c>
      <c r="I18" s="401">
        <f>I19+I20</f>
        <v>0</v>
      </c>
      <c r="J18" s="64">
        <f t="shared" si="1"/>
        <v>0</v>
      </c>
      <c r="K18" s="401">
        <f>K19+K20</f>
        <v>0</v>
      </c>
      <c r="L18" s="402">
        <f>L19+L20</f>
        <v>0</v>
      </c>
      <c r="M18" s="402">
        <f>M19+M20</f>
        <v>0</v>
      </c>
      <c r="N18" s="401">
        <f t="shared" si="3"/>
        <v>0</v>
      </c>
      <c r="O18" s="402">
        <f>O19+O20</f>
        <v>0</v>
      </c>
      <c r="P18" s="64">
        <f t="shared" ref="P18:P26" si="4">E18+J18</f>
        <v>2489610</v>
      </c>
    </row>
    <row r="19" spans="1:20" ht="91.5">
      <c r="A19" s="304" t="s">
        <v>62</v>
      </c>
      <c r="B19" s="304" t="s">
        <v>63</v>
      </c>
      <c r="C19" s="304" t="s">
        <v>64</v>
      </c>
      <c r="D19" s="304" t="s">
        <v>65</v>
      </c>
      <c r="E19" s="401">
        <f t="shared" si="2"/>
        <v>1581300</v>
      </c>
      <c r="F19" s="401">
        <f>((1275420)+50000)+135880+120000</f>
        <v>1581300</v>
      </c>
      <c r="G19" s="401"/>
      <c r="H19" s="401"/>
      <c r="I19" s="401"/>
      <c r="J19" s="401">
        <f t="shared" si="1"/>
        <v>0</v>
      </c>
      <c r="K19" s="401"/>
      <c r="L19" s="401"/>
      <c r="M19" s="401"/>
      <c r="N19" s="401">
        <f t="shared" si="3"/>
        <v>0</v>
      </c>
      <c r="O19" s="402">
        <f>120000-120000</f>
        <v>0</v>
      </c>
      <c r="P19" s="401">
        <f t="shared" si="4"/>
        <v>1581300</v>
      </c>
    </row>
    <row r="20" spans="1:20" ht="91.5">
      <c r="A20" s="304" t="s">
        <v>66</v>
      </c>
      <c r="B20" s="304" t="s">
        <v>67</v>
      </c>
      <c r="C20" s="304" t="s">
        <v>64</v>
      </c>
      <c r="D20" s="304" t="s">
        <v>68</v>
      </c>
      <c r="E20" s="401">
        <f t="shared" si="2"/>
        <v>908310</v>
      </c>
      <c r="F20" s="401">
        <v>908310</v>
      </c>
      <c r="G20" s="401"/>
      <c r="H20" s="401"/>
      <c r="I20" s="401"/>
      <c r="J20" s="401">
        <f t="shared" si="1"/>
        <v>0</v>
      </c>
      <c r="K20" s="401"/>
      <c r="L20" s="401"/>
      <c r="M20" s="401"/>
      <c r="N20" s="401">
        <f t="shared" si="3"/>
        <v>0</v>
      </c>
      <c r="O20" s="402"/>
      <c r="P20" s="401">
        <f t="shared" si="4"/>
        <v>908310</v>
      </c>
    </row>
    <row r="21" spans="1:20" ht="91.5">
      <c r="A21" s="304" t="s">
        <v>852</v>
      </c>
      <c r="B21" s="404" t="s">
        <v>403</v>
      </c>
      <c r="C21" s="304" t="s">
        <v>401</v>
      </c>
      <c r="D21" s="305" t="s">
        <v>404</v>
      </c>
      <c r="E21" s="64">
        <f>F21</f>
        <v>0</v>
      </c>
      <c r="F21" s="401"/>
      <c r="G21" s="402"/>
      <c r="H21" s="402"/>
      <c r="I21" s="401"/>
      <c r="J21" s="64">
        <f t="shared" ref="J21" si="5">K21+N21</f>
        <v>795000</v>
      </c>
      <c r="K21" s="401"/>
      <c r="L21" s="402"/>
      <c r="M21" s="402"/>
      <c r="N21" s="401">
        <f t="shared" ref="N21" si="6">O21</f>
        <v>795000</v>
      </c>
      <c r="O21" s="402">
        <f>(385000+320000)+90000</f>
        <v>795000</v>
      </c>
      <c r="P21" s="64">
        <f t="shared" ref="P21" si="7">E21+J21</f>
        <v>795000</v>
      </c>
    </row>
    <row r="22" spans="1:20" ht="228.75">
      <c r="A22" s="404" t="s">
        <v>75</v>
      </c>
      <c r="B22" s="404" t="s">
        <v>76</v>
      </c>
      <c r="C22" s="404" t="s">
        <v>466</v>
      </c>
      <c r="D22" s="404" t="s">
        <v>77</v>
      </c>
      <c r="E22" s="64">
        <f t="shared" si="2"/>
        <v>120000</v>
      </c>
      <c r="F22" s="401">
        <v>120000</v>
      </c>
      <c r="G22" s="402"/>
      <c r="H22" s="402"/>
      <c r="I22" s="401"/>
      <c r="J22" s="64"/>
      <c r="K22" s="401"/>
      <c r="L22" s="402"/>
      <c r="M22" s="402"/>
      <c r="N22" s="401">
        <f t="shared" si="3"/>
        <v>0</v>
      </c>
      <c r="O22" s="402"/>
      <c r="P22" s="64">
        <f t="shared" si="4"/>
        <v>120000</v>
      </c>
    </row>
    <row r="23" spans="1:20" ht="228.75">
      <c r="A23" s="404" t="s">
        <v>621</v>
      </c>
      <c r="B23" s="404" t="s">
        <v>622</v>
      </c>
      <c r="C23" s="404" t="s">
        <v>466</v>
      </c>
      <c r="D23" s="305" t="s">
        <v>623</v>
      </c>
      <c r="E23" s="64">
        <f>F23</f>
        <v>1195122.47</v>
      </c>
      <c r="F23" s="401">
        <f>((331052.47+4900)+70000+189170)+570000+30000</f>
        <v>1195122.47</v>
      </c>
      <c r="G23" s="402"/>
      <c r="H23" s="402"/>
      <c r="I23" s="401"/>
      <c r="J23" s="64">
        <f>K23+N23</f>
        <v>6173017.5299999993</v>
      </c>
      <c r="K23" s="401"/>
      <c r="L23" s="402"/>
      <c r="M23" s="402"/>
      <c r="N23" s="401">
        <f>O23</f>
        <v>6173017.5299999993</v>
      </c>
      <c r="O23" s="402">
        <f>((2265087.53-400000+305100-50000)+800000-189170-200000)+500000+87000+3055000</f>
        <v>6173017.5299999993</v>
      </c>
      <c r="P23" s="64">
        <f>E23+J23</f>
        <v>7368139.9999999991</v>
      </c>
    </row>
    <row r="24" spans="1:20" ht="46.5">
      <c r="A24" s="404" t="s">
        <v>78</v>
      </c>
      <c r="B24" s="404" t="s">
        <v>79</v>
      </c>
      <c r="C24" s="404" t="s">
        <v>465</v>
      </c>
      <c r="D24" s="404" t="s">
        <v>80</v>
      </c>
      <c r="E24" s="64">
        <f t="shared" si="2"/>
        <v>1158203</v>
      </c>
      <c r="F24" s="401">
        <f>((1121400+9735)+77068+200000-200000)+56000-56000-50000</f>
        <v>1158203</v>
      </c>
      <c r="G24" s="402">
        <f>(50000)+45000</f>
        <v>95000</v>
      </c>
      <c r="H24" s="402"/>
      <c r="I24" s="401"/>
      <c r="J24" s="64">
        <f>K24+N24</f>
        <v>0</v>
      </c>
      <c r="K24" s="401"/>
      <c r="L24" s="402"/>
      <c r="M24" s="402"/>
      <c r="N24" s="401">
        <f t="shared" si="3"/>
        <v>0</v>
      </c>
      <c r="O24" s="402"/>
      <c r="P24" s="64">
        <f t="shared" si="4"/>
        <v>1158203</v>
      </c>
    </row>
    <row r="25" spans="1:20" ht="46.5">
      <c r="A25" s="404" t="s">
        <v>853</v>
      </c>
      <c r="B25" s="404" t="s">
        <v>628</v>
      </c>
      <c r="C25" s="404" t="s">
        <v>466</v>
      </c>
      <c r="D25" s="305" t="s">
        <v>629</v>
      </c>
      <c r="E25" s="64">
        <f t="shared" ref="E25" si="8">F25</f>
        <v>0</v>
      </c>
      <c r="F25" s="401"/>
      <c r="G25" s="402"/>
      <c r="H25" s="402"/>
      <c r="I25" s="401"/>
      <c r="J25" s="64">
        <f>K25+N25</f>
        <v>1235379</v>
      </c>
      <c r="K25" s="401"/>
      <c r="L25" s="402"/>
      <c r="M25" s="402"/>
      <c r="N25" s="401">
        <f t="shared" ref="N25" si="9">O25</f>
        <v>1235379</v>
      </c>
      <c r="O25" s="402">
        <f>678000-28000+585379</f>
        <v>1235379</v>
      </c>
      <c r="P25" s="64">
        <f t="shared" ref="P25" si="10">E25+J25</f>
        <v>1235379</v>
      </c>
    </row>
    <row r="26" spans="1:20" ht="274.5">
      <c r="A26" s="404" t="s">
        <v>81</v>
      </c>
      <c r="B26" s="404" t="s">
        <v>82</v>
      </c>
      <c r="C26" s="404" t="s">
        <v>465</v>
      </c>
      <c r="D26" s="305" t="s">
        <v>83</v>
      </c>
      <c r="E26" s="64"/>
      <c r="F26" s="401"/>
      <c r="G26" s="402"/>
      <c r="H26" s="402"/>
      <c r="I26" s="401"/>
      <c r="J26" s="64">
        <f>K26+N26</f>
        <v>4100965.89</v>
      </c>
      <c r="K26" s="301">
        <f>((3158800+200000)+138600)</f>
        <v>3497400</v>
      </c>
      <c r="L26" s="302"/>
      <c r="M26" s="302"/>
      <c r="N26" s="401">
        <f>((O26+542165.89)+61400)</f>
        <v>603565.89</v>
      </c>
      <c r="O26" s="402"/>
      <c r="P26" s="64">
        <f t="shared" si="4"/>
        <v>4100965.89</v>
      </c>
    </row>
    <row r="27" spans="1:20" ht="135">
      <c r="A27" s="380" t="s">
        <v>230</v>
      </c>
      <c r="B27" s="380"/>
      <c r="C27" s="380"/>
      <c r="D27" s="381" t="s">
        <v>22</v>
      </c>
      <c r="E27" s="387">
        <f>E28</f>
        <v>736084044</v>
      </c>
      <c r="F27" s="387">
        <f t="shared" ref="F27:P27" si="11">F28</f>
        <v>736084044</v>
      </c>
      <c r="G27" s="387">
        <f t="shared" si="11"/>
        <v>468809488</v>
      </c>
      <c r="H27" s="387">
        <f t="shared" si="11"/>
        <v>73953179.820000008</v>
      </c>
      <c r="I27" s="387">
        <f t="shared" si="11"/>
        <v>0</v>
      </c>
      <c r="J27" s="387">
        <f t="shared" si="11"/>
        <v>113854139</v>
      </c>
      <c r="K27" s="387">
        <f t="shared" si="11"/>
        <v>70050364</v>
      </c>
      <c r="L27" s="387">
        <f t="shared" si="11"/>
        <v>20113550.699999999</v>
      </c>
      <c r="M27" s="387">
        <f t="shared" si="11"/>
        <v>5733086.4399999995</v>
      </c>
      <c r="N27" s="387">
        <f t="shared" si="11"/>
        <v>43803775</v>
      </c>
      <c r="O27" s="386">
        <f t="shared" si="11"/>
        <v>42837029</v>
      </c>
      <c r="P27" s="387">
        <f t="shared" si="11"/>
        <v>849938183</v>
      </c>
    </row>
    <row r="28" spans="1:20" ht="135">
      <c r="A28" s="384" t="s">
        <v>231</v>
      </c>
      <c r="B28" s="384"/>
      <c r="C28" s="384"/>
      <c r="D28" s="385" t="s">
        <v>23</v>
      </c>
      <c r="E28" s="386">
        <f>E29+E30+E31+E32+E33+E35+E36+E37+E38+E39+E34+E40+E41</f>
        <v>736084044</v>
      </c>
      <c r="F28" s="387">
        <f>F29+F30+F31+F32+F33+F35+F36+F37+F38+F39+F34+F40+F41</f>
        <v>736084044</v>
      </c>
      <c r="G28" s="386">
        <f>G29+G30+G31+G32+G33+G35+G36+G37+G38+G39+G34+G40</f>
        <v>468809488</v>
      </c>
      <c r="H28" s="386">
        <f>H29+H30+H31+H32+H33+H35+H36+H37+H38+H39+H34+H40</f>
        <v>73953179.820000008</v>
      </c>
      <c r="I28" s="387">
        <f>I29+I30+I31+I32+I33+I35+I36+I37+I38+I39+I34</f>
        <v>0</v>
      </c>
      <c r="J28" s="386">
        <f>J29+J30+J31+J32+J33+J35+J36+J37+J38+J39+J34+J40+J41</f>
        <v>113854139</v>
      </c>
      <c r="K28" s="387">
        <f t="shared" ref="K28:O28" si="12">K29+K30+K31+K32+K33+K35+K36+K37+K38+K39+K34+K40</f>
        <v>70050364</v>
      </c>
      <c r="L28" s="386">
        <f t="shared" si="12"/>
        <v>20113550.699999999</v>
      </c>
      <c r="M28" s="386">
        <f t="shared" si="12"/>
        <v>5733086.4399999995</v>
      </c>
      <c r="N28" s="387">
        <f t="shared" si="12"/>
        <v>43803775</v>
      </c>
      <c r="O28" s="386">
        <f t="shared" si="12"/>
        <v>42837029</v>
      </c>
      <c r="P28" s="386">
        <f t="shared" ref="P28:P39" si="13">E28+J28</f>
        <v>849938183</v>
      </c>
    </row>
    <row r="29" spans="1:20" ht="67.5" customHeight="1">
      <c r="A29" s="406" t="s">
        <v>232</v>
      </c>
      <c r="B29" s="406" t="s">
        <v>233</v>
      </c>
      <c r="C29" s="406" t="s">
        <v>234</v>
      </c>
      <c r="D29" s="406" t="s">
        <v>235</v>
      </c>
      <c r="E29" s="64">
        <f>F29</f>
        <v>208302485</v>
      </c>
      <c r="F29" s="409">
        <f>(((155175134-378299+41131365)+5313100+1168882+2021964+329000-2240-21240+30000)+3585665+30000+7200+49000+39000+81890+796640+44000+3300+3200+90000+80000+100000+180000+30000-571100-12200-18620)+992400+91800+300000+90118+72600+30528+180000+35109+100000+30000-1516500-1389211</f>
        <v>208302485</v>
      </c>
      <c r="G29" s="410">
        <f>(((115260900*0.735+30544138.5)+5313100)+2939070)+992400</f>
        <v>124505470</v>
      </c>
      <c r="H29" s="410">
        <f>(25584300)-1389211</f>
        <v>24195089</v>
      </c>
      <c r="I29" s="407"/>
      <c r="J29" s="64">
        <f t="shared" ref="J29:J39" si="14">K29+N29</f>
        <v>45480413</v>
      </c>
      <c r="K29" s="407">
        <v>28253540</v>
      </c>
      <c r="L29" s="408">
        <v>6631590</v>
      </c>
      <c r="M29" s="408">
        <v>647000</v>
      </c>
      <c r="N29" s="407">
        <f>O29+163260</f>
        <v>17226873</v>
      </c>
      <c r="O29" s="408">
        <f>(((10642175+2989560+2711300+1228800+117798+117800)+99000+249000+4338711+9000-30000-7165258)+424350+40290+178452+1000000+920000+571100+21535+100000)-1500000</f>
        <v>17063613</v>
      </c>
      <c r="P29" s="64">
        <f t="shared" si="13"/>
        <v>253782898</v>
      </c>
      <c r="Q29" s="31"/>
      <c r="R29" s="31"/>
    </row>
    <row r="30" spans="1:20" ht="362.25" customHeight="1">
      <c r="A30" s="406" t="s">
        <v>236</v>
      </c>
      <c r="B30" s="406" t="s">
        <v>237</v>
      </c>
      <c r="C30" s="406" t="s">
        <v>238</v>
      </c>
      <c r="D30" s="406" t="s">
        <v>239</v>
      </c>
      <c r="E30" s="64">
        <f t="shared" ref="E30:E39" si="15">F30</f>
        <v>389829751</v>
      </c>
      <c r="F30" s="409">
        <f>((((381698400+4412350)*0.792-734344+81045380+70300)+316700+69674+316000+701400-6240+1246912)+167628+1067260+27000+48000+41800+22000+2880+60000+130923+51000+227000+40000-1000750+86500+112280+62300+12200+8000+18620)+3114800+685200+50000+109660+170422+45000+40000+132488+24492-114427-8600-1104900-395100-754900-2171155-3366</f>
        <v>389829751</v>
      </c>
      <c r="G30" s="410">
        <f>((261405446)+137400)+3114800-1104900-2760</f>
        <v>263549986</v>
      </c>
      <c r="H30" s="410">
        <f>(36156493.95)-2171155</f>
        <v>33985338.950000003</v>
      </c>
      <c r="I30" s="407"/>
      <c r="J30" s="64">
        <f t="shared" si="14"/>
        <v>36732093</v>
      </c>
      <c r="K30" s="407">
        <v>28924854</v>
      </c>
      <c r="L30" s="408">
        <v>10888770</v>
      </c>
      <c r="M30" s="408">
        <v>742550</v>
      </c>
      <c r="N30" s="407">
        <f>O30+498686</f>
        <v>7807239</v>
      </c>
      <c r="O30" s="408">
        <f>(((370000+70000+1575850+4563040+117800+117800)+272640+148000+1894509+3000+13000-6374490)+1056945+200000+200000+425000+662833+770000+24574+1000750-86500+55420+200000+21535+21535-500000)+50000+200000+120885+114427</f>
        <v>7308553</v>
      </c>
      <c r="P30" s="64">
        <f t="shared" si="13"/>
        <v>426561844</v>
      </c>
      <c r="Q30" s="31"/>
      <c r="R30" s="31"/>
      <c r="T30" s="346"/>
    </row>
    <row r="31" spans="1:20" ht="137.25">
      <c r="A31" s="406" t="s">
        <v>240</v>
      </c>
      <c r="B31" s="406" t="s">
        <v>241</v>
      </c>
      <c r="C31" s="406" t="s">
        <v>238</v>
      </c>
      <c r="D31" s="406" t="s">
        <v>242</v>
      </c>
      <c r="E31" s="64">
        <f t="shared" si="15"/>
        <v>2174020</v>
      </c>
      <c r="F31" s="407">
        <f>((1715838+453362)+24820+1100)+21200+4800-41400-3600-2100</f>
        <v>2174020</v>
      </c>
      <c r="G31" s="408">
        <f>(1670400*0.735+442656)+21200-41400</f>
        <v>1650200</v>
      </c>
      <c r="H31" s="408">
        <v>85500</v>
      </c>
      <c r="I31" s="407"/>
      <c r="J31" s="64">
        <f t="shared" si="14"/>
        <v>0</v>
      </c>
      <c r="K31" s="407"/>
      <c r="L31" s="408"/>
      <c r="M31" s="408"/>
      <c r="N31" s="407">
        <f t="shared" ref="N31:N39" si="16">O31</f>
        <v>0</v>
      </c>
      <c r="O31" s="408">
        <f>(0)</f>
        <v>0</v>
      </c>
      <c r="P31" s="64">
        <f t="shared" si="13"/>
        <v>2174020</v>
      </c>
    </row>
    <row r="32" spans="1:20" ht="409.6" customHeight="1">
      <c r="A32" s="406" t="s">
        <v>243</v>
      </c>
      <c r="B32" s="406" t="s">
        <v>244</v>
      </c>
      <c r="C32" s="406" t="s">
        <v>245</v>
      </c>
      <c r="D32" s="406" t="s">
        <v>246</v>
      </c>
      <c r="E32" s="64">
        <f t="shared" si="15"/>
        <v>12093098</v>
      </c>
      <c r="F32" s="407">
        <f>(((9739267+2573333)+38100+8382+2000+36400-140)+20496+49640+13600+10000+6600+64620)+35000-80000-131600-35400-97000-160200</f>
        <v>12093098</v>
      </c>
      <c r="G32" s="408">
        <f>((8815300*0.735+2336054.5)+38100)+16800-80000-131600</f>
        <v>8658600</v>
      </c>
      <c r="H32" s="408">
        <v>878900</v>
      </c>
      <c r="I32" s="407"/>
      <c r="J32" s="64">
        <f t="shared" si="14"/>
        <v>81250</v>
      </c>
      <c r="K32" s="407">
        <v>34600</v>
      </c>
      <c r="L32" s="408">
        <v>0</v>
      </c>
      <c r="M32" s="408">
        <v>22500</v>
      </c>
      <c r="N32" s="407">
        <f t="shared" si="16"/>
        <v>46650</v>
      </c>
      <c r="O32" s="408">
        <f>((0)+12000+5000)+29650</f>
        <v>46650</v>
      </c>
      <c r="P32" s="64">
        <f t="shared" si="13"/>
        <v>12174348</v>
      </c>
    </row>
    <row r="33" spans="1:16" ht="183">
      <c r="A33" s="406" t="s">
        <v>247</v>
      </c>
      <c r="B33" s="406" t="s">
        <v>248</v>
      </c>
      <c r="C33" s="406" t="s">
        <v>249</v>
      </c>
      <c r="D33" s="406" t="s">
        <v>250</v>
      </c>
      <c r="E33" s="64">
        <f t="shared" si="15"/>
        <v>22131392</v>
      </c>
      <c r="F33" s="407">
        <f>(16712011+4415689)+823600+181192+3300+58600-28000-35000</f>
        <v>22131392</v>
      </c>
      <c r="G33" s="408">
        <f>(14697200*0.735+3894758)+823600-28000</f>
        <v>15492800</v>
      </c>
      <c r="H33" s="408">
        <v>2101600</v>
      </c>
      <c r="I33" s="407"/>
      <c r="J33" s="64">
        <f t="shared" si="14"/>
        <v>8981810</v>
      </c>
      <c r="K33" s="407">
        <v>4156490</v>
      </c>
      <c r="L33" s="408">
        <v>751200</v>
      </c>
      <c r="M33" s="408">
        <v>240040</v>
      </c>
      <c r="N33" s="407">
        <f>O33+64000</f>
        <v>4825320</v>
      </c>
      <c r="O33" s="408">
        <f>(((4490000)+980000+550000)+195000+46320)-1500000</f>
        <v>4761320</v>
      </c>
      <c r="P33" s="64">
        <f t="shared" si="13"/>
        <v>31113202</v>
      </c>
    </row>
    <row r="34" spans="1:16" ht="183">
      <c r="A34" s="406" t="s">
        <v>251</v>
      </c>
      <c r="B34" s="406" t="s">
        <v>252</v>
      </c>
      <c r="C34" s="406" t="s">
        <v>253</v>
      </c>
      <c r="D34" s="406" t="s">
        <v>378</v>
      </c>
      <c r="E34" s="64">
        <f t="shared" si="15"/>
        <v>86596245</v>
      </c>
      <c r="F34" s="407">
        <f>((67187300-24474900+24474900)+8190000+11715+4500+384350+2087250+150350+928100+134300+3394245+95050-13339.3-4481.89-15581.69-0.12)+7640488-2993400-584600</f>
        <v>86596245</v>
      </c>
      <c r="G34" s="408">
        <f>((34315300-20061393+20061393-49870.7)+6713115-13339.3)+6318827-2993400</f>
        <v>44290632</v>
      </c>
      <c r="H34" s="408">
        <f>(8855400-251832.44-112334)+2087250+150350+928100+134300-15581.69</f>
        <v>11775651.870000001</v>
      </c>
      <c r="I34" s="407"/>
      <c r="J34" s="64">
        <f t="shared" si="14"/>
        <v>8285440</v>
      </c>
      <c r="K34" s="407">
        <v>8044640</v>
      </c>
      <c r="L34" s="408">
        <f>1463380.7</f>
        <v>1463380.7</v>
      </c>
      <c r="M34" s="408">
        <f>4060706.44</f>
        <v>4060706.44</v>
      </c>
      <c r="N34" s="407">
        <f>240800+O34</f>
        <v>240800</v>
      </c>
      <c r="O34" s="408">
        <v>0</v>
      </c>
      <c r="P34" s="64">
        <f t="shared" si="13"/>
        <v>94881685</v>
      </c>
    </row>
    <row r="35" spans="1:16" ht="137.25">
      <c r="A35" s="406" t="s">
        <v>254</v>
      </c>
      <c r="B35" s="406" t="s">
        <v>255</v>
      </c>
      <c r="C35" s="406" t="s">
        <v>256</v>
      </c>
      <c r="D35" s="406" t="s">
        <v>257</v>
      </c>
      <c r="E35" s="64">
        <f t="shared" si="15"/>
        <v>3304936</v>
      </c>
      <c r="F35" s="407">
        <f>(((2606662+688738)+289168-140)+78690+1500+160+2000+8200+66000)+18958-372000-83000</f>
        <v>3304936</v>
      </c>
      <c r="G35" s="408">
        <f>((2431400*0.735+644321)+144400)+64500-372000</f>
        <v>2268300</v>
      </c>
      <c r="H35" s="408">
        <v>171200</v>
      </c>
      <c r="I35" s="407"/>
      <c r="J35" s="64">
        <f t="shared" si="14"/>
        <v>113125</v>
      </c>
      <c r="K35" s="407">
        <v>53980</v>
      </c>
      <c r="L35" s="408">
        <v>0</v>
      </c>
      <c r="M35" s="408">
        <v>0</v>
      </c>
      <c r="N35" s="407">
        <f t="shared" si="16"/>
        <v>59145</v>
      </c>
      <c r="O35" s="408">
        <f>(20145)+39000</f>
        <v>59145</v>
      </c>
      <c r="P35" s="64">
        <f t="shared" si="13"/>
        <v>3418061</v>
      </c>
    </row>
    <row r="36" spans="1:16" ht="91.5">
      <c r="A36" s="406" t="s">
        <v>258</v>
      </c>
      <c r="B36" s="406" t="s">
        <v>259</v>
      </c>
      <c r="C36" s="406" t="s">
        <v>256</v>
      </c>
      <c r="D36" s="406" t="s">
        <v>260</v>
      </c>
      <c r="E36" s="64">
        <f t="shared" si="15"/>
        <v>3845913</v>
      </c>
      <c r="F36" s="407">
        <f>((3012208+795892+10000)+12000)+15813</f>
        <v>3845913</v>
      </c>
      <c r="G36" s="408">
        <f>2827300*0.735+749234.5</f>
        <v>2827300</v>
      </c>
      <c r="H36" s="408">
        <v>128100</v>
      </c>
      <c r="I36" s="407"/>
      <c r="J36" s="64">
        <f t="shared" si="14"/>
        <v>58000</v>
      </c>
      <c r="K36" s="407"/>
      <c r="L36" s="408"/>
      <c r="M36" s="408"/>
      <c r="N36" s="407">
        <f t="shared" si="16"/>
        <v>58000</v>
      </c>
      <c r="O36" s="408">
        <f>(0)+58000</f>
        <v>58000</v>
      </c>
      <c r="P36" s="64">
        <f t="shared" si="13"/>
        <v>3903913</v>
      </c>
    </row>
    <row r="37" spans="1:16" ht="91.5">
      <c r="A37" s="406" t="s">
        <v>261</v>
      </c>
      <c r="B37" s="406" t="s">
        <v>262</v>
      </c>
      <c r="C37" s="406" t="s">
        <v>256</v>
      </c>
      <c r="D37" s="406" t="s">
        <v>263</v>
      </c>
      <c r="E37" s="64">
        <f t="shared" si="15"/>
        <v>1760400</v>
      </c>
      <c r="F37" s="407">
        <f>(1412489+373211)+20700-30000-16000</f>
        <v>1760400</v>
      </c>
      <c r="G37" s="408">
        <f>(1243700*0.735+329580.5)-30000</f>
        <v>1213700</v>
      </c>
      <c r="H37" s="408">
        <v>117900</v>
      </c>
      <c r="I37" s="407"/>
      <c r="J37" s="64">
        <f t="shared" si="14"/>
        <v>0</v>
      </c>
      <c r="K37" s="407"/>
      <c r="L37" s="408"/>
      <c r="M37" s="408"/>
      <c r="N37" s="407">
        <f t="shared" si="16"/>
        <v>0</v>
      </c>
      <c r="O37" s="408">
        <v>0</v>
      </c>
      <c r="P37" s="64">
        <f t="shared" si="13"/>
        <v>1760400</v>
      </c>
    </row>
    <row r="38" spans="1:16" ht="46.5">
      <c r="A38" s="406" t="s">
        <v>264</v>
      </c>
      <c r="B38" s="406" t="s">
        <v>265</v>
      </c>
      <c r="C38" s="406" t="s">
        <v>256</v>
      </c>
      <c r="D38" s="406" t="s">
        <v>266</v>
      </c>
      <c r="E38" s="64">
        <f t="shared" si="15"/>
        <v>6002804</v>
      </c>
      <c r="F38" s="407">
        <f>((4585665+1211635)+158844+1500+160)+45000</f>
        <v>6002804</v>
      </c>
      <c r="G38" s="408">
        <f>(4222300*0.735+1118909.5)+130200</f>
        <v>4352500</v>
      </c>
      <c r="H38" s="408">
        <v>513900</v>
      </c>
      <c r="I38" s="407"/>
      <c r="J38" s="64">
        <f t="shared" si="14"/>
        <v>582260</v>
      </c>
      <c r="K38" s="407">
        <v>582260</v>
      </c>
      <c r="L38" s="408">
        <v>378610</v>
      </c>
      <c r="M38" s="408">
        <v>20290</v>
      </c>
      <c r="N38" s="407">
        <f t="shared" si="16"/>
        <v>0</v>
      </c>
      <c r="O38" s="408">
        <v>0</v>
      </c>
      <c r="P38" s="64">
        <f t="shared" si="13"/>
        <v>6585064</v>
      </c>
    </row>
    <row r="39" spans="1:16" ht="183">
      <c r="A39" s="406" t="s">
        <v>267</v>
      </c>
      <c r="B39" s="406" t="s">
        <v>268</v>
      </c>
      <c r="C39" s="406" t="s">
        <v>256</v>
      </c>
      <c r="D39" s="406" t="s">
        <v>269</v>
      </c>
      <c r="E39" s="64">
        <f t="shared" si="15"/>
        <v>34400</v>
      </c>
      <c r="F39" s="407">
        <v>34400</v>
      </c>
      <c r="G39" s="408"/>
      <c r="H39" s="408"/>
      <c r="I39" s="407"/>
      <c r="J39" s="64">
        <f t="shared" si="14"/>
        <v>0</v>
      </c>
      <c r="K39" s="407"/>
      <c r="L39" s="408"/>
      <c r="M39" s="408"/>
      <c r="N39" s="407">
        <f t="shared" si="16"/>
        <v>0</v>
      </c>
      <c r="O39" s="408">
        <v>0</v>
      </c>
      <c r="P39" s="64">
        <f t="shared" si="13"/>
        <v>34400</v>
      </c>
    </row>
    <row r="40" spans="1:16" ht="46.5">
      <c r="A40" s="406" t="s">
        <v>631</v>
      </c>
      <c r="B40" s="406" t="s">
        <v>456</v>
      </c>
      <c r="C40" s="406" t="s">
        <v>457</v>
      </c>
      <c r="D40" s="406" t="s">
        <v>458</v>
      </c>
      <c r="E40" s="64">
        <f>F40</f>
        <v>0</v>
      </c>
      <c r="F40" s="407"/>
      <c r="G40" s="408"/>
      <c r="H40" s="408"/>
      <c r="I40" s="407"/>
      <c r="J40" s="64">
        <f>K40+N40</f>
        <v>13539748</v>
      </c>
      <c r="K40" s="407"/>
      <c r="L40" s="408"/>
      <c r="M40" s="408"/>
      <c r="N40" s="407">
        <f>O40</f>
        <v>13539748</v>
      </c>
      <c r="O40" s="408">
        <f>7165258+6374490</f>
        <v>13539748</v>
      </c>
      <c r="P40" s="64">
        <f>E40+J40</f>
        <v>13539748</v>
      </c>
    </row>
    <row r="41" spans="1:16" ht="46.5">
      <c r="A41" s="406" t="s">
        <v>918</v>
      </c>
      <c r="B41" s="406" t="s">
        <v>79</v>
      </c>
      <c r="C41" s="406" t="s">
        <v>465</v>
      </c>
      <c r="D41" s="406" t="s">
        <v>80</v>
      </c>
      <c r="E41" s="64">
        <f>F41</f>
        <v>8600</v>
      </c>
      <c r="F41" s="407">
        <v>8600</v>
      </c>
      <c r="G41" s="408"/>
      <c r="H41" s="408"/>
      <c r="I41" s="407"/>
      <c r="J41" s="64">
        <f>K41+N41</f>
        <v>0</v>
      </c>
      <c r="K41" s="407"/>
      <c r="L41" s="408"/>
      <c r="M41" s="408"/>
      <c r="N41" s="407"/>
      <c r="O41" s="408"/>
      <c r="P41" s="64">
        <f>E41+J41</f>
        <v>8600</v>
      </c>
    </row>
    <row r="42" spans="1:16" ht="135">
      <c r="A42" s="380" t="s">
        <v>325</v>
      </c>
      <c r="B42" s="380"/>
      <c r="C42" s="380"/>
      <c r="D42" s="380" t="s">
        <v>326</v>
      </c>
      <c r="E42" s="387">
        <f>E43</f>
        <v>30245902</v>
      </c>
      <c r="F42" s="387">
        <f t="shared" ref="F42:P42" si="17">F43</f>
        <v>30245902</v>
      </c>
      <c r="G42" s="387">
        <f t="shared" si="17"/>
        <v>11550000</v>
      </c>
      <c r="H42" s="387">
        <f t="shared" si="17"/>
        <v>1456400</v>
      </c>
      <c r="I42" s="387">
        <f t="shared" si="17"/>
        <v>0</v>
      </c>
      <c r="J42" s="387">
        <f t="shared" si="17"/>
        <v>11165556</v>
      </c>
      <c r="K42" s="387">
        <f t="shared" si="17"/>
        <v>1677800</v>
      </c>
      <c r="L42" s="387">
        <f t="shared" si="17"/>
        <v>690350</v>
      </c>
      <c r="M42" s="387">
        <f t="shared" si="17"/>
        <v>300900</v>
      </c>
      <c r="N42" s="387">
        <f t="shared" si="17"/>
        <v>9487756</v>
      </c>
      <c r="O42" s="386">
        <f t="shared" si="17"/>
        <v>9466256</v>
      </c>
      <c r="P42" s="387">
        <f t="shared" si="17"/>
        <v>41411458</v>
      </c>
    </row>
    <row r="43" spans="1:16" ht="135">
      <c r="A43" s="384" t="s">
        <v>323</v>
      </c>
      <c r="B43" s="384"/>
      <c r="C43" s="384"/>
      <c r="D43" s="384" t="s">
        <v>413</v>
      </c>
      <c r="E43" s="386">
        <f>E44+E46+E49+E50+E53+E55+E58+E61+E62</f>
        <v>30245902</v>
      </c>
      <c r="F43" s="387">
        <f>F44+F46+F49+F50+F53+F55+F58+F61+F62</f>
        <v>30245902</v>
      </c>
      <c r="G43" s="386">
        <f>G44+G46+G49+G50+G53+G55+G58+G61+G62</f>
        <v>11550000</v>
      </c>
      <c r="H43" s="386">
        <f>H44+H46+H49+H50+H53+H55+H58+H61+H62</f>
        <v>1456400</v>
      </c>
      <c r="I43" s="386">
        <f>I44+I46+I49+I50+I53+I55+I58+I61+I62</f>
        <v>0</v>
      </c>
      <c r="J43" s="388">
        <f t="shared" ref="J43:J56" si="18">K43+N43</f>
        <v>11165556</v>
      </c>
      <c r="K43" s="386">
        <f>K44+K46+K49+K50+K53+K55+K58+K61+K62</f>
        <v>1677800</v>
      </c>
      <c r="L43" s="386">
        <f>L44+L46+L49+L50+L53+L55+L58+L61+L62</f>
        <v>690350</v>
      </c>
      <c r="M43" s="386">
        <f>M44+M46+M49+M50+M53+M55+M58+M61+M62</f>
        <v>300900</v>
      </c>
      <c r="N43" s="386">
        <f>N44+N46+N49+N50+N53+N55+N58+N61+N62</f>
        <v>9487756</v>
      </c>
      <c r="O43" s="386">
        <f>O44+O46+O49+O50+O53+O55+O58+O61+O62</f>
        <v>9466256</v>
      </c>
      <c r="P43" s="386">
        <f>E43+J43</f>
        <v>41411458</v>
      </c>
    </row>
    <row r="44" spans="1:16" s="69" customFormat="1" ht="137.25">
      <c r="A44" s="404" t="s">
        <v>491</v>
      </c>
      <c r="B44" s="404" t="s">
        <v>492</v>
      </c>
      <c r="C44" s="404"/>
      <c r="D44" s="404" t="s">
        <v>493</v>
      </c>
      <c r="E44" s="299">
        <f>F44</f>
        <v>2023700</v>
      </c>
      <c r="F44" s="401">
        <f>F45</f>
        <v>2023700</v>
      </c>
      <c r="G44" s="402">
        <f>G45</f>
        <v>1523100</v>
      </c>
      <c r="H44" s="402">
        <f>H45</f>
        <v>63900</v>
      </c>
      <c r="I44" s="401">
        <f>I45</f>
        <v>0</v>
      </c>
      <c r="J44" s="299">
        <f t="shared" si="18"/>
        <v>0</v>
      </c>
      <c r="K44" s="401">
        <f>K45</f>
        <v>0</v>
      </c>
      <c r="L44" s="402">
        <f>L45</f>
        <v>0</v>
      </c>
      <c r="M44" s="402">
        <f>M45</f>
        <v>0</v>
      </c>
      <c r="N44" s="302">
        <f>O44</f>
        <v>0</v>
      </c>
      <c r="O44" s="402">
        <f>O45</f>
        <v>0</v>
      </c>
      <c r="P44" s="64">
        <f>+J44+E44</f>
        <v>2023700</v>
      </c>
    </row>
    <row r="45" spans="1:16" s="69" customFormat="1" ht="91.5">
      <c r="A45" s="304" t="s">
        <v>489</v>
      </c>
      <c r="B45" s="304" t="s">
        <v>490</v>
      </c>
      <c r="C45" s="304" t="s">
        <v>494</v>
      </c>
      <c r="D45" s="304" t="s">
        <v>495</v>
      </c>
      <c r="E45" s="74">
        <f>F45</f>
        <v>2023700</v>
      </c>
      <c r="F45" s="74">
        <f>((1767600-155610+155610)+221000)+28800+6300</f>
        <v>2023700</v>
      </c>
      <c r="G45" s="74">
        <f>((1145198+168102)+181000)+28800</f>
        <v>1523100</v>
      </c>
      <c r="H45" s="74">
        <v>63900</v>
      </c>
      <c r="I45" s="74"/>
      <c r="J45" s="74">
        <f t="shared" si="18"/>
        <v>0</v>
      </c>
      <c r="K45" s="301"/>
      <c r="L45" s="301"/>
      <c r="M45" s="301"/>
      <c r="N45" s="301">
        <f>O45</f>
        <v>0</v>
      </c>
      <c r="O45" s="306"/>
      <c r="P45" s="401">
        <f>+J45+E45</f>
        <v>2023700</v>
      </c>
    </row>
    <row r="46" spans="1:16" s="6" customFormat="1" ht="91.5">
      <c r="A46" s="404" t="s">
        <v>496</v>
      </c>
      <c r="B46" s="404" t="s">
        <v>497</v>
      </c>
      <c r="C46" s="404"/>
      <c r="D46" s="404" t="s">
        <v>357</v>
      </c>
      <c r="E46" s="299">
        <f>F46</f>
        <v>2806200</v>
      </c>
      <c r="F46" s="74">
        <f>F47+F48</f>
        <v>2806200</v>
      </c>
      <c r="G46" s="74">
        <f>G47+G48</f>
        <v>1136100</v>
      </c>
      <c r="H46" s="300">
        <f>H47+H48</f>
        <v>455600</v>
      </c>
      <c r="I46" s="300">
        <f>I47+I48</f>
        <v>0</v>
      </c>
      <c r="J46" s="299">
        <f t="shared" si="18"/>
        <v>320000</v>
      </c>
      <c r="K46" s="74">
        <f>K47+K48</f>
        <v>320000</v>
      </c>
      <c r="L46" s="300">
        <f>L47+L48</f>
        <v>138000</v>
      </c>
      <c r="M46" s="300">
        <f>M47+M48</f>
        <v>76500</v>
      </c>
      <c r="N46" s="302">
        <f t="shared" ref="N46:N57" si="19">O46</f>
        <v>0</v>
      </c>
      <c r="O46" s="300">
        <f>O47+O48</f>
        <v>0</v>
      </c>
      <c r="P46" s="64">
        <f>+J46+E46</f>
        <v>3126200</v>
      </c>
    </row>
    <row r="47" spans="1:16" s="6" customFormat="1" ht="183">
      <c r="A47" s="304" t="s">
        <v>358</v>
      </c>
      <c r="B47" s="304" t="s">
        <v>359</v>
      </c>
      <c r="C47" s="304" t="s">
        <v>494</v>
      </c>
      <c r="D47" s="304" t="s">
        <v>206</v>
      </c>
      <c r="E47" s="74">
        <f>F47</f>
        <v>496000</v>
      </c>
      <c r="F47" s="74">
        <v>496000</v>
      </c>
      <c r="G47" s="74"/>
      <c r="H47" s="74"/>
      <c r="I47" s="74"/>
      <c r="J47" s="74">
        <f t="shared" si="18"/>
        <v>0</v>
      </c>
      <c r="K47" s="301"/>
      <c r="L47" s="301"/>
      <c r="M47" s="301"/>
      <c r="N47" s="301">
        <f t="shared" si="19"/>
        <v>0</v>
      </c>
      <c r="O47" s="301"/>
      <c r="P47" s="401">
        <f>+J47+E47</f>
        <v>496000</v>
      </c>
    </row>
    <row r="48" spans="1:16" s="6" customFormat="1" ht="91.5">
      <c r="A48" s="304" t="s">
        <v>362</v>
      </c>
      <c r="B48" s="304" t="s">
        <v>363</v>
      </c>
      <c r="C48" s="304" t="s">
        <v>494</v>
      </c>
      <c r="D48" s="304" t="s">
        <v>207</v>
      </c>
      <c r="E48" s="74">
        <f>F48</f>
        <v>2310200</v>
      </c>
      <c r="F48" s="74">
        <f>((2168700-191520+191520)+71800)+60700+9000</f>
        <v>2310200</v>
      </c>
      <c r="G48" s="74">
        <f>(937836+137664)+60600</f>
        <v>1136100</v>
      </c>
      <c r="H48" s="74">
        <v>455600</v>
      </c>
      <c r="I48" s="74"/>
      <c r="J48" s="74">
        <f t="shared" si="18"/>
        <v>320000</v>
      </c>
      <c r="K48" s="301">
        <v>320000</v>
      </c>
      <c r="L48" s="301">
        <v>138000</v>
      </c>
      <c r="M48" s="301">
        <v>76500</v>
      </c>
      <c r="N48" s="301">
        <f t="shared" si="19"/>
        <v>0</v>
      </c>
      <c r="O48" s="301"/>
      <c r="P48" s="401">
        <f t="shared" ref="P48:P63" si="20">E48+J48</f>
        <v>2630200</v>
      </c>
    </row>
    <row r="49" spans="1:16" s="6" customFormat="1" ht="46.5">
      <c r="A49" s="404" t="s">
        <v>498</v>
      </c>
      <c r="B49" s="404" t="s">
        <v>499</v>
      </c>
      <c r="C49" s="404" t="s">
        <v>494</v>
      </c>
      <c r="D49" s="404" t="s">
        <v>51</v>
      </c>
      <c r="E49" s="299">
        <f t="shared" ref="E49:E59" si="21">F49</f>
        <v>1055800</v>
      </c>
      <c r="F49" s="74">
        <f>((614800-51870+51870)+371100)+69900</f>
        <v>1055800</v>
      </c>
      <c r="G49" s="300">
        <f>(147106+21594)+64000</f>
        <v>232700</v>
      </c>
      <c r="H49" s="307"/>
      <c r="I49" s="307"/>
      <c r="J49" s="299">
        <f t="shared" si="18"/>
        <v>20900</v>
      </c>
      <c r="K49" s="301">
        <v>20900</v>
      </c>
      <c r="L49" s="302"/>
      <c r="M49" s="302"/>
      <c r="N49" s="302">
        <f t="shared" si="19"/>
        <v>0</v>
      </c>
      <c r="O49" s="402"/>
      <c r="P49" s="64">
        <f t="shared" si="20"/>
        <v>1076700</v>
      </c>
    </row>
    <row r="50" spans="1:16" s="6" customFormat="1" ht="91.5">
      <c r="A50" s="404" t="s">
        <v>500</v>
      </c>
      <c r="B50" s="404" t="s">
        <v>501</v>
      </c>
      <c r="C50" s="404"/>
      <c r="D50" s="404" t="s">
        <v>502</v>
      </c>
      <c r="E50" s="299">
        <f t="shared" si="21"/>
        <v>7934641</v>
      </c>
      <c r="F50" s="74">
        <f>F51+F52</f>
        <v>7934641</v>
      </c>
      <c r="G50" s="74">
        <f>G51+G52</f>
        <v>0</v>
      </c>
      <c r="H50" s="74">
        <f>H51+H52</f>
        <v>0</v>
      </c>
      <c r="I50" s="307"/>
      <c r="J50" s="299">
        <f t="shared" si="18"/>
        <v>0</v>
      </c>
      <c r="K50" s="74">
        <f>K51+K52</f>
        <v>0</v>
      </c>
      <c r="L50" s="302"/>
      <c r="M50" s="302"/>
      <c r="N50" s="302">
        <f t="shared" si="19"/>
        <v>0</v>
      </c>
      <c r="O50" s="300">
        <f>O51+O52</f>
        <v>0</v>
      </c>
      <c r="P50" s="64">
        <f t="shared" si="20"/>
        <v>7934641</v>
      </c>
    </row>
    <row r="51" spans="1:16" s="6" customFormat="1" ht="137.25">
      <c r="A51" s="304" t="s">
        <v>503</v>
      </c>
      <c r="B51" s="304" t="s">
        <v>505</v>
      </c>
      <c r="C51" s="304" t="s">
        <v>506</v>
      </c>
      <c r="D51" s="304" t="s">
        <v>504</v>
      </c>
      <c r="E51" s="74">
        <f t="shared" si="21"/>
        <v>6596101</v>
      </c>
      <c r="F51" s="74">
        <f>((4652400)+1807701)+16000+120000</f>
        <v>6596101</v>
      </c>
      <c r="G51" s="401"/>
      <c r="H51" s="401"/>
      <c r="I51" s="401"/>
      <c r="J51" s="401">
        <f t="shared" si="18"/>
        <v>0</v>
      </c>
      <c r="K51" s="401"/>
      <c r="L51" s="401"/>
      <c r="M51" s="401"/>
      <c r="N51" s="301">
        <f t="shared" si="19"/>
        <v>0</v>
      </c>
      <c r="O51" s="402"/>
      <c r="P51" s="401">
        <f t="shared" si="20"/>
        <v>6596101</v>
      </c>
    </row>
    <row r="52" spans="1:16" s="6" customFormat="1" ht="137.25">
      <c r="A52" s="304" t="s">
        <v>507</v>
      </c>
      <c r="B52" s="304" t="s">
        <v>508</v>
      </c>
      <c r="C52" s="304" t="s">
        <v>506</v>
      </c>
      <c r="D52" s="304" t="s">
        <v>53</v>
      </c>
      <c r="E52" s="74">
        <f t="shared" si="21"/>
        <v>1338540</v>
      </c>
      <c r="F52" s="74">
        <f>(1283300)+55240</f>
        <v>1338540</v>
      </c>
      <c r="G52" s="401"/>
      <c r="H52" s="401"/>
      <c r="I52" s="401"/>
      <c r="J52" s="401">
        <f t="shared" si="18"/>
        <v>0</v>
      </c>
      <c r="K52" s="401"/>
      <c r="L52" s="401"/>
      <c r="M52" s="401"/>
      <c r="N52" s="301">
        <f t="shared" si="19"/>
        <v>0</v>
      </c>
      <c r="O52" s="402"/>
      <c r="P52" s="401">
        <f t="shared" si="20"/>
        <v>1338540</v>
      </c>
    </row>
    <row r="53" spans="1:16" s="69" customFormat="1" ht="137.25">
      <c r="A53" s="404" t="s">
        <v>510</v>
      </c>
      <c r="B53" s="404" t="s">
        <v>511</v>
      </c>
      <c r="C53" s="404"/>
      <c r="D53" s="404" t="s">
        <v>516</v>
      </c>
      <c r="E53" s="299">
        <f t="shared" si="21"/>
        <v>11500</v>
      </c>
      <c r="F53" s="74">
        <f>F54</f>
        <v>11500</v>
      </c>
      <c r="G53" s="300">
        <f>G54</f>
        <v>0</v>
      </c>
      <c r="H53" s="300">
        <f>H54</f>
        <v>0</v>
      </c>
      <c r="I53" s="401"/>
      <c r="J53" s="64">
        <f t="shared" si="18"/>
        <v>0</v>
      </c>
      <c r="K53" s="74">
        <f>K54</f>
        <v>0</v>
      </c>
      <c r="L53" s="300">
        <f>L54</f>
        <v>0</v>
      </c>
      <c r="M53" s="300">
        <f>M54</f>
        <v>0</v>
      </c>
      <c r="N53" s="302">
        <f>N54</f>
        <v>0</v>
      </c>
      <c r="O53" s="300">
        <f>O54</f>
        <v>0</v>
      </c>
      <c r="P53" s="64">
        <f t="shared" si="20"/>
        <v>11500</v>
      </c>
    </row>
    <row r="54" spans="1:16" s="69" customFormat="1" ht="137.25">
      <c r="A54" s="304" t="s">
        <v>512</v>
      </c>
      <c r="B54" s="304" t="s">
        <v>513</v>
      </c>
      <c r="C54" s="304" t="s">
        <v>506</v>
      </c>
      <c r="D54" s="304" t="s">
        <v>52</v>
      </c>
      <c r="E54" s="74">
        <f>F54</f>
        <v>11500</v>
      </c>
      <c r="F54" s="74">
        <v>11500</v>
      </c>
      <c r="G54" s="74"/>
      <c r="H54" s="74"/>
      <c r="I54" s="401"/>
      <c r="J54" s="401">
        <f t="shared" si="18"/>
        <v>0</v>
      </c>
      <c r="K54" s="74"/>
      <c r="L54" s="74"/>
      <c r="M54" s="74"/>
      <c r="N54" s="301">
        <f>N57</f>
        <v>0</v>
      </c>
      <c r="O54" s="74"/>
      <c r="P54" s="401">
        <f t="shared" si="20"/>
        <v>11500</v>
      </c>
    </row>
    <row r="55" spans="1:16" s="69" customFormat="1" ht="91.5">
      <c r="A55" s="404" t="s">
        <v>365</v>
      </c>
      <c r="B55" s="404" t="s">
        <v>366</v>
      </c>
      <c r="C55" s="404"/>
      <c r="D55" s="404" t="s">
        <v>367</v>
      </c>
      <c r="E55" s="299">
        <f t="shared" si="21"/>
        <v>15691991</v>
      </c>
      <c r="F55" s="74">
        <f>F56+F57</f>
        <v>15691991</v>
      </c>
      <c r="G55" s="300">
        <f>G56+G57</f>
        <v>8400100</v>
      </c>
      <c r="H55" s="300">
        <f>H56+H57</f>
        <v>936900</v>
      </c>
      <c r="I55" s="300">
        <f>I56+I57</f>
        <v>0</v>
      </c>
      <c r="J55" s="64">
        <f t="shared" si="18"/>
        <v>9880400</v>
      </c>
      <c r="K55" s="74">
        <f>K56+K57</f>
        <v>1336900</v>
      </c>
      <c r="L55" s="300">
        <f>L56+L57</f>
        <v>552350</v>
      </c>
      <c r="M55" s="300">
        <f>M56+M57</f>
        <v>224400</v>
      </c>
      <c r="N55" s="302">
        <f>N56+N57</f>
        <v>8543500</v>
      </c>
      <c r="O55" s="74">
        <f>O56+O57</f>
        <v>8522000</v>
      </c>
      <c r="P55" s="64">
        <f t="shared" si="20"/>
        <v>25572391</v>
      </c>
    </row>
    <row r="56" spans="1:16" s="6" customFormat="1" ht="183">
      <c r="A56" s="304" t="s">
        <v>364</v>
      </c>
      <c r="B56" s="304" t="s">
        <v>368</v>
      </c>
      <c r="C56" s="304" t="s">
        <v>506</v>
      </c>
      <c r="D56" s="304" t="s">
        <v>514</v>
      </c>
      <c r="E56" s="74">
        <f t="shared" si="21"/>
        <v>13024291</v>
      </c>
      <c r="F56" s="74">
        <f>(((10803700-1730492+1730492)+228500)+1570321-292800)+166000+37200+22500+24800+109880+105600+23100+17800+32500+9990+133700+29500+2000</f>
        <v>13024291</v>
      </c>
      <c r="G56" s="74">
        <f>(((5650240+1412560)+187300)+986300-60600-181000)+166000+105600+133700</f>
        <v>8400100</v>
      </c>
      <c r="H56" s="74">
        <v>936900</v>
      </c>
      <c r="I56" s="74"/>
      <c r="J56" s="74">
        <f t="shared" si="18"/>
        <v>9880400</v>
      </c>
      <c r="K56" s="74">
        <f>1316900+20000</f>
        <v>1336900</v>
      </c>
      <c r="L56" s="74">
        <v>552350</v>
      </c>
      <c r="M56" s="74">
        <v>224400</v>
      </c>
      <c r="N56" s="301">
        <f>O56+21500</f>
        <v>8543500</v>
      </c>
      <c r="O56" s="300">
        <f>(((4628400+1500000)+724600)+2807300)+135000+145900+60000-69400-1409800</f>
        <v>8522000</v>
      </c>
      <c r="P56" s="401">
        <f t="shared" si="20"/>
        <v>22904691</v>
      </c>
    </row>
    <row r="57" spans="1:16" s="6" customFormat="1" ht="183">
      <c r="A57" s="304" t="s">
        <v>369</v>
      </c>
      <c r="B57" s="304" t="s">
        <v>370</v>
      </c>
      <c r="C57" s="304" t="s">
        <v>506</v>
      </c>
      <c r="D57" s="304" t="s">
        <v>515</v>
      </c>
      <c r="E57" s="74">
        <f t="shared" si="21"/>
        <v>2667700</v>
      </c>
      <c r="F57" s="74">
        <f>((2103000)+414900)+69800+80000</f>
        <v>2667700</v>
      </c>
      <c r="G57" s="74"/>
      <c r="H57" s="74"/>
      <c r="I57" s="74"/>
      <c r="J57" s="74"/>
      <c r="K57" s="74"/>
      <c r="L57" s="74"/>
      <c r="M57" s="74"/>
      <c r="N57" s="301">
        <f t="shared" si="19"/>
        <v>0</v>
      </c>
      <c r="O57" s="300"/>
      <c r="P57" s="401">
        <f t="shared" si="20"/>
        <v>2667700</v>
      </c>
    </row>
    <row r="58" spans="1:16" ht="91.5">
      <c r="A58" s="404" t="s">
        <v>517</v>
      </c>
      <c r="B58" s="404" t="s">
        <v>518</v>
      </c>
      <c r="C58" s="404"/>
      <c r="D58" s="404" t="s">
        <v>371</v>
      </c>
      <c r="E58" s="299">
        <f t="shared" si="21"/>
        <v>696700</v>
      </c>
      <c r="F58" s="74">
        <f>F59+F60</f>
        <v>696700</v>
      </c>
      <c r="G58" s="300">
        <f>G59+G60</f>
        <v>258000</v>
      </c>
      <c r="H58" s="300">
        <f>H59+H60</f>
        <v>0</v>
      </c>
      <c r="I58" s="300">
        <f>I59+I60</f>
        <v>0</v>
      </c>
      <c r="J58" s="64">
        <f t="shared" ref="J58:J63" si="22">K58+N58</f>
        <v>37500</v>
      </c>
      <c r="K58" s="74">
        <f>K59+K60</f>
        <v>0</v>
      </c>
      <c r="L58" s="300">
        <f>L59+L60</f>
        <v>0</v>
      </c>
      <c r="M58" s="300">
        <f>M59+M60</f>
        <v>0</v>
      </c>
      <c r="N58" s="302">
        <f>N59+N60</f>
        <v>37500</v>
      </c>
      <c r="O58" s="402">
        <f>O59+O60</f>
        <v>37500</v>
      </c>
      <c r="P58" s="64">
        <f t="shared" si="20"/>
        <v>734200</v>
      </c>
    </row>
    <row r="59" spans="1:16" ht="274.5">
      <c r="A59" s="308" t="s">
        <v>372</v>
      </c>
      <c r="B59" s="308" t="s">
        <v>373</v>
      </c>
      <c r="C59" s="308" t="s">
        <v>506</v>
      </c>
      <c r="D59" s="304" t="s">
        <v>374</v>
      </c>
      <c r="E59" s="74">
        <f t="shared" si="21"/>
        <v>272300</v>
      </c>
      <c r="F59" s="74">
        <v>272300</v>
      </c>
      <c r="G59" s="401"/>
      <c r="H59" s="401"/>
      <c r="I59" s="401"/>
      <c r="J59" s="401">
        <f>K59+N59</f>
        <v>0</v>
      </c>
      <c r="K59" s="401"/>
      <c r="L59" s="401"/>
      <c r="M59" s="401"/>
      <c r="N59" s="301">
        <f>O59</f>
        <v>0</v>
      </c>
      <c r="O59" s="401"/>
      <c r="P59" s="401">
        <f t="shared" si="20"/>
        <v>272300</v>
      </c>
    </row>
    <row r="60" spans="1:16" ht="91.5">
      <c r="A60" s="308" t="s">
        <v>375</v>
      </c>
      <c r="B60" s="308" t="s">
        <v>376</v>
      </c>
      <c r="C60" s="308" t="s">
        <v>506</v>
      </c>
      <c r="D60" s="304" t="s">
        <v>377</v>
      </c>
      <c r="E60" s="74">
        <f>F60</f>
        <v>424400</v>
      </c>
      <c r="F60" s="74">
        <f>(384400-60908+60908)+40000</f>
        <v>424400</v>
      </c>
      <c r="G60" s="401">
        <f>206400+51600</f>
        <v>258000</v>
      </c>
      <c r="H60" s="401"/>
      <c r="I60" s="401"/>
      <c r="J60" s="401">
        <f t="shared" si="22"/>
        <v>37500</v>
      </c>
      <c r="K60" s="401"/>
      <c r="L60" s="401"/>
      <c r="M60" s="401"/>
      <c r="N60" s="301">
        <f>O60</f>
        <v>37500</v>
      </c>
      <c r="O60" s="401">
        <v>37500</v>
      </c>
      <c r="P60" s="401">
        <f t="shared" si="20"/>
        <v>461900</v>
      </c>
    </row>
    <row r="61" spans="1:16" ht="91.5">
      <c r="A61" s="311" t="s">
        <v>624</v>
      </c>
      <c r="B61" s="311" t="s">
        <v>403</v>
      </c>
      <c r="C61" s="311" t="s">
        <v>401</v>
      </c>
      <c r="D61" s="404" t="s">
        <v>404</v>
      </c>
      <c r="E61" s="299">
        <f>F61</f>
        <v>0</v>
      </c>
      <c r="F61" s="74"/>
      <c r="G61" s="300"/>
      <c r="H61" s="300"/>
      <c r="I61" s="300"/>
      <c r="J61" s="64">
        <f t="shared" si="22"/>
        <v>906756</v>
      </c>
      <c r="K61" s="74"/>
      <c r="L61" s="300"/>
      <c r="M61" s="300"/>
      <c r="N61" s="302">
        <f>O61</f>
        <v>906756</v>
      </c>
      <c r="O61" s="402">
        <f>((771200)+135556)</f>
        <v>906756</v>
      </c>
      <c r="P61" s="64">
        <f t="shared" si="20"/>
        <v>906756</v>
      </c>
    </row>
    <row r="62" spans="1:16" ht="228.75">
      <c r="A62" s="309" t="s">
        <v>523</v>
      </c>
      <c r="B62" s="309" t="s">
        <v>520</v>
      </c>
      <c r="C62" s="309"/>
      <c r="D62" s="310" t="s">
        <v>521</v>
      </c>
      <c r="E62" s="299">
        <f>F62</f>
        <v>25370</v>
      </c>
      <c r="F62" s="74">
        <f>F63</f>
        <v>25370</v>
      </c>
      <c r="G62" s="74"/>
      <c r="H62" s="74"/>
      <c r="I62" s="300"/>
      <c r="J62" s="64">
        <f t="shared" si="22"/>
        <v>0</v>
      </c>
      <c r="K62" s="74"/>
      <c r="L62" s="300"/>
      <c r="M62" s="300"/>
      <c r="N62" s="302">
        <f>O62</f>
        <v>0</v>
      </c>
      <c r="O62" s="402">
        <f>O63</f>
        <v>0</v>
      </c>
      <c r="P62" s="64">
        <f t="shared" si="20"/>
        <v>25370</v>
      </c>
    </row>
    <row r="63" spans="1:16" ht="274.5">
      <c r="A63" s="311" t="s">
        <v>625</v>
      </c>
      <c r="B63" s="311" t="s">
        <v>626</v>
      </c>
      <c r="C63" s="311" t="s">
        <v>522</v>
      </c>
      <c r="D63" s="404" t="s">
        <v>627</v>
      </c>
      <c r="E63" s="74">
        <f>F63</f>
        <v>25370</v>
      </c>
      <c r="F63" s="74">
        <f>(7370)+18000</f>
        <v>25370</v>
      </c>
      <c r="G63" s="74"/>
      <c r="H63" s="74"/>
      <c r="I63" s="74"/>
      <c r="J63" s="401">
        <f t="shared" si="22"/>
        <v>0</v>
      </c>
      <c r="K63" s="74"/>
      <c r="L63" s="74"/>
      <c r="M63" s="74"/>
      <c r="N63" s="301">
        <f>O63</f>
        <v>0</v>
      </c>
      <c r="O63" s="401"/>
      <c r="P63" s="401">
        <f t="shared" si="20"/>
        <v>25370</v>
      </c>
    </row>
    <row r="64" spans="1:16" ht="135" customHeight="1">
      <c r="A64" s="393" t="s">
        <v>288</v>
      </c>
      <c r="B64" s="392"/>
      <c r="C64" s="392"/>
      <c r="D64" s="381" t="s">
        <v>286</v>
      </c>
      <c r="E64" s="388">
        <f>E65</f>
        <v>310355627.06</v>
      </c>
      <c r="F64" s="391">
        <f t="shared" ref="F64:P64" si="23">F65</f>
        <v>310355627.06</v>
      </c>
      <c r="G64" s="388">
        <f t="shared" si="23"/>
        <v>971291</v>
      </c>
      <c r="H64" s="388">
        <f t="shared" si="23"/>
        <v>105400</v>
      </c>
      <c r="I64" s="391">
        <f t="shared" si="23"/>
        <v>0</v>
      </c>
      <c r="J64" s="388">
        <f t="shared" si="23"/>
        <v>35205121.939999998</v>
      </c>
      <c r="K64" s="391">
        <f t="shared" si="23"/>
        <v>15518010</v>
      </c>
      <c r="L64" s="388">
        <f t="shared" si="23"/>
        <v>96400</v>
      </c>
      <c r="M64" s="388">
        <f t="shared" si="23"/>
        <v>30000</v>
      </c>
      <c r="N64" s="391">
        <f t="shared" si="23"/>
        <v>19687111.940000001</v>
      </c>
      <c r="O64" s="388">
        <f t="shared" si="23"/>
        <v>19432111.940000001</v>
      </c>
      <c r="P64" s="388">
        <f t="shared" si="23"/>
        <v>345560749</v>
      </c>
    </row>
    <row r="65" spans="1:18" ht="135" customHeight="1">
      <c r="A65" s="380" t="s">
        <v>289</v>
      </c>
      <c r="B65" s="380"/>
      <c r="C65" s="380"/>
      <c r="D65" s="385" t="s">
        <v>414</v>
      </c>
      <c r="E65" s="386">
        <f>E66+E67+E68+E69+E71+E70+E73</f>
        <v>310355627.06</v>
      </c>
      <c r="F65" s="387">
        <f>F66+F67+F68+F69+F71+F70+F73</f>
        <v>310355627.06</v>
      </c>
      <c r="G65" s="386">
        <f>G66+G67+G68+G69+G71+G70+G73</f>
        <v>971291</v>
      </c>
      <c r="H65" s="386">
        <f>H66+H67+H68+H69+H71+H70+H73</f>
        <v>105400</v>
      </c>
      <c r="I65" s="387">
        <v>0</v>
      </c>
      <c r="J65" s="386">
        <f t="shared" ref="J65:J73" si="24">K65+N65</f>
        <v>35205121.939999998</v>
      </c>
      <c r="K65" s="386">
        <f>K66+K67+K68+K69+K71+K70+K73</f>
        <v>15518010</v>
      </c>
      <c r="L65" s="386">
        <f>L66+L67+L68+L69+L71+L70+L73</f>
        <v>96400</v>
      </c>
      <c r="M65" s="386">
        <f>M66+M67+M68+M69+M71+M70+M73</f>
        <v>30000</v>
      </c>
      <c r="N65" s="386">
        <f>N66+N67+N68+N69+N71+N70+N73</f>
        <v>19687111.940000001</v>
      </c>
      <c r="O65" s="386">
        <f>O66+O67+O68+O69+O71+O70+O73</f>
        <v>19432111.940000001</v>
      </c>
      <c r="P65" s="386">
        <f t="shared" ref="P65:P73" si="25">E65+J65</f>
        <v>345560749</v>
      </c>
    </row>
    <row r="66" spans="1:18" ht="91.5" customHeight="1">
      <c r="A66" s="411" t="s">
        <v>290</v>
      </c>
      <c r="B66" s="411" t="s">
        <v>291</v>
      </c>
      <c r="C66" s="411" t="s">
        <v>292</v>
      </c>
      <c r="D66" s="411" t="s">
        <v>293</v>
      </c>
      <c r="E66" s="64">
        <f>F66</f>
        <v>150275931</v>
      </c>
      <c r="F66" s="409">
        <f>((146493110)+1053200)+1995000+425000+425000+90000-2000000-50000-405200-89000-20000+100000+258821+2000000</f>
        <v>150275931</v>
      </c>
      <c r="G66" s="410"/>
      <c r="H66" s="410"/>
      <c r="I66" s="409"/>
      <c r="J66" s="64">
        <f t="shared" si="24"/>
        <v>18967011.940000001</v>
      </c>
      <c r="K66" s="409">
        <v>6410310</v>
      </c>
      <c r="L66" s="410"/>
      <c r="M66" s="410"/>
      <c r="N66" s="409">
        <f>O66</f>
        <v>12556701.940000001</v>
      </c>
      <c r="O66" s="410">
        <f>(((7360100+1530000-1000000)+1492900+342076)+3143000)+334600-112500-6455.63-59942.2-465995.28-1080.95</f>
        <v>12556701.940000001</v>
      </c>
      <c r="P66" s="64">
        <f t="shared" si="25"/>
        <v>169242942.94</v>
      </c>
    </row>
    <row r="67" spans="1:18" ht="137.25" customHeight="1">
      <c r="A67" s="411" t="s">
        <v>294</v>
      </c>
      <c r="B67" s="411" t="s">
        <v>295</v>
      </c>
      <c r="C67" s="411" t="s">
        <v>296</v>
      </c>
      <c r="D67" s="411" t="s">
        <v>297</v>
      </c>
      <c r="E67" s="64">
        <f t="shared" ref="E67:E73" si="26">F67</f>
        <v>44587400</v>
      </c>
      <c r="F67" s="409">
        <f>((37617492+5117908)+100000)+1854000+398000-450000-100000+50000</f>
        <v>44587400</v>
      </c>
      <c r="G67" s="410"/>
      <c r="H67" s="410"/>
      <c r="I67" s="409"/>
      <c r="J67" s="64">
        <f t="shared" si="24"/>
        <v>1481960</v>
      </c>
      <c r="K67" s="409">
        <v>749960</v>
      </c>
      <c r="L67" s="410"/>
      <c r="M67" s="410"/>
      <c r="N67" s="409">
        <f t="shared" ref="N67:N73" si="27">O67</f>
        <v>732000</v>
      </c>
      <c r="O67" s="410">
        <f>(500000)+232000</f>
        <v>732000</v>
      </c>
      <c r="P67" s="64">
        <f t="shared" si="25"/>
        <v>46069360</v>
      </c>
    </row>
    <row r="68" spans="1:18" ht="91.5">
      <c r="A68" s="411" t="s">
        <v>298</v>
      </c>
      <c r="B68" s="411" t="s">
        <v>299</v>
      </c>
      <c r="C68" s="411" t="s">
        <v>300</v>
      </c>
      <c r="D68" s="411" t="s">
        <v>301</v>
      </c>
      <c r="E68" s="64">
        <f t="shared" si="26"/>
        <v>50377000</v>
      </c>
      <c r="F68" s="409">
        <f>((49010900)+1176400)+285200+33000+89700+19300+407900+87700-592700-130400-10000</f>
        <v>50377000</v>
      </c>
      <c r="G68" s="410"/>
      <c r="H68" s="410"/>
      <c r="I68" s="409"/>
      <c r="J68" s="64">
        <f t="shared" si="24"/>
        <v>6438790</v>
      </c>
      <c r="K68" s="409">
        <v>4504340</v>
      </c>
      <c r="L68" s="410"/>
      <c r="M68" s="410"/>
      <c r="N68" s="409">
        <f>O68+225000</f>
        <v>1934450</v>
      </c>
      <c r="O68" s="410">
        <f>((168000)+1638000)+28500-125050</f>
        <v>1709450</v>
      </c>
      <c r="P68" s="64">
        <f t="shared" si="25"/>
        <v>56815790</v>
      </c>
    </row>
    <row r="69" spans="1:18" ht="91.5">
      <c r="A69" s="411" t="s">
        <v>302</v>
      </c>
      <c r="B69" s="411" t="s">
        <v>303</v>
      </c>
      <c r="C69" s="411" t="s">
        <v>304</v>
      </c>
      <c r="D69" s="411" t="s">
        <v>305</v>
      </c>
      <c r="E69" s="64">
        <f t="shared" si="26"/>
        <v>9429700</v>
      </c>
      <c r="F69" s="409">
        <f>((7797259+930241)+500000)+207100+45100-50000</f>
        <v>9429700</v>
      </c>
      <c r="G69" s="410"/>
      <c r="H69" s="410"/>
      <c r="I69" s="409"/>
      <c r="J69" s="64">
        <f t="shared" si="24"/>
        <v>3805900</v>
      </c>
      <c r="K69" s="409">
        <v>3677400</v>
      </c>
      <c r="L69" s="410"/>
      <c r="M69" s="410"/>
      <c r="N69" s="409">
        <f>O69+30000</f>
        <v>128500</v>
      </c>
      <c r="O69" s="410">
        <f>98500</f>
        <v>98500</v>
      </c>
      <c r="P69" s="64">
        <f t="shared" si="25"/>
        <v>13235600</v>
      </c>
    </row>
    <row r="70" spans="1:18" ht="91.5">
      <c r="A70" s="411" t="s">
        <v>306</v>
      </c>
      <c r="B70" s="411" t="s">
        <v>307</v>
      </c>
      <c r="C70" s="411" t="s">
        <v>308</v>
      </c>
      <c r="D70" s="411" t="s">
        <v>309</v>
      </c>
      <c r="E70" s="64">
        <f t="shared" si="26"/>
        <v>53578836.060000002</v>
      </c>
      <c r="F70" s="409">
        <f>(49680950)+1916700+414800+1651400+357200-342213.94-100000</f>
        <v>53578836.060000002</v>
      </c>
      <c r="G70" s="410"/>
      <c r="H70" s="410"/>
      <c r="I70" s="409"/>
      <c r="J70" s="64">
        <f t="shared" si="24"/>
        <v>4093900</v>
      </c>
      <c r="K70" s="409"/>
      <c r="L70" s="410"/>
      <c r="M70" s="410"/>
      <c r="N70" s="409">
        <f t="shared" si="27"/>
        <v>4093900</v>
      </c>
      <c r="O70" s="410">
        <f>(2033900)+2060000</f>
        <v>4093900</v>
      </c>
      <c r="P70" s="64">
        <f t="shared" si="25"/>
        <v>57672736.060000002</v>
      </c>
    </row>
    <row r="71" spans="1:18" ht="274.5" customHeight="1">
      <c r="A71" s="487" t="s">
        <v>310</v>
      </c>
      <c r="B71" s="486" t="s">
        <v>311</v>
      </c>
      <c r="C71" s="486" t="s">
        <v>312</v>
      </c>
      <c r="D71" s="411" t="s">
        <v>577</v>
      </c>
      <c r="E71" s="64">
        <f t="shared" si="26"/>
        <v>1706760</v>
      </c>
      <c r="F71" s="409">
        <f>((1315291+155609)+220000)+13000+2860</f>
        <v>1706760</v>
      </c>
      <c r="G71" s="410">
        <f>(734698+123593)+100000+13000</f>
        <v>971291</v>
      </c>
      <c r="H71" s="410">
        <v>105400</v>
      </c>
      <c r="I71" s="409"/>
      <c r="J71" s="64">
        <f t="shared" si="24"/>
        <v>204000</v>
      </c>
      <c r="K71" s="409">
        <v>176000</v>
      </c>
      <c r="L71" s="410">
        <f>(80000)+16400</f>
        <v>96400</v>
      </c>
      <c r="M71" s="410">
        <v>30000</v>
      </c>
      <c r="N71" s="409">
        <f t="shared" si="27"/>
        <v>28000</v>
      </c>
      <c r="O71" s="410">
        <f>28000</f>
        <v>28000</v>
      </c>
      <c r="P71" s="64">
        <f t="shared" si="25"/>
        <v>1910760</v>
      </c>
    </row>
    <row r="72" spans="1:18" ht="137.25" customHeight="1">
      <c r="A72" s="495"/>
      <c r="B72" s="494"/>
      <c r="C72" s="494"/>
      <c r="D72" s="305" t="s">
        <v>46</v>
      </c>
      <c r="E72" s="64">
        <f t="shared" si="26"/>
        <v>200000</v>
      </c>
      <c r="F72" s="409">
        <v>200000</v>
      </c>
      <c r="G72" s="410"/>
      <c r="H72" s="410"/>
      <c r="I72" s="409"/>
      <c r="J72" s="64">
        <f t="shared" si="24"/>
        <v>0</v>
      </c>
      <c r="K72" s="409"/>
      <c r="L72" s="410"/>
      <c r="M72" s="410"/>
      <c r="N72" s="409">
        <f t="shared" si="27"/>
        <v>0</v>
      </c>
      <c r="O72" s="410"/>
      <c r="P72" s="64">
        <f t="shared" si="25"/>
        <v>200000</v>
      </c>
    </row>
    <row r="73" spans="1:18" ht="46.5">
      <c r="A73" s="413">
        <v>1418800</v>
      </c>
      <c r="B73" s="411" t="s">
        <v>628</v>
      </c>
      <c r="C73" s="411" t="s">
        <v>466</v>
      </c>
      <c r="D73" s="305" t="s">
        <v>629</v>
      </c>
      <c r="E73" s="64">
        <f t="shared" si="26"/>
        <v>400000</v>
      </c>
      <c r="F73" s="409">
        <f>(300000)+100000</f>
        <v>400000</v>
      </c>
      <c r="G73" s="410"/>
      <c r="H73" s="64"/>
      <c r="I73" s="64"/>
      <c r="J73" s="64">
        <f t="shared" si="24"/>
        <v>213560</v>
      </c>
      <c r="K73" s="64"/>
      <c r="L73" s="64"/>
      <c r="M73" s="64"/>
      <c r="N73" s="410">
        <f t="shared" si="27"/>
        <v>213560</v>
      </c>
      <c r="O73" s="410">
        <v>213560</v>
      </c>
      <c r="P73" s="64">
        <f t="shared" si="25"/>
        <v>613560</v>
      </c>
    </row>
    <row r="74" spans="1:18" ht="180">
      <c r="A74" s="380" t="s">
        <v>331</v>
      </c>
      <c r="B74" s="380"/>
      <c r="C74" s="380"/>
      <c r="D74" s="381" t="s">
        <v>415</v>
      </c>
      <c r="E74" s="387">
        <f>E75</f>
        <v>808929914.42999995</v>
      </c>
      <c r="F74" s="387">
        <f>F75</f>
        <v>808929914.42999995</v>
      </c>
      <c r="G74" s="387">
        <f>G75</f>
        <v>10451256</v>
      </c>
      <c r="H74" s="387">
        <f t="shared" ref="H74:O74" si="28">H75</f>
        <v>784500</v>
      </c>
      <c r="I74" s="387">
        <f t="shared" si="28"/>
        <v>0</v>
      </c>
      <c r="J74" s="387">
        <f t="shared" si="28"/>
        <v>7579071.1799999997</v>
      </c>
      <c r="K74" s="387">
        <f t="shared" si="28"/>
        <v>94000</v>
      </c>
      <c r="L74" s="387">
        <f t="shared" si="28"/>
        <v>50000</v>
      </c>
      <c r="M74" s="387">
        <f t="shared" si="28"/>
        <v>4000</v>
      </c>
      <c r="N74" s="387">
        <f t="shared" si="28"/>
        <v>7485071.1799999997</v>
      </c>
      <c r="O74" s="386">
        <f t="shared" si="28"/>
        <v>7485071.1799999997</v>
      </c>
      <c r="P74" s="386">
        <f>P75</f>
        <v>816508985.6099999</v>
      </c>
    </row>
    <row r="75" spans="1:18" ht="180">
      <c r="A75" s="384" t="s">
        <v>332</v>
      </c>
      <c r="B75" s="384"/>
      <c r="C75" s="384"/>
      <c r="D75" s="385" t="s">
        <v>416</v>
      </c>
      <c r="E75" s="386">
        <f>E125+E118+E130+E131+E121+E105+E116+E95+E77+E91+E76+E115+E117</f>
        <v>808929914.42999995</v>
      </c>
      <c r="F75" s="387">
        <f>F125+F118+F130+F131+F121+F105+F116+F95+F77+F91+F76+F115+F117</f>
        <v>808929914.42999995</v>
      </c>
      <c r="G75" s="386">
        <f>G125+G118+G130+G131+G121+G105+G116+G95+G77+G91+G76+G115+G117</f>
        <v>10451256</v>
      </c>
      <c r="H75" s="386">
        <f>H125+H118+H130+H131+H121+H105+H116+H95+H77+H91+H76+H115+H117</f>
        <v>784500</v>
      </c>
      <c r="I75" s="387">
        <v>0</v>
      </c>
      <c r="J75" s="386">
        <f>K75+N75</f>
        <v>7579071.1799999997</v>
      </c>
      <c r="K75" s="387">
        <f>K125+K118+K130+K131+K121+K105+K116+K95+K77+K91+K76+K115+K117+K132</f>
        <v>94000</v>
      </c>
      <c r="L75" s="386">
        <f>L125+L118+L130+L131+L121+L105+L116+L95+L77+L91+L76+L115+L117</f>
        <v>50000</v>
      </c>
      <c r="M75" s="386">
        <f>M125+M118+M130+M131+M121+M105+M116+M95+M77+M91+M76+M115+M117</f>
        <v>4000</v>
      </c>
      <c r="N75" s="387">
        <f>N125+N118+N130+N131+N121+N105+N116+N95+N77+N91+N76+N115+N117+N127+N132</f>
        <v>7485071.1799999997</v>
      </c>
      <c r="O75" s="386">
        <f>O125+O118+O130+O131+O121+O105+O116+O95+O77+O91+O76+O115+O117+O127+O132</f>
        <v>7485071.1799999997</v>
      </c>
      <c r="P75" s="386">
        <f>E75+J75</f>
        <v>816508985.6099999</v>
      </c>
      <c r="Q75" s="17"/>
      <c r="R75" s="18"/>
    </row>
    <row r="76" spans="1:18" ht="320.25">
      <c r="A76" s="404" t="s">
        <v>164</v>
      </c>
      <c r="B76" s="404" t="s">
        <v>522</v>
      </c>
      <c r="C76" s="404" t="s">
        <v>234</v>
      </c>
      <c r="D76" s="312" t="s">
        <v>165</v>
      </c>
      <c r="E76" s="64">
        <f>F76</f>
        <v>873280</v>
      </c>
      <c r="F76" s="401">
        <v>873280</v>
      </c>
      <c r="G76" s="402"/>
      <c r="H76" s="402"/>
      <c r="I76" s="401"/>
      <c r="J76" s="64">
        <f>K76+N76</f>
        <v>0</v>
      </c>
      <c r="K76" s="401"/>
      <c r="L76" s="402"/>
      <c r="M76" s="402"/>
      <c r="N76" s="401">
        <f>O76</f>
        <v>0</v>
      </c>
      <c r="O76" s="402"/>
      <c r="P76" s="64">
        <f>E76+J76</f>
        <v>873280</v>
      </c>
      <c r="Q76" s="17"/>
      <c r="R76" s="18"/>
    </row>
    <row r="77" spans="1:18" ht="320.25">
      <c r="A77" s="400" t="s">
        <v>100</v>
      </c>
      <c r="B77" s="400" t="s">
        <v>101</v>
      </c>
      <c r="C77" s="400"/>
      <c r="D77" s="400" t="s">
        <v>102</v>
      </c>
      <c r="E77" s="64">
        <f>F77</f>
        <v>405946266.62</v>
      </c>
      <c r="F77" s="401">
        <f>F78+F81+F88+F89+F90</f>
        <v>405946266.62</v>
      </c>
      <c r="G77" s="402">
        <f>G78+G81+G88+G89+G90</f>
        <v>0</v>
      </c>
      <c r="H77" s="402">
        <f>H78+H81+H88+H89+H90</f>
        <v>0</v>
      </c>
      <c r="I77" s="401">
        <f>I78+I81+I88+I89+I90</f>
        <v>0</v>
      </c>
      <c r="J77" s="64">
        <f>K77+N77</f>
        <v>0</v>
      </c>
      <c r="K77" s="401">
        <f>K78+K81+K88+K89+K90</f>
        <v>0</v>
      </c>
      <c r="L77" s="402">
        <f>L78+L81+L88+L89+L90</f>
        <v>0</v>
      </c>
      <c r="M77" s="402">
        <f>M78+M81+M88+M89+M90</f>
        <v>0</v>
      </c>
      <c r="N77" s="401">
        <f>N78+N81+N88+N89+N90</f>
        <v>0</v>
      </c>
      <c r="O77" s="402">
        <f>O78+O81+O88+O89+O90</f>
        <v>0</v>
      </c>
      <c r="P77" s="64">
        <f>E77+J77</f>
        <v>405946266.62</v>
      </c>
      <c r="Q77" s="17"/>
      <c r="R77" s="18"/>
    </row>
    <row r="78" spans="1:18" ht="409.5">
      <c r="A78" s="500" t="s">
        <v>103</v>
      </c>
      <c r="B78" s="500" t="s">
        <v>104</v>
      </c>
      <c r="C78" s="500" t="s">
        <v>241</v>
      </c>
      <c r="D78" s="313" t="s">
        <v>105</v>
      </c>
      <c r="E78" s="481">
        <f>F78</f>
        <v>37915860.689999998</v>
      </c>
      <c r="F78" s="481">
        <v>37915860.689999998</v>
      </c>
      <c r="G78" s="481"/>
      <c r="H78" s="481"/>
      <c r="I78" s="481"/>
      <c r="J78" s="481">
        <f>K78+N78</f>
        <v>0</v>
      </c>
      <c r="K78" s="481"/>
      <c r="L78" s="481"/>
      <c r="M78" s="481"/>
      <c r="N78" s="481">
        <f>O78</f>
        <v>0</v>
      </c>
      <c r="O78" s="484"/>
      <c r="P78" s="481">
        <f>E78+J78</f>
        <v>37915860.689999998</v>
      </c>
      <c r="Q78" s="17"/>
      <c r="R78" s="18"/>
    </row>
    <row r="79" spans="1:18" ht="366">
      <c r="A79" s="489"/>
      <c r="B79" s="489"/>
      <c r="C79" s="489"/>
      <c r="D79" s="314" t="s">
        <v>215</v>
      </c>
      <c r="E79" s="489"/>
      <c r="F79" s="489"/>
      <c r="G79" s="489"/>
      <c r="H79" s="489"/>
      <c r="I79" s="489"/>
      <c r="J79" s="489"/>
      <c r="K79" s="489"/>
      <c r="L79" s="489"/>
      <c r="M79" s="489"/>
      <c r="N79" s="489"/>
      <c r="O79" s="517"/>
      <c r="P79" s="489"/>
      <c r="Q79" s="17"/>
      <c r="R79" s="18"/>
    </row>
    <row r="80" spans="1:18" ht="274.5">
      <c r="A80" s="490"/>
      <c r="B80" s="490"/>
      <c r="C80" s="490"/>
      <c r="D80" s="315" t="s">
        <v>216</v>
      </c>
      <c r="E80" s="490"/>
      <c r="F80" s="490"/>
      <c r="G80" s="490"/>
      <c r="H80" s="490"/>
      <c r="I80" s="490"/>
      <c r="J80" s="490"/>
      <c r="K80" s="490"/>
      <c r="L80" s="490"/>
      <c r="M80" s="490"/>
      <c r="N80" s="490"/>
      <c r="O80" s="494"/>
      <c r="P80" s="490"/>
      <c r="Q80" s="17"/>
      <c r="R80" s="18"/>
    </row>
    <row r="81" spans="1:18" ht="409.5">
      <c r="A81" s="504" t="s">
        <v>106</v>
      </c>
      <c r="B81" s="500" t="s">
        <v>107</v>
      </c>
      <c r="C81" s="500" t="s">
        <v>241</v>
      </c>
      <c r="D81" s="316" t="s">
        <v>205</v>
      </c>
      <c r="E81" s="513">
        <f>F81</f>
        <v>11286371.800000001</v>
      </c>
      <c r="F81" s="503">
        <v>11286371.800000001</v>
      </c>
      <c r="G81" s="503"/>
      <c r="H81" s="503"/>
      <c r="I81" s="503"/>
      <c r="J81" s="503"/>
      <c r="K81" s="503"/>
      <c r="L81" s="503"/>
      <c r="M81" s="503"/>
      <c r="N81" s="503">
        <f>O81</f>
        <v>0</v>
      </c>
      <c r="O81" s="511"/>
      <c r="P81" s="503">
        <f>E81+J81</f>
        <v>11286371.800000001</v>
      </c>
      <c r="Q81" s="17"/>
      <c r="R81" s="18"/>
    </row>
    <row r="82" spans="1:18" ht="409.5">
      <c r="A82" s="504"/>
      <c r="B82" s="489"/>
      <c r="C82" s="489"/>
      <c r="D82" s="317" t="s">
        <v>560</v>
      </c>
      <c r="E82" s="513"/>
      <c r="F82" s="503"/>
      <c r="G82" s="503"/>
      <c r="H82" s="503"/>
      <c r="I82" s="503"/>
      <c r="J82" s="503"/>
      <c r="K82" s="503"/>
      <c r="L82" s="503"/>
      <c r="M82" s="503"/>
      <c r="N82" s="503"/>
      <c r="O82" s="511"/>
      <c r="P82" s="503"/>
      <c r="Q82" s="17"/>
      <c r="R82" s="18"/>
    </row>
    <row r="83" spans="1:18" ht="366">
      <c r="A83" s="504"/>
      <c r="B83" s="489"/>
      <c r="C83" s="489"/>
      <c r="D83" s="317" t="s">
        <v>580</v>
      </c>
      <c r="E83" s="513"/>
      <c r="F83" s="503"/>
      <c r="G83" s="503"/>
      <c r="H83" s="503"/>
      <c r="I83" s="503"/>
      <c r="J83" s="503"/>
      <c r="K83" s="503"/>
      <c r="L83" s="503"/>
      <c r="M83" s="503"/>
      <c r="N83" s="503"/>
      <c r="O83" s="511"/>
      <c r="P83" s="503"/>
      <c r="Q83" s="17"/>
      <c r="R83" s="18"/>
    </row>
    <row r="84" spans="1:18" ht="409.5">
      <c r="A84" s="504"/>
      <c r="B84" s="489"/>
      <c r="C84" s="489"/>
      <c r="D84" s="317" t="s">
        <v>581</v>
      </c>
      <c r="E84" s="514"/>
      <c r="F84" s="503"/>
      <c r="G84" s="503"/>
      <c r="H84" s="503"/>
      <c r="I84" s="503"/>
      <c r="J84" s="503"/>
      <c r="K84" s="503"/>
      <c r="L84" s="503"/>
      <c r="M84" s="503"/>
      <c r="N84" s="503"/>
      <c r="O84" s="511"/>
      <c r="P84" s="503"/>
      <c r="Q84" s="17"/>
      <c r="R84" s="18"/>
    </row>
    <row r="85" spans="1:18" ht="409.5">
      <c r="A85" s="504"/>
      <c r="B85" s="489"/>
      <c r="C85" s="489"/>
      <c r="D85" s="317" t="s">
        <v>586</v>
      </c>
      <c r="E85" s="514"/>
      <c r="F85" s="503"/>
      <c r="G85" s="503"/>
      <c r="H85" s="503"/>
      <c r="I85" s="503"/>
      <c r="J85" s="503"/>
      <c r="K85" s="503"/>
      <c r="L85" s="503"/>
      <c r="M85" s="503"/>
      <c r="N85" s="503"/>
      <c r="O85" s="511"/>
      <c r="P85" s="503"/>
      <c r="Q85" s="17"/>
      <c r="R85" s="18"/>
    </row>
    <row r="86" spans="1:18" ht="366">
      <c r="A86" s="504"/>
      <c r="B86" s="489"/>
      <c r="C86" s="489"/>
      <c r="D86" s="317" t="s">
        <v>587</v>
      </c>
      <c r="E86" s="514"/>
      <c r="F86" s="503"/>
      <c r="G86" s="503"/>
      <c r="H86" s="503"/>
      <c r="I86" s="503"/>
      <c r="J86" s="503"/>
      <c r="K86" s="503"/>
      <c r="L86" s="503"/>
      <c r="M86" s="503"/>
      <c r="N86" s="503"/>
      <c r="O86" s="511"/>
      <c r="P86" s="503"/>
      <c r="Q86" s="17"/>
      <c r="R86" s="18"/>
    </row>
    <row r="87" spans="1:18" ht="409.5">
      <c r="A87" s="504"/>
      <c r="B87" s="490"/>
      <c r="C87" s="490"/>
      <c r="D87" s="318" t="s">
        <v>379</v>
      </c>
      <c r="E87" s="514"/>
      <c r="F87" s="503"/>
      <c r="G87" s="503"/>
      <c r="H87" s="503"/>
      <c r="I87" s="503"/>
      <c r="J87" s="503"/>
      <c r="K87" s="503"/>
      <c r="L87" s="503"/>
      <c r="M87" s="503"/>
      <c r="N87" s="503"/>
      <c r="O87" s="511"/>
      <c r="P87" s="503"/>
      <c r="Q87" s="17"/>
      <c r="R87" s="18"/>
    </row>
    <row r="88" spans="1:18" ht="409.5">
      <c r="A88" s="304" t="s">
        <v>108</v>
      </c>
      <c r="B88" s="319" t="s">
        <v>109</v>
      </c>
      <c r="C88" s="319" t="s">
        <v>244</v>
      </c>
      <c r="D88" s="319" t="s">
        <v>110</v>
      </c>
      <c r="E88" s="401">
        <f>F88</f>
        <v>2403834.41</v>
      </c>
      <c r="F88" s="401">
        <v>2403834.41</v>
      </c>
      <c r="G88" s="401"/>
      <c r="H88" s="401"/>
      <c r="I88" s="401"/>
      <c r="J88" s="401">
        <f>K88+N88</f>
        <v>0</v>
      </c>
      <c r="K88" s="401"/>
      <c r="L88" s="401"/>
      <c r="M88" s="401"/>
      <c r="N88" s="401">
        <f>O88</f>
        <v>0</v>
      </c>
      <c r="O88" s="402"/>
      <c r="P88" s="401">
        <f>E88+J88</f>
        <v>2403834.41</v>
      </c>
      <c r="Q88" s="17"/>
      <c r="R88" s="18"/>
    </row>
    <row r="89" spans="1:18" ht="137.25">
      <c r="A89" s="304" t="s">
        <v>111</v>
      </c>
      <c r="B89" s="304" t="s">
        <v>112</v>
      </c>
      <c r="C89" s="304" t="s">
        <v>244</v>
      </c>
      <c r="D89" s="304" t="s">
        <v>113</v>
      </c>
      <c r="E89" s="401">
        <f>F89</f>
        <v>3564841.81</v>
      </c>
      <c r="F89" s="401">
        <v>3564841.81</v>
      </c>
      <c r="G89" s="401"/>
      <c r="H89" s="401"/>
      <c r="I89" s="401"/>
      <c r="J89" s="401">
        <f>K89+N89</f>
        <v>0</v>
      </c>
      <c r="K89" s="401"/>
      <c r="L89" s="401"/>
      <c r="M89" s="401"/>
      <c r="N89" s="401">
        <f>O89</f>
        <v>0</v>
      </c>
      <c r="O89" s="402"/>
      <c r="P89" s="401">
        <f>E89+J89</f>
        <v>3564841.81</v>
      </c>
      <c r="Q89" s="17"/>
      <c r="R89" s="18"/>
    </row>
    <row r="90" spans="1:18" ht="183">
      <c r="A90" s="304" t="s">
        <v>114</v>
      </c>
      <c r="B90" s="304" t="s">
        <v>115</v>
      </c>
      <c r="C90" s="304" t="s">
        <v>522</v>
      </c>
      <c r="D90" s="304" t="s">
        <v>116</v>
      </c>
      <c r="E90" s="401">
        <f>F90</f>
        <v>350775357.91000003</v>
      </c>
      <c r="F90" s="401">
        <v>350775357.91000003</v>
      </c>
      <c r="G90" s="401"/>
      <c r="H90" s="401"/>
      <c r="I90" s="401"/>
      <c r="J90" s="401">
        <f>K90+N90</f>
        <v>0</v>
      </c>
      <c r="K90" s="401"/>
      <c r="L90" s="401"/>
      <c r="M90" s="401"/>
      <c r="N90" s="401">
        <f>O90</f>
        <v>0</v>
      </c>
      <c r="O90" s="402"/>
      <c r="P90" s="401">
        <f>E90+J90</f>
        <v>350775357.91000003</v>
      </c>
      <c r="Q90" s="17"/>
      <c r="R90" s="18"/>
    </row>
    <row r="91" spans="1:18" ht="228.75">
      <c r="A91" s="404" t="s">
        <v>118</v>
      </c>
      <c r="B91" s="404" t="s">
        <v>119</v>
      </c>
      <c r="C91" s="304"/>
      <c r="D91" s="404" t="s">
        <v>120</v>
      </c>
      <c r="E91" s="303">
        <f>F91</f>
        <v>42284.810000000005</v>
      </c>
      <c r="F91" s="303">
        <f>F92+F94</f>
        <v>42284.810000000005</v>
      </c>
      <c r="G91" s="402">
        <f>G92+G94</f>
        <v>0</v>
      </c>
      <c r="H91" s="402">
        <f>H92+H94</f>
        <v>0</v>
      </c>
      <c r="I91" s="401">
        <f>I92+I94</f>
        <v>0</v>
      </c>
      <c r="J91" s="303">
        <f>K91+N91</f>
        <v>0</v>
      </c>
      <c r="K91" s="401">
        <f>K92+K94</f>
        <v>0</v>
      </c>
      <c r="L91" s="402">
        <f>L92+L94</f>
        <v>0</v>
      </c>
      <c r="M91" s="402">
        <f>M92+M94</f>
        <v>0</v>
      </c>
      <c r="N91" s="401">
        <f>N92+N94</f>
        <v>0</v>
      </c>
      <c r="O91" s="402">
        <f>O92+O94</f>
        <v>0</v>
      </c>
      <c r="P91" s="303">
        <f>E91+J91</f>
        <v>42284.810000000005</v>
      </c>
      <c r="Q91" s="17"/>
      <c r="R91" s="18"/>
    </row>
    <row r="92" spans="1:18" ht="409.5">
      <c r="A92" s="500" t="s">
        <v>117</v>
      </c>
      <c r="B92" s="500" t="s">
        <v>121</v>
      </c>
      <c r="C92" s="500" t="s">
        <v>241</v>
      </c>
      <c r="D92" s="320" t="s">
        <v>122</v>
      </c>
      <c r="E92" s="481">
        <f>F92</f>
        <v>1783.6499999999999</v>
      </c>
      <c r="F92" s="481">
        <f>1509.87+273.78</f>
        <v>1783.6499999999999</v>
      </c>
      <c r="G92" s="481"/>
      <c r="H92" s="481"/>
      <c r="I92" s="481"/>
      <c r="J92" s="481">
        <f>K92+N92</f>
        <v>0</v>
      </c>
      <c r="K92" s="481"/>
      <c r="L92" s="481"/>
      <c r="M92" s="481"/>
      <c r="N92" s="481">
        <f>O92</f>
        <v>0</v>
      </c>
      <c r="O92" s="484"/>
      <c r="P92" s="481">
        <f>E92+J92</f>
        <v>1783.6499999999999</v>
      </c>
      <c r="Q92" s="17"/>
      <c r="R92" s="18"/>
    </row>
    <row r="93" spans="1:18" ht="409.5">
      <c r="A93" s="483"/>
      <c r="B93" s="483"/>
      <c r="C93" s="483"/>
      <c r="D93" s="321" t="s">
        <v>123</v>
      </c>
      <c r="E93" s="483"/>
      <c r="F93" s="490"/>
      <c r="G93" s="483"/>
      <c r="H93" s="483"/>
      <c r="I93" s="490"/>
      <c r="J93" s="483"/>
      <c r="K93" s="490"/>
      <c r="L93" s="483"/>
      <c r="M93" s="483"/>
      <c r="N93" s="490"/>
      <c r="O93" s="494"/>
      <c r="P93" s="483"/>
      <c r="Q93" s="17"/>
      <c r="R93" s="18"/>
    </row>
    <row r="94" spans="1:18" ht="228.75">
      <c r="A94" s="315">
        <v>1513026</v>
      </c>
      <c r="B94" s="315">
        <v>3026</v>
      </c>
      <c r="C94" s="315">
        <v>1060</v>
      </c>
      <c r="D94" s="322" t="s">
        <v>190</v>
      </c>
      <c r="E94" s="401">
        <f>F94</f>
        <v>40501.160000000003</v>
      </c>
      <c r="F94" s="401">
        <v>40501.160000000003</v>
      </c>
      <c r="G94" s="401"/>
      <c r="H94" s="401"/>
      <c r="I94" s="401"/>
      <c r="J94" s="401">
        <f>K94+N94</f>
        <v>0</v>
      </c>
      <c r="K94" s="401"/>
      <c r="L94" s="401"/>
      <c r="M94" s="401"/>
      <c r="N94" s="401">
        <f>O94</f>
        <v>0</v>
      </c>
      <c r="O94" s="402"/>
      <c r="P94" s="401">
        <f>E94+J94</f>
        <v>40501.160000000003</v>
      </c>
      <c r="Q94" s="17"/>
      <c r="R94" s="18"/>
    </row>
    <row r="95" spans="1:18" ht="409.5">
      <c r="A95" s="486" t="s">
        <v>166</v>
      </c>
      <c r="B95" s="486" t="s">
        <v>167</v>
      </c>
      <c r="C95" s="486"/>
      <c r="D95" s="326" t="s">
        <v>168</v>
      </c>
      <c r="E95" s="485">
        <f>F95</f>
        <v>55753165</v>
      </c>
      <c r="F95" s="481">
        <f>F97+F100+F101+F102+F103+F104</f>
        <v>55753165</v>
      </c>
      <c r="G95" s="484">
        <f>G97+G100+G101+G102+G103+G104</f>
        <v>0</v>
      </c>
      <c r="H95" s="484">
        <f>H97+H100+H101+H102+H103+H104</f>
        <v>0</v>
      </c>
      <c r="I95" s="481">
        <f>I97+I100+I101+I102+I103+I104</f>
        <v>0</v>
      </c>
      <c r="J95" s="485">
        <f>K95+N95</f>
        <v>50000</v>
      </c>
      <c r="K95" s="481">
        <f>K97+K100+K101+K102+K103+K104</f>
        <v>0</v>
      </c>
      <c r="L95" s="484">
        <f>L97+L100+L101+L102+L103+L104</f>
        <v>0</v>
      </c>
      <c r="M95" s="484">
        <f>M97+M100+M101+M102+M103+M104</f>
        <v>0</v>
      </c>
      <c r="N95" s="481">
        <f>N97+N100+N101+N102+N103+N104</f>
        <v>50000</v>
      </c>
      <c r="O95" s="484">
        <f>O97+O100+O101+O102+O103+O104</f>
        <v>50000</v>
      </c>
      <c r="P95" s="485">
        <f>E95+J95</f>
        <v>55803165</v>
      </c>
      <c r="Q95" s="17"/>
      <c r="R95" s="18"/>
    </row>
    <row r="96" spans="1:18" ht="409.5">
      <c r="A96" s="483"/>
      <c r="B96" s="483"/>
      <c r="C96" s="483"/>
      <c r="D96" s="327" t="s">
        <v>169</v>
      </c>
      <c r="E96" s="483"/>
      <c r="F96" s="490"/>
      <c r="G96" s="494"/>
      <c r="H96" s="494"/>
      <c r="I96" s="490"/>
      <c r="J96" s="483"/>
      <c r="K96" s="490"/>
      <c r="L96" s="494"/>
      <c r="M96" s="494"/>
      <c r="N96" s="490"/>
      <c r="O96" s="494"/>
      <c r="P96" s="483"/>
      <c r="Q96" s="17"/>
      <c r="R96" s="18"/>
    </row>
    <row r="97" spans="1:18" ht="409.5">
      <c r="A97" s="500" t="s">
        <v>170</v>
      </c>
      <c r="B97" s="500" t="s">
        <v>171</v>
      </c>
      <c r="C97" s="500" t="s">
        <v>241</v>
      </c>
      <c r="D97" s="323" t="s">
        <v>172</v>
      </c>
      <c r="E97" s="481">
        <f>F97</f>
        <v>218217</v>
      </c>
      <c r="F97" s="481">
        <f>200000+18217</f>
        <v>218217</v>
      </c>
      <c r="G97" s="481"/>
      <c r="H97" s="481"/>
      <c r="I97" s="481"/>
      <c r="J97" s="481">
        <f>K97+N97</f>
        <v>50000</v>
      </c>
      <c r="K97" s="481"/>
      <c r="L97" s="481"/>
      <c r="M97" s="481"/>
      <c r="N97" s="481">
        <f>O97</f>
        <v>50000</v>
      </c>
      <c r="O97" s="484">
        <v>50000</v>
      </c>
      <c r="P97" s="481">
        <f>E97+J97</f>
        <v>268217</v>
      </c>
      <c r="Q97" s="17"/>
      <c r="R97" s="18"/>
    </row>
    <row r="98" spans="1:18" ht="409.5">
      <c r="A98" s="505"/>
      <c r="B98" s="505"/>
      <c r="C98" s="505"/>
      <c r="D98" s="324" t="s">
        <v>173</v>
      </c>
      <c r="E98" s="501"/>
      <c r="F98" s="501"/>
      <c r="G98" s="501"/>
      <c r="H98" s="501"/>
      <c r="I98" s="501"/>
      <c r="J98" s="501"/>
      <c r="K98" s="501"/>
      <c r="L98" s="501"/>
      <c r="M98" s="501"/>
      <c r="N98" s="501"/>
      <c r="O98" s="515"/>
      <c r="P98" s="501"/>
      <c r="Q98" s="17"/>
      <c r="R98" s="18"/>
    </row>
    <row r="99" spans="1:18" ht="183">
      <c r="A99" s="506"/>
      <c r="B99" s="506"/>
      <c r="C99" s="506"/>
      <c r="D99" s="325" t="s">
        <v>174</v>
      </c>
      <c r="E99" s="502"/>
      <c r="F99" s="502"/>
      <c r="G99" s="502"/>
      <c r="H99" s="502"/>
      <c r="I99" s="502"/>
      <c r="J99" s="502"/>
      <c r="K99" s="502"/>
      <c r="L99" s="502"/>
      <c r="M99" s="502"/>
      <c r="N99" s="502"/>
      <c r="O99" s="516"/>
      <c r="P99" s="502"/>
      <c r="Q99" s="17"/>
      <c r="R99" s="18"/>
    </row>
    <row r="100" spans="1:18" ht="366">
      <c r="A100" s="304" t="s">
        <v>176</v>
      </c>
      <c r="B100" s="304" t="s">
        <v>177</v>
      </c>
      <c r="C100" s="304" t="s">
        <v>244</v>
      </c>
      <c r="D100" s="322" t="s">
        <v>175</v>
      </c>
      <c r="E100" s="401">
        <f t="shared" ref="E100:E125" si="29">F100</f>
        <v>25000</v>
      </c>
      <c r="F100" s="401">
        <v>25000</v>
      </c>
      <c r="G100" s="401"/>
      <c r="H100" s="401"/>
      <c r="I100" s="401"/>
      <c r="J100" s="401">
        <f t="shared" ref="J100:J125" si="30">K100+N100</f>
        <v>0</v>
      </c>
      <c r="K100" s="401"/>
      <c r="L100" s="401"/>
      <c r="M100" s="401"/>
      <c r="N100" s="401">
        <f>O100</f>
        <v>0</v>
      </c>
      <c r="O100" s="402"/>
      <c r="P100" s="401">
        <f t="shared" ref="P100:P120" si="31">E100+J100</f>
        <v>25000</v>
      </c>
      <c r="Q100" s="17"/>
      <c r="R100" s="18"/>
    </row>
    <row r="101" spans="1:18" ht="137.25">
      <c r="A101" s="304" t="s">
        <v>178</v>
      </c>
      <c r="B101" s="304" t="s">
        <v>179</v>
      </c>
      <c r="C101" s="304" t="s">
        <v>244</v>
      </c>
      <c r="D101" s="304" t="s">
        <v>180</v>
      </c>
      <c r="E101" s="401">
        <f t="shared" si="29"/>
        <v>1881783</v>
      </c>
      <c r="F101" s="401">
        <f>1900000-18217</f>
        <v>1881783</v>
      </c>
      <c r="G101" s="401"/>
      <c r="H101" s="401"/>
      <c r="I101" s="401"/>
      <c r="J101" s="401">
        <f t="shared" si="30"/>
        <v>0</v>
      </c>
      <c r="K101" s="401"/>
      <c r="L101" s="401"/>
      <c r="M101" s="401"/>
      <c r="N101" s="401">
        <f>O101</f>
        <v>0</v>
      </c>
      <c r="O101" s="402"/>
      <c r="P101" s="401">
        <f t="shared" si="31"/>
        <v>1881783</v>
      </c>
      <c r="Q101" s="17"/>
      <c r="R101" s="18"/>
    </row>
    <row r="102" spans="1:18" ht="183">
      <c r="A102" s="403" t="s">
        <v>181</v>
      </c>
      <c r="B102" s="403" t="s">
        <v>182</v>
      </c>
      <c r="C102" s="403" t="s">
        <v>244</v>
      </c>
      <c r="D102" s="403" t="s">
        <v>183</v>
      </c>
      <c r="E102" s="401">
        <f t="shared" si="29"/>
        <v>5000000</v>
      </c>
      <c r="F102" s="401">
        <f>4000000+1000000</f>
        <v>5000000</v>
      </c>
      <c r="G102" s="401"/>
      <c r="H102" s="401"/>
      <c r="I102" s="401"/>
      <c r="J102" s="401">
        <f t="shared" si="30"/>
        <v>0</v>
      </c>
      <c r="K102" s="401"/>
      <c r="L102" s="401"/>
      <c r="M102" s="401"/>
      <c r="N102" s="401">
        <f>O102</f>
        <v>0</v>
      </c>
      <c r="O102" s="402"/>
      <c r="P102" s="401">
        <f t="shared" si="31"/>
        <v>5000000</v>
      </c>
      <c r="Q102" s="17"/>
      <c r="R102" s="18"/>
    </row>
    <row r="103" spans="1:18" ht="183">
      <c r="A103" s="403" t="s">
        <v>184</v>
      </c>
      <c r="B103" s="403" t="s">
        <v>185</v>
      </c>
      <c r="C103" s="403" t="s">
        <v>244</v>
      </c>
      <c r="D103" s="403" t="s">
        <v>186</v>
      </c>
      <c r="E103" s="401">
        <f t="shared" si="29"/>
        <v>400000</v>
      </c>
      <c r="F103" s="401">
        <v>400000</v>
      </c>
      <c r="G103" s="401"/>
      <c r="H103" s="401"/>
      <c r="I103" s="401"/>
      <c r="J103" s="401">
        <f t="shared" si="30"/>
        <v>0</v>
      </c>
      <c r="K103" s="401"/>
      <c r="L103" s="401"/>
      <c r="M103" s="401"/>
      <c r="N103" s="401">
        <f>O103</f>
        <v>0</v>
      </c>
      <c r="O103" s="402"/>
      <c r="P103" s="401">
        <f t="shared" si="31"/>
        <v>400000</v>
      </c>
      <c r="Q103" s="17"/>
      <c r="R103" s="18"/>
    </row>
    <row r="104" spans="1:18" ht="183">
      <c r="A104" s="403" t="s">
        <v>187</v>
      </c>
      <c r="B104" s="403" t="s">
        <v>188</v>
      </c>
      <c r="C104" s="403" t="s">
        <v>244</v>
      </c>
      <c r="D104" s="403" t="s">
        <v>202</v>
      </c>
      <c r="E104" s="401">
        <f t="shared" si="29"/>
        <v>48228165</v>
      </c>
      <c r="F104" s="401">
        <f>((38000000+1000000+1000000)+6500000)+1728165</f>
        <v>48228165</v>
      </c>
      <c r="G104" s="401"/>
      <c r="H104" s="401"/>
      <c r="I104" s="401"/>
      <c r="J104" s="401">
        <f t="shared" si="30"/>
        <v>0</v>
      </c>
      <c r="K104" s="401"/>
      <c r="L104" s="401"/>
      <c r="M104" s="401"/>
      <c r="N104" s="401">
        <f>O104</f>
        <v>0</v>
      </c>
      <c r="O104" s="402"/>
      <c r="P104" s="401">
        <f t="shared" si="31"/>
        <v>48228165</v>
      </c>
      <c r="Q104" s="17"/>
      <c r="R104" s="18"/>
    </row>
    <row r="105" spans="1:18" ht="228.75">
      <c r="A105" s="404" t="s">
        <v>97</v>
      </c>
      <c r="B105" s="404" t="s">
        <v>98</v>
      </c>
      <c r="C105" s="404"/>
      <c r="D105" s="404" t="s">
        <v>99</v>
      </c>
      <c r="E105" s="64">
        <f t="shared" si="29"/>
        <v>294748067.12</v>
      </c>
      <c r="F105" s="401">
        <f>SUM(F106:F114)</f>
        <v>294748067.12</v>
      </c>
      <c r="G105" s="402">
        <f>SUM(G106:G114)</f>
        <v>0</v>
      </c>
      <c r="H105" s="402">
        <f>SUM(H106:H114)</f>
        <v>0</v>
      </c>
      <c r="I105" s="401">
        <f>SUM(I106:I114)</f>
        <v>0</v>
      </c>
      <c r="J105" s="64">
        <f t="shared" si="30"/>
        <v>0</v>
      </c>
      <c r="K105" s="401">
        <f>SUM(K106:K114)</f>
        <v>0</v>
      </c>
      <c r="L105" s="402">
        <f>SUM(L106:L114)</f>
        <v>0</v>
      </c>
      <c r="M105" s="402">
        <f>SUM(M106:M114)</f>
        <v>0</v>
      </c>
      <c r="N105" s="401">
        <f>SUM(N106:N114)</f>
        <v>0</v>
      </c>
      <c r="O105" s="402">
        <f>SUM(O106:O114)</f>
        <v>0</v>
      </c>
      <c r="P105" s="64">
        <f t="shared" si="31"/>
        <v>294748067.12</v>
      </c>
      <c r="Q105" s="17"/>
      <c r="R105" s="18"/>
    </row>
    <row r="106" spans="1:18" ht="91.5">
      <c r="A106" s="304" t="s">
        <v>136</v>
      </c>
      <c r="B106" s="304" t="s">
        <v>137</v>
      </c>
      <c r="C106" s="304" t="s">
        <v>494</v>
      </c>
      <c r="D106" s="304" t="s">
        <v>138</v>
      </c>
      <c r="E106" s="401">
        <f t="shared" si="29"/>
        <v>2713274.94</v>
      </c>
      <c r="F106" s="401">
        <v>2713274.94</v>
      </c>
      <c r="G106" s="401"/>
      <c r="H106" s="401"/>
      <c r="I106" s="401"/>
      <c r="J106" s="401">
        <f t="shared" si="30"/>
        <v>0</v>
      </c>
      <c r="K106" s="401"/>
      <c r="L106" s="401"/>
      <c r="M106" s="401"/>
      <c r="N106" s="401">
        <f t="shared" ref="N106:N117" si="32">O106</f>
        <v>0</v>
      </c>
      <c r="O106" s="402"/>
      <c r="P106" s="401">
        <f t="shared" si="31"/>
        <v>2713274.94</v>
      </c>
      <c r="Q106" s="17"/>
      <c r="R106" s="18"/>
    </row>
    <row r="107" spans="1:18" ht="91.5">
      <c r="A107" s="304" t="s">
        <v>139</v>
      </c>
      <c r="B107" s="304" t="s">
        <v>140</v>
      </c>
      <c r="C107" s="304" t="s">
        <v>494</v>
      </c>
      <c r="D107" s="304" t="s">
        <v>18</v>
      </c>
      <c r="E107" s="401">
        <f t="shared" si="29"/>
        <v>695184.44</v>
      </c>
      <c r="F107" s="401">
        <v>695184.44</v>
      </c>
      <c r="G107" s="401"/>
      <c r="H107" s="401"/>
      <c r="I107" s="401"/>
      <c r="J107" s="401">
        <f t="shared" si="30"/>
        <v>0</v>
      </c>
      <c r="K107" s="401"/>
      <c r="L107" s="401"/>
      <c r="M107" s="401"/>
      <c r="N107" s="401">
        <f t="shared" si="32"/>
        <v>0</v>
      </c>
      <c r="O107" s="402"/>
      <c r="P107" s="401">
        <f t="shared" si="31"/>
        <v>695184.44</v>
      </c>
      <c r="Q107" s="17"/>
      <c r="R107" s="18"/>
    </row>
    <row r="108" spans="1:18" ht="91.5">
      <c r="A108" s="304" t="s">
        <v>141</v>
      </c>
      <c r="B108" s="304" t="s">
        <v>142</v>
      </c>
      <c r="C108" s="304" t="s">
        <v>494</v>
      </c>
      <c r="D108" s="304" t="s">
        <v>143</v>
      </c>
      <c r="E108" s="401">
        <f t="shared" si="29"/>
        <v>155538301.24000001</v>
      </c>
      <c r="F108" s="401">
        <v>155538301.24000001</v>
      </c>
      <c r="G108" s="401"/>
      <c r="H108" s="401"/>
      <c r="I108" s="401"/>
      <c r="J108" s="401">
        <f t="shared" si="30"/>
        <v>0</v>
      </c>
      <c r="K108" s="401"/>
      <c r="L108" s="401"/>
      <c r="M108" s="401"/>
      <c r="N108" s="401">
        <f t="shared" si="32"/>
        <v>0</v>
      </c>
      <c r="O108" s="402"/>
      <c r="P108" s="401">
        <f t="shared" si="31"/>
        <v>155538301.24000001</v>
      </c>
      <c r="Q108" s="17"/>
      <c r="R108" s="18"/>
    </row>
    <row r="109" spans="1:18" ht="137.25">
      <c r="A109" s="304" t="s">
        <v>144</v>
      </c>
      <c r="B109" s="304" t="s">
        <v>145</v>
      </c>
      <c r="C109" s="304" t="s">
        <v>494</v>
      </c>
      <c r="D109" s="304" t="s">
        <v>146</v>
      </c>
      <c r="E109" s="401">
        <f t="shared" si="29"/>
        <v>4389745.76</v>
      </c>
      <c r="F109" s="401">
        <v>4389745.76</v>
      </c>
      <c r="G109" s="401"/>
      <c r="H109" s="401"/>
      <c r="I109" s="401"/>
      <c r="J109" s="401">
        <f t="shared" si="30"/>
        <v>0</v>
      </c>
      <c r="K109" s="401"/>
      <c r="L109" s="401"/>
      <c r="M109" s="401"/>
      <c r="N109" s="401">
        <f t="shared" si="32"/>
        <v>0</v>
      </c>
      <c r="O109" s="402"/>
      <c r="P109" s="401">
        <f t="shared" si="31"/>
        <v>4389745.76</v>
      </c>
      <c r="Q109" s="17"/>
      <c r="R109" s="18"/>
    </row>
    <row r="110" spans="1:18" ht="91.5">
      <c r="A110" s="304" t="s">
        <v>147</v>
      </c>
      <c r="B110" s="304" t="s">
        <v>148</v>
      </c>
      <c r="C110" s="304" t="s">
        <v>494</v>
      </c>
      <c r="D110" s="304" t="s">
        <v>149</v>
      </c>
      <c r="E110" s="401">
        <f t="shared" si="29"/>
        <v>24756057.579999998</v>
      </c>
      <c r="F110" s="401">
        <v>24756057.579999998</v>
      </c>
      <c r="G110" s="401"/>
      <c r="H110" s="401"/>
      <c r="I110" s="401"/>
      <c r="J110" s="401">
        <f t="shared" si="30"/>
        <v>0</v>
      </c>
      <c r="K110" s="401"/>
      <c r="L110" s="401"/>
      <c r="M110" s="401"/>
      <c r="N110" s="401">
        <f t="shared" si="32"/>
        <v>0</v>
      </c>
      <c r="O110" s="402"/>
      <c r="P110" s="401">
        <f t="shared" si="31"/>
        <v>24756057.579999998</v>
      </c>
      <c r="Q110" s="17"/>
      <c r="R110" s="18"/>
    </row>
    <row r="111" spans="1:18" ht="91.5">
      <c r="A111" s="304" t="s">
        <v>150</v>
      </c>
      <c r="B111" s="304" t="s">
        <v>151</v>
      </c>
      <c r="C111" s="304" t="s">
        <v>494</v>
      </c>
      <c r="D111" s="304" t="s">
        <v>152</v>
      </c>
      <c r="E111" s="401">
        <f t="shared" si="29"/>
        <v>3273739.54</v>
      </c>
      <c r="F111" s="401">
        <v>3273739.54</v>
      </c>
      <c r="G111" s="401"/>
      <c r="H111" s="401"/>
      <c r="I111" s="401"/>
      <c r="J111" s="401">
        <f t="shared" si="30"/>
        <v>0</v>
      </c>
      <c r="K111" s="401"/>
      <c r="L111" s="401"/>
      <c r="M111" s="401"/>
      <c r="N111" s="401">
        <f t="shared" si="32"/>
        <v>0</v>
      </c>
      <c r="O111" s="402"/>
      <c r="P111" s="401">
        <f t="shared" si="31"/>
        <v>3273739.54</v>
      </c>
      <c r="Q111" s="17"/>
      <c r="R111" s="18"/>
    </row>
    <row r="112" spans="1:18" ht="91.5">
      <c r="A112" s="304" t="s">
        <v>153</v>
      </c>
      <c r="B112" s="304" t="s">
        <v>154</v>
      </c>
      <c r="C112" s="304" t="s">
        <v>494</v>
      </c>
      <c r="D112" s="304" t="s">
        <v>155</v>
      </c>
      <c r="E112" s="401">
        <f t="shared" si="29"/>
        <v>353176</v>
      </c>
      <c r="F112" s="401">
        <v>353176</v>
      </c>
      <c r="G112" s="401"/>
      <c r="H112" s="401"/>
      <c r="I112" s="401"/>
      <c r="J112" s="401">
        <f t="shared" si="30"/>
        <v>0</v>
      </c>
      <c r="K112" s="401"/>
      <c r="L112" s="401"/>
      <c r="M112" s="401"/>
      <c r="N112" s="401">
        <f t="shared" si="32"/>
        <v>0</v>
      </c>
      <c r="O112" s="402"/>
      <c r="P112" s="401">
        <f t="shared" si="31"/>
        <v>353176</v>
      </c>
      <c r="Q112" s="17"/>
      <c r="R112" s="18"/>
    </row>
    <row r="113" spans="1:18" ht="137.25">
      <c r="A113" s="304" t="s">
        <v>156</v>
      </c>
      <c r="B113" s="304" t="s">
        <v>157</v>
      </c>
      <c r="C113" s="304" t="s">
        <v>494</v>
      </c>
      <c r="D113" s="304" t="s">
        <v>158</v>
      </c>
      <c r="E113" s="401">
        <f t="shared" si="29"/>
        <v>40866903.450000003</v>
      </c>
      <c r="F113" s="401">
        <v>40866903.450000003</v>
      </c>
      <c r="G113" s="401"/>
      <c r="H113" s="401"/>
      <c r="I113" s="401"/>
      <c r="J113" s="401">
        <f t="shared" si="30"/>
        <v>0</v>
      </c>
      <c r="K113" s="401"/>
      <c r="L113" s="401"/>
      <c r="M113" s="401"/>
      <c r="N113" s="401">
        <f t="shared" si="32"/>
        <v>0</v>
      </c>
      <c r="O113" s="402"/>
      <c r="P113" s="401">
        <f t="shared" si="31"/>
        <v>40866903.450000003</v>
      </c>
      <c r="Q113" s="17"/>
      <c r="R113" s="18"/>
    </row>
    <row r="114" spans="1:18" ht="137.25">
      <c r="A114" s="304" t="s">
        <v>159</v>
      </c>
      <c r="B114" s="304" t="s">
        <v>160</v>
      </c>
      <c r="C114" s="304" t="s">
        <v>233</v>
      </c>
      <c r="D114" s="304" t="s">
        <v>161</v>
      </c>
      <c r="E114" s="401">
        <f t="shared" si="29"/>
        <v>62161684.170000002</v>
      </c>
      <c r="F114" s="401">
        <v>62161684.170000002</v>
      </c>
      <c r="G114" s="401"/>
      <c r="H114" s="401"/>
      <c r="I114" s="401"/>
      <c r="J114" s="401">
        <f t="shared" si="30"/>
        <v>0</v>
      </c>
      <c r="K114" s="401"/>
      <c r="L114" s="401"/>
      <c r="M114" s="401"/>
      <c r="N114" s="401">
        <f t="shared" si="32"/>
        <v>0</v>
      </c>
      <c r="O114" s="402"/>
      <c r="P114" s="401">
        <f t="shared" si="31"/>
        <v>62161684.170000002</v>
      </c>
      <c r="Q114" s="17"/>
      <c r="R114" s="18"/>
    </row>
    <row r="115" spans="1:18" ht="183">
      <c r="A115" s="404" t="s">
        <v>124</v>
      </c>
      <c r="B115" s="404" t="s">
        <v>125</v>
      </c>
      <c r="C115" s="404" t="s">
        <v>244</v>
      </c>
      <c r="D115" s="404" t="s">
        <v>126</v>
      </c>
      <c r="E115" s="64">
        <f t="shared" si="29"/>
        <v>162155</v>
      </c>
      <c r="F115" s="401">
        <f>168214-6059</f>
        <v>162155</v>
      </c>
      <c r="G115" s="402"/>
      <c r="H115" s="402"/>
      <c r="I115" s="401"/>
      <c r="J115" s="64">
        <f t="shared" si="30"/>
        <v>0</v>
      </c>
      <c r="K115" s="401"/>
      <c r="L115" s="402"/>
      <c r="M115" s="402"/>
      <c r="N115" s="401">
        <f t="shared" si="32"/>
        <v>0</v>
      </c>
      <c r="O115" s="402"/>
      <c r="P115" s="64">
        <f t="shared" si="31"/>
        <v>162155</v>
      </c>
      <c r="Q115" s="17"/>
      <c r="R115" s="18"/>
    </row>
    <row r="116" spans="1:18" ht="137.25">
      <c r="A116" s="404" t="s">
        <v>162</v>
      </c>
      <c r="B116" s="404" t="s">
        <v>163</v>
      </c>
      <c r="C116" s="404" t="s">
        <v>233</v>
      </c>
      <c r="D116" s="404" t="s">
        <v>19</v>
      </c>
      <c r="E116" s="64">
        <f t="shared" si="29"/>
        <v>11743432.880000001</v>
      </c>
      <c r="F116" s="401">
        <v>11743432.880000001</v>
      </c>
      <c r="G116" s="402"/>
      <c r="H116" s="402"/>
      <c r="I116" s="401"/>
      <c r="J116" s="64">
        <f t="shared" si="30"/>
        <v>0</v>
      </c>
      <c r="K116" s="401"/>
      <c r="L116" s="402"/>
      <c r="M116" s="402"/>
      <c r="N116" s="401">
        <f t="shared" si="32"/>
        <v>0</v>
      </c>
      <c r="O116" s="402"/>
      <c r="P116" s="64">
        <f t="shared" si="31"/>
        <v>11743432.880000001</v>
      </c>
      <c r="Q116" s="17"/>
      <c r="R116" s="18"/>
    </row>
    <row r="117" spans="1:18" ht="91.5">
      <c r="A117" s="404" t="s">
        <v>134</v>
      </c>
      <c r="B117" s="404" t="s">
        <v>135</v>
      </c>
      <c r="C117" s="404" t="s">
        <v>241</v>
      </c>
      <c r="D117" s="404" t="s">
        <v>133</v>
      </c>
      <c r="E117" s="64">
        <f t="shared" si="29"/>
        <v>241110</v>
      </c>
      <c r="F117" s="401">
        <f>277770-36660</f>
        <v>241110</v>
      </c>
      <c r="G117" s="402"/>
      <c r="H117" s="402"/>
      <c r="I117" s="401"/>
      <c r="J117" s="64">
        <f t="shared" si="30"/>
        <v>0</v>
      </c>
      <c r="K117" s="401"/>
      <c r="L117" s="402"/>
      <c r="M117" s="402"/>
      <c r="N117" s="401">
        <f t="shared" si="32"/>
        <v>0</v>
      </c>
      <c r="O117" s="402"/>
      <c r="P117" s="64">
        <f t="shared" si="31"/>
        <v>241110</v>
      </c>
      <c r="Q117" s="17"/>
      <c r="R117" s="18"/>
    </row>
    <row r="118" spans="1:18" ht="274.5">
      <c r="A118" s="404" t="s">
        <v>276</v>
      </c>
      <c r="B118" s="404" t="s">
        <v>277</v>
      </c>
      <c r="C118" s="404"/>
      <c r="D118" s="404" t="s">
        <v>278</v>
      </c>
      <c r="E118" s="64">
        <f t="shared" si="29"/>
        <v>12640001</v>
      </c>
      <c r="F118" s="303">
        <f>F119+F120</f>
        <v>12640001</v>
      </c>
      <c r="G118" s="402">
        <f>G119+G120</f>
        <v>8121847</v>
      </c>
      <c r="H118" s="402">
        <f>H119+H120</f>
        <v>381100</v>
      </c>
      <c r="I118" s="401">
        <f>I119+I120</f>
        <v>0</v>
      </c>
      <c r="J118" s="64">
        <f t="shared" si="30"/>
        <v>763686.04</v>
      </c>
      <c r="K118" s="401">
        <f>K119+K120</f>
        <v>94000</v>
      </c>
      <c r="L118" s="402">
        <f>L119+L120</f>
        <v>50000</v>
      </c>
      <c r="M118" s="402">
        <f>M119+M120</f>
        <v>4000</v>
      </c>
      <c r="N118" s="401">
        <f>N119+N120</f>
        <v>669686.04</v>
      </c>
      <c r="O118" s="402">
        <f>O119+O120</f>
        <v>669686.04</v>
      </c>
      <c r="P118" s="64">
        <f t="shared" si="31"/>
        <v>13403687.039999999</v>
      </c>
      <c r="Q118" s="17"/>
      <c r="R118" s="18"/>
    </row>
    <row r="119" spans="1:18" ht="274.5">
      <c r="A119" s="304" t="s">
        <v>282</v>
      </c>
      <c r="B119" s="304" t="s">
        <v>283</v>
      </c>
      <c r="C119" s="304" t="s">
        <v>237</v>
      </c>
      <c r="D119" s="304" t="s">
        <v>284</v>
      </c>
      <c r="E119" s="401">
        <f t="shared" si="29"/>
        <v>10804850</v>
      </c>
      <c r="F119" s="401">
        <f>((10072350-1261900+9+1261891)+540000+160000+5500)+2000+1500+2000+20000+500+1000</f>
        <v>10804850</v>
      </c>
      <c r="G119" s="401">
        <f>(5329179+1037821)+450000+97110</f>
        <v>6914110</v>
      </c>
      <c r="H119" s="401">
        <f>(216500)+500+1000</f>
        <v>218000</v>
      </c>
      <c r="I119" s="401"/>
      <c r="J119" s="401">
        <f t="shared" si="30"/>
        <v>659386.04</v>
      </c>
      <c r="K119" s="401">
        <v>94000</v>
      </c>
      <c r="L119" s="401">
        <v>50000</v>
      </c>
      <c r="M119" s="401">
        <v>4000</v>
      </c>
      <c r="N119" s="401">
        <f>O119</f>
        <v>565386.04</v>
      </c>
      <c r="O119" s="402">
        <f>((150000-140000+140000)+1032000)+79500-1000000+20000+12986.04+270900</f>
        <v>565386.04</v>
      </c>
      <c r="P119" s="401">
        <f t="shared" si="31"/>
        <v>11464236.039999999</v>
      </c>
      <c r="Q119" s="17"/>
      <c r="R119" s="18"/>
    </row>
    <row r="120" spans="1:18" ht="91.5">
      <c r="A120" s="304" t="s">
        <v>280</v>
      </c>
      <c r="B120" s="304" t="s">
        <v>281</v>
      </c>
      <c r="C120" s="304" t="s">
        <v>233</v>
      </c>
      <c r="D120" s="304" t="s">
        <v>279</v>
      </c>
      <c r="E120" s="401">
        <f t="shared" si="29"/>
        <v>1835151</v>
      </c>
      <c r="F120" s="401">
        <f>((1787800-287400+287400)+41500)+2851+3000</f>
        <v>1835151</v>
      </c>
      <c r="G120" s="401">
        <f>((934778+236622)+34000)+2337</f>
        <v>1207737</v>
      </c>
      <c r="H120" s="401">
        <v>163100</v>
      </c>
      <c r="I120" s="401"/>
      <c r="J120" s="401">
        <f t="shared" si="30"/>
        <v>104300</v>
      </c>
      <c r="K120" s="401"/>
      <c r="L120" s="401"/>
      <c r="M120" s="401"/>
      <c r="N120" s="401">
        <f>O120</f>
        <v>104300</v>
      </c>
      <c r="O120" s="402">
        <f>+(93600)+10700</f>
        <v>104300</v>
      </c>
      <c r="P120" s="401">
        <f t="shared" si="31"/>
        <v>1939451</v>
      </c>
      <c r="Q120" s="17"/>
      <c r="R120" s="18"/>
    </row>
    <row r="121" spans="1:18" ht="366">
      <c r="A121" s="404" t="s">
        <v>91</v>
      </c>
      <c r="B121" s="404" t="s">
        <v>92</v>
      </c>
      <c r="C121" s="404"/>
      <c r="D121" s="404" t="s">
        <v>93</v>
      </c>
      <c r="E121" s="64">
        <f t="shared" si="29"/>
        <v>1592690</v>
      </c>
      <c r="F121" s="401">
        <f>F122+F123+F124</f>
        <v>1592690</v>
      </c>
      <c r="G121" s="402">
        <f>G122+G123+G124</f>
        <v>0</v>
      </c>
      <c r="H121" s="402">
        <f>H122+H123+H124</f>
        <v>0</v>
      </c>
      <c r="I121" s="401">
        <f>I122+I123+I124</f>
        <v>0</v>
      </c>
      <c r="J121" s="64">
        <f t="shared" si="30"/>
        <v>0</v>
      </c>
      <c r="K121" s="401">
        <f>K122+K123+K124</f>
        <v>0</v>
      </c>
      <c r="L121" s="402">
        <f>L122+L123+L124</f>
        <v>0</v>
      </c>
      <c r="M121" s="402">
        <f>M122+M123+M124</f>
        <v>0</v>
      </c>
      <c r="N121" s="401">
        <f>N122+N123+N124</f>
        <v>0</v>
      </c>
      <c r="O121" s="402">
        <f>O122+O123+O124</f>
        <v>0</v>
      </c>
      <c r="P121" s="64">
        <f>+J121+E121</f>
        <v>1592690</v>
      </c>
      <c r="Q121" s="17"/>
      <c r="R121" s="18"/>
    </row>
    <row r="122" spans="1:18" ht="320.25">
      <c r="A122" s="304" t="s">
        <v>94</v>
      </c>
      <c r="B122" s="304" t="s">
        <v>95</v>
      </c>
      <c r="C122" s="304" t="s">
        <v>233</v>
      </c>
      <c r="D122" s="304" t="s">
        <v>96</v>
      </c>
      <c r="E122" s="401">
        <f t="shared" si="29"/>
        <v>1375600</v>
      </c>
      <c r="F122" s="401">
        <v>1375600</v>
      </c>
      <c r="G122" s="401"/>
      <c r="H122" s="401"/>
      <c r="I122" s="401"/>
      <c r="J122" s="401">
        <f t="shared" si="30"/>
        <v>0</v>
      </c>
      <c r="K122" s="401"/>
      <c r="L122" s="401"/>
      <c r="M122" s="401"/>
      <c r="N122" s="401">
        <f t="shared" ref="N122:N127" si="33">O122</f>
        <v>0</v>
      </c>
      <c r="O122" s="402"/>
      <c r="P122" s="401">
        <f>+J122+E122</f>
        <v>1375600</v>
      </c>
      <c r="Q122" s="17"/>
      <c r="R122" s="18"/>
    </row>
    <row r="123" spans="1:18" ht="228.75">
      <c r="A123" s="304" t="s">
        <v>127</v>
      </c>
      <c r="B123" s="304" t="s">
        <v>128</v>
      </c>
      <c r="C123" s="304" t="s">
        <v>233</v>
      </c>
      <c r="D123" s="304" t="s">
        <v>129</v>
      </c>
      <c r="E123" s="401">
        <f t="shared" si="29"/>
        <v>216502</v>
      </c>
      <c r="F123" s="401">
        <f>199417+17085</f>
        <v>216502</v>
      </c>
      <c r="G123" s="401"/>
      <c r="H123" s="401"/>
      <c r="I123" s="401"/>
      <c r="J123" s="401">
        <f t="shared" si="30"/>
        <v>0</v>
      </c>
      <c r="K123" s="401"/>
      <c r="L123" s="401"/>
      <c r="M123" s="401"/>
      <c r="N123" s="401">
        <f t="shared" si="33"/>
        <v>0</v>
      </c>
      <c r="O123" s="402"/>
      <c r="P123" s="401">
        <f>+J123+E123</f>
        <v>216502</v>
      </c>
      <c r="Q123" s="17"/>
      <c r="R123" s="18"/>
    </row>
    <row r="124" spans="1:18" ht="91.5">
      <c r="A124" s="304" t="s">
        <v>130</v>
      </c>
      <c r="B124" s="304" t="s">
        <v>131</v>
      </c>
      <c r="C124" s="304" t="s">
        <v>233</v>
      </c>
      <c r="D124" s="304" t="s">
        <v>132</v>
      </c>
      <c r="E124" s="401">
        <f t="shared" si="29"/>
        <v>588</v>
      </c>
      <c r="F124" s="401">
        <f>504+84</f>
        <v>588</v>
      </c>
      <c r="G124" s="401"/>
      <c r="H124" s="401"/>
      <c r="I124" s="401"/>
      <c r="J124" s="401">
        <f t="shared" si="30"/>
        <v>0</v>
      </c>
      <c r="K124" s="401"/>
      <c r="L124" s="401"/>
      <c r="M124" s="401"/>
      <c r="N124" s="401">
        <f t="shared" si="33"/>
        <v>0</v>
      </c>
      <c r="O124" s="402"/>
      <c r="P124" s="401">
        <f>+J124+E124</f>
        <v>588</v>
      </c>
      <c r="Q124" s="17"/>
      <c r="R124" s="18"/>
    </row>
    <row r="125" spans="1:18" ht="91.5">
      <c r="A125" s="404" t="s">
        <v>271</v>
      </c>
      <c r="B125" s="404" t="s">
        <v>272</v>
      </c>
      <c r="C125" s="404"/>
      <c r="D125" s="305" t="s">
        <v>274</v>
      </c>
      <c r="E125" s="64">
        <f t="shared" si="29"/>
        <v>495450</v>
      </c>
      <c r="F125" s="401">
        <f>F126</f>
        <v>495450</v>
      </c>
      <c r="G125" s="402">
        <f>G126</f>
        <v>0</v>
      </c>
      <c r="H125" s="402">
        <f>H126</f>
        <v>0</v>
      </c>
      <c r="I125" s="401">
        <f>I126</f>
        <v>0</v>
      </c>
      <c r="J125" s="64">
        <f t="shared" si="30"/>
        <v>0</v>
      </c>
      <c r="K125" s="401">
        <f>K126</f>
        <v>0</v>
      </c>
      <c r="L125" s="402">
        <f>L126</f>
        <v>0</v>
      </c>
      <c r="M125" s="402">
        <f>M126</f>
        <v>0</v>
      </c>
      <c r="N125" s="401">
        <f t="shared" si="33"/>
        <v>0</v>
      </c>
      <c r="O125" s="402">
        <f>O126</f>
        <v>0</v>
      </c>
      <c r="P125" s="64">
        <f>E125+J125</f>
        <v>495450</v>
      </c>
      <c r="Q125" s="17"/>
      <c r="R125" s="18"/>
    </row>
    <row r="126" spans="1:18" s="6" customFormat="1" ht="228.75">
      <c r="A126" s="304" t="s">
        <v>270</v>
      </c>
      <c r="B126" s="304" t="s">
        <v>273</v>
      </c>
      <c r="C126" s="304" t="s">
        <v>241</v>
      </c>
      <c r="D126" s="304" t="s">
        <v>275</v>
      </c>
      <c r="E126" s="401">
        <f t="shared" ref="E126:E131" si="34">F126</f>
        <v>495450</v>
      </c>
      <c r="F126" s="401">
        <f>(400000)+95450</f>
        <v>495450</v>
      </c>
      <c r="G126" s="401"/>
      <c r="H126" s="401"/>
      <c r="I126" s="401"/>
      <c r="J126" s="401">
        <f t="shared" ref="J126:J131" si="35">K126+N126</f>
        <v>0</v>
      </c>
      <c r="K126" s="401"/>
      <c r="L126" s="401"/>
      <c r="M126" s="401"/>
      <c r="N126" s="401">
        <f t="shared" si="33"/>
        <v>0</v>
      </c>
      <c r="O126" s="402"/>
      <c r="P126" s="401">
        <f>E126+J126</f>
        <v>495450</v>
      </c>
    </row>
    <row r="127" spans="1:18" s="6" customFormat="1" ht="409.5">
      <c r="A127" s="486" t="s">
        <v>836</v>
      </c>
      <c r="B127" s="486" t="s">
        <v>837</v>
      </c>
      <c r="C127" s="487" t="s">
        <v>522</v>
      </c>
      <c r="D127" s="328" t="s">
        <v>914</v>
      </c>
      <c r="E127" s="485">
        <f>F127</f>
        <v>0</v>
      </c>
      <c r="F127" s="481"/>
      <c r="G127" s="481"/>
      <c r="H127" s="481"/>
      <c r="I127" s="481">
        <f>I130</f>
        <v>0</v>
      </c>
      <c r="J127" s="485">
        <f>K127+N127</f>
        <v>2711687.14</v>
      </c>
      <c r="K127" s="481"/>
      <c r="L127" s="481"/>
      <c r="M127" s="481"/>
      <c r="N127" s="481">
        <f t="shared" si="33"/>
        <v>2711687.14</v>
      </c>
      <c r="O127" s="484">
        <f>(241898)+2469789.14</f>
        <v>2711687.14</v>
      </c>
      <c r="P127" s="485">
        <f>E127+J127</f>
        <v>2711687.14</v>
      </c>
    </row>
    <row r="128" spans="1:18" s="6" customFormat="1" ht="382.5" customHeight="1">
      <c r="A128" s="482"/>
      <c r="B128" s="482"/>
      <c r="C128" s="488"/>
      <c r="D128" s="328" t="s">
        <v>839</v>
      </c>
      <c r="E128" s="482"/>
      <c r="F128" s="489"/>
      <c r="G128" s="482"/>
      <c r="H128" s="482"/>
      <c r="I128" s="482"/>
      <c r="J128" s="482"/>
      <c r="K128" s="482"/>
      <c r="L128" s="482"/>
      <c r="M128" s="482"/>
      <c r="N128" s="482"/>
      <c r="O128" s="482"/>
      <c r="P128" s="482"/>
    </row>
    <row r="129" spans="1:17" s="6" customFormat="1" ht="91.5">
      <c r="A129" s="483"/>
      <c r="B129" s="483"/>
      <c r="C129" s="488"/>
      <c r="D129" s="328" t="s">
        <v>840</v>
      </c>
      <c r="E129" s="483"/>
      <c r="F129" s="490"/>
      <c r="G129" s="483"/>
      <c r="H129" s="483"/>
      <c r="I129" s="483"/>
      <c r="J129" s="483"/>
      <c r="K129" s="483"/>
      <c r="L129" s="483"/>
      <c r="M129" s="483"/>
      <c r="N129" s="483"/>
      <c r="O129" s="483"/>
      <c r="P129" s="483"/>
    </row>
    <row r="130" spans="1:17" s="6" customFormat="1" ht="106.5" customHeight="1">
      <c r="A130" s="404" t="s">
        <v>85</v>
      </c>
      <c r="B130" s="404" t="s">
        <v>86</v>
      </c>
      <c r="C130" s="404" t="s">
        <v>248</v>
      </c>
      <c r="D130" s="404" t="s">
        <v>87</v>
      </c>
      <c r="E130" s="64">
        <f t="shared" si="34"/>
        <v>4275812</v>
      </c>
      <c r="F130" s="401">
        <f>(((3518200-707600+707600)+27200+17000+132700)+193293+147720+81500+25100)+9298+700+500+5200+1500+1200+1800+2500+2500+1250+55000+2851+20000+28800</f>
        <v>4275812</v>
      </c>
      <c r="G130" s="300">
        <f>((1537523+580277)+156672)+7500+45100+2337</f>
        <v>2329409</v>
      </c>
      <c r="H130" s="300">
        <f>((299600)+27000+28000)+20000+28800</f>
        <v>403400</v>
      </c>
      <c r="I130" s="74"/>
      <c r="J130" s="64">
        <f t="shared" si="35"/>
        <v>1726346</v>
      </c>
      <c r="K130" s="401"/>
      <c r="L130" s="402"/>
      <c r="M130" s="402"/>
      <c r="N130" s="401">
        <f>O130</f>
        <v>1726346</v>
      </c>
      <c r="O130" s="402">
        <f>((665300-30000)+300000+31496+61645+9000+250000)+105000+151005+145000-25100+63000</f>
        <v>1726346</v>
      </c>
      <c r="P130" s="64">
        <f>E130+J130</f>
        <v>6002158</v>
      </c>
    </row>
    <row r="131" spans="1:17" s="6" customFormat="1" ht="91.5">
      <c r="A131" s="404" t="s">
        <v>88</v>
      </c>
      <c r="B131" s="404" t="s">
        <v>89</v>
      </c>
      <c r="C131" s="404" t="s">
        <v>248</v>
      </c>
      <c r="D131" s="404" t="s">
        <v>90</v>
      </c>
      <c r="E131" s="64">
        <f t="shared" si="34"/>
        <v>20416200</v>
      </c>
      <c r="F131" s="329">
        <f>((12628000)+6483000)+120000+43000+705530+436670</f>
        <v>20416200</v>
      </c>
      <c r="G131" s="330"/>
      <c r="H131" s="330"/>
      <c r="I131" s="329"/>
      <c r="J131" s="64">
        <f t="shared" si="35"/>
        <v>327352</v>
      </c>
      <c r="K131" s="329"/>
      <c r="L131" s="330"/>
      <c r="M131" s="330"/>
      <c r="N131" s="401">
        <f>O131</f>
        <v>327352</v>
      </c>
      <c r="O131" s="402">
        <f>((110000+30000)+100000)+87352</f>
        <v>327352</v>
      </c>
      <c r="P131" s="64">
        <f>+J131+E131</f>
        <v>20743552</v>
      </c>
    </row>
    <row r="132" spans="1:17" s="6" customFormat="1" ht="91.5">
      <c r="A132" s="404" t="s">
        <v>902</v>
      </c>
      <c r="B132" s="404" t="s">
        <v>192</v>
      </c>
      <c r="C132" s="404"/>
      <c r="D132" s="404" t="s">
        <v>193</v>
      </c>
      <c r="E132" s="64">
        <f t="shared" ref="E132:E133" si="36">F132</f>
        <v>0</v>
      </c>
      <c r="F132" s="329">
        <f>F133</f>
        <v>0</v>
      </c>
      <c r="G132" s="330"/>
      <c r="H132" s="330"/>
      <c r="I132" s="329"/>
      <c r="J132" s="64">
        <f t="shared" ref="J132:J133" si="37">K132+N132</f>
        <v>2000000</v>
      </c>
      <c r="K132" s="329"/>
      <c r="L132" s="330"/>
      <c r="M132" s="330"/>
      <c r="N132" s="401">
        <f t="shared" ref="N132:N133" si="38">O132</f>
        <v>2000000</v>
      </c>
      <c r="O132" s="402">
        <f>O133</f>
        <v>2000000</v>
      </c>
      <c r="P132" s="64">
        <f t="shared" ref="P132:P133" si="39">+J132+E132</f>
        <v>2000000</v>
      </c>
    </row>
    <row r="133" spans="1:17" s="6" customFormat="1" ht="137.25">
      <c r="A133" s="404" t="s">
        <v>903</v>
      </c>
      <c r="B133" s="304" t="s">
        <v>195</v>
      </c>
      <c r="C133" s="304" t="s">
        <v>522</v>
      </c>
      <c r="D133" s="304" t="s">
        <v>196</v>
      </c>
      <c r="E133" s="401">
        <f t="shared" si="36"/>
        <v>0</v>
      </c>
      <c r="F133" s="329"/>
      <c r="G133" s="329"/>
      <c r="H133" s="329"/>
      <c r="I133" s="329"/>
      <c r="J133" s="401">
        <f t="shared" si="37"/>
        <v>2000000</v>
      </c>
      <c r="K133" s="329"/>
      <c r="L133" s="329"/>
      <c r="M133" s="329"/>
      <c r="N133" s="401">
        <f t="shared" si="38"/>
        <v>2000000</v>
      </c>
      <c r="O133" s="401">
        <v>2000000</v>
      </c>
      <c r="P133" s="401">
        <f t="shared" si="39"/>
        <v>2000000</v>
      </c>
    </row>
    <row r="134" spans="1:17" ht="135">
      <c r="A134" s="394">
        <v>2400000</v>
      </c>
      <c r="B134" s="394"/>
      <c r="C134" s="394"/>
      <c r="D134" s="380" t="s">
        <v>330</v>
      </c>
      <c r="E134" s="387">
        <f>E135</f>
        <v>58155469</v>
      </c>
      <c r="F134" s="387">
        <f t="shared" ref="F134:P134" si="40">F135</f>
        <v>58155469</v>
      </c>
      <c r="G134" s="387">
        <f t="shared" si="40"/>
        <v>41123290</v>
      </c>
      <c r="H134" s="387">
        <f t="shared" si="40"/>
        <v>3034100</v>
      </c>
      <c r="I134" s="387">
        <f t="shared" si="40"/>
        <v>0</v>
      </c>
      <c r="J134" s="387">
        <f t="shared" si="40"/>
        <v>12478041</v>
      </c>
      <c r="K134" s="387">
        <f t="shared" si="40"/>
        <v>5214200</v>
      </c>
      <c r="L134" s="387">
        <f t="shared" si="40"/>
        <v>3730600</v>
      </c>
      <c r="M134" s="387">
        <f t="shared" si="40"/>
        <v>170000</v>
      </c>
      <c r="N134" s="387">
        <f t="shared" si="40"/>
        <v>7263841</v>
      </c>
      <c r="O134" s="386">
        <f t="shared" si="40"/>
        <v>7114141</v>
      </c>
      <c r="P134" s="387">
        <f t="shared" si="40"/>
        <v>70633510</v>
      </c>
    </row>
    <row r="135" spans="1:17" ht="180">
      <c r="A135" s="395">
        <v>24100000</v>
      </c>
      <c r="B135" s="395"/>
      <c r="C135" s="395"/>
      <c r="D135" s="384" t="s">
        <v>417</v>
      </c>
      <c r="E135" s="386">
        <f>E136+E137+E138+E139+E140+E142+E141+E143</f>
        <v>58155469</v>
      </c>
      <c r="F135" s="387">
        <f>F136+F137+F138+F139+F140+F142+F141+F143</f>
        <v>58155469</v>
      </c>
      <c r="G135" s="386">
        <f>G136+G137+G138+G139+G140+G142+G141+G143</f>
        <v>41123290</v>
      </c>
      <c r="H135" s="386">
        <f>H136+H137+H138+H139+H140+H142+H141+H143</f>
        <v>3034100</v>
      </c>
      <c r="I135" s="387">
        <v>0</v>
      </c>
      <c r="J135" s="386">
        <f t="shared" ref="J135:J142" si="41">K135+N135</f>
        <v>12478041</v>
      </c>
      <c r="K135" s="387">
        <f>K136+K137+K138+K139+K140+K142+K141+K143</f>
        <v>5214200</v>
      </c>
      <c r="L135" s="386">
        <f>L136+L137+L138+L139+L140+L142+L141+L143</f>
        <v>3730600</v>
      </c>
      <c r="M135" s="386">
        <f>M136+M137+M138+M139+M140+M142+M141+M143</f>
        <v>170000</v>
      </c>
      <c r="N135" s="387">
        <f>N136+N137+N138+N139+N140+N142+N141+N143</f>
        <v>7263841</v>
      </c>
      <c r="O135" s="386">
        <f>O136+O137+O138+O139+O140+O142+O141+O143</f>
        <v>7114141</v>
      </c>
      <c r="P135" s="386">
        <f t="shared" ref="P135:P142" si="42">E135+J135</f>
        <v>70633510</v>
      </c>
    </row>
    <row r="136" spans="1:17" ht="46.5">
      <c r="A136" s="404" t="s">
        <v>483</v>
      </c>
      <c r="B136" s="404" t="s">
        <v>484</v>
      </c>
      <c r="C136" s="404" t="s">
        <v>485</v>
      </c>
      <c r="D136" s="404" t="s">
        <v>486</v>
      </c>
      <c r="E136" s="64">
        <f t="shared" ref="E136:E142" si="43">F136</f>
        <v>532600</v>
      </c>
      <c r="F136" s="401">
        <f>(356300)+148300+28000</f>
        <v>532600</v>
      </c>
      <c r="G136" s="402"/>
      <c r="H136" s="402"/>
      <c r="I136" s="401"/>
      <c r="J136" s="64">
        <f t="shared" si="41"/>
        <v>0</v>
      </c>
      <c r="K136" s="401"/>
      <c r="L136" s="402"/>
      <c r="M136" s="402"/>
      <c r="N136" s="401">
        <f>O136</f>
        <v>0</v>
      </c>
      <c r="O136" s="402"/>
      <c r="P136" s="64">
        <f t="shared" si="42"/>
        <v>532600</v>
      </c>
    </row>
    <row r="137" spans="1:17" ht="46.5">
      <c r="A137" s="404" t="s">
        <v>467</v>
      </c>
      <c r="B137" s="404" t="s">
        <v>468</v>
      </c>
      <c r="C137" s="404" t="s">
        <v>469</v>
      </c>
      <c r="D137" s="404" t="s">
        <v>470</v>
      </c>
      <c r="E137" s="64">
        <f t="shared" si="43"/>
        <v>5784020</v>
      </c>
      <c r="F137" s="401">
        <f>(5655000-1374500+1374500)+79020+50000</f>
        <v>5784020</v>
      </c>
      <c r="G137" s="402">
        <f>3055280+1164720</f>
        <v>4220000</v>
      </c>
      <c r="H137" s="402">
        <f>(389000)+50000</f>
        <v>439000</v>
      </c>
      <c r="I137" s="401"/>
      <c r="J137" s="64">
        <f t="shared" si="41"/>
        <v>910280</v>
      </c>
      <c r="K137" s="401">
        <v>76000</v>
      </c>
      <c r="L137" s="402">
        <v>9800</v>
      </c>
      <c r="M137" s="402">
        <v>18500</v>
      </c>
      <c r="N137" s="401">
        <f>O137</f>
        <v>834280</v>
      </c>
      <c r="O137" s="402">
        <f>((418100)+116180)+300000</f>
        <v>834280</v>
      </c>
      <c r="P137" s="64">
        <f t="shared" si="42"/>
        <v>6694300</v>
      </c>
    </row>
    <row r="138" spans="1:17" ht="46.5">
      <c r="A138" s="404" t="s">
        <v>471</v>
      </c>
      <c r="B138" s="404" t="s">
        <v>472</v>
      </c>
      <c r="C138" s="404" t="s">
        <v>469</v>
      </c>
      <c r="D138" s="404" t="s">
        <v>473</v>
      </c>
      <c r="E138" s="64">
        <f t="shared" si="43"/>
        <v>815300</v>
      </c>
      <c r="F138" s="401">
        <f>((785300-192430+192430)+20000+12000)+3000+10000-15000</f>
        <v>815300</v>
      </c>
      <c r="G138" s="402">
        <f>((353312+134688)+16390)+8200</f>
        <v>512590</v>
      </c>
      <c r="H138" s="402">
        <f>(173300)-15000</f>
        <v>158300</v>
      </c>
      <c r="I138" s="401"/>
      <c r="J138" s="64">
        <f t="shared" si="41"/>
        <v>2601793</v>
      </c>
      <c r="K138" s="401">
        <v>52800</v>
      </c>
      <c r="L138" s="402">
        <v>5700</v>
      </c>
      <c r="M138" s="402">
        <v>3200</v>
      </c>
      <c r="N138" s="401">
        <f>O138</f>
        <v>2548993</v>
      </c>
      <c r="O138" s="402">
        <f>(((7029000)+59693-2523200-50000)+10000+23500)-2000000</f>
        <v>2548993</v>
      </c>
      <c r="P138" s="64">
        <f t="shared" si="42"/>
        <v>3417093</v>
      </c>
    </row>
    <row r="139" spans="1:17" ht="175.5" customHeight="1">
      <c r="A139" s="404" t="s">
        <v>474</v>
      </c>
      <c r="B139" s="404" t="s">
        <v>475</v>
      </c>
      <c r="C139" s="404" t="s">
        <v>476</v>
      </c>
      <c r="D139" s="404" t="s">
        <v>477</v>
      </c>
      <c r="E139" s="64">
        <f t="shared" si="43"/>
        <v>4167900</v>
      </c>
      <c r="F139" s="401">
        <f>(4140900-1017130+1017130)+27000</f>
        <v>4167900</v>
      </c>
      <c r="G139" s="402">
        <f>2086568+795432</f>
        <v>2882000</v>
      </c>
      <c r="H139" s="402">
        <f>(541700)+27000</f>
        <v>568700</v>
      </c>
      <c r="I139" s="401"/>
      <c r="J139" s="64">
        <f t="shared" si="41"/>
        <v>3307620</v>
      </c>
      <c r="K139" s="401">
        <v>322200</v>
      </c>
      <c r="L139" s="402">
        <v>175200</v>
      </c>
      <c r="M139" s="402">
        <v>34800</v>
      </c>
      <c r="N139" s="401">
        <f>O139+53600-3000</f>
        <v>2985420</v>
      </c>
      <c r="O139" s="402">
        <f>(((1000000+35000)+570600)+1185200)+13000+42300+81600+7120</f>
        <v>2934820</v>
      </c>
      <c r="P139" s="64">
        <f t="shared" si="42"/>
        <v>7475520</v>
      </c>
    </row>
    <row r="140" spans="1:17" ht="91.5">
      <c r="A140" s="404" t="s">
        <v>200</v>
      </c>
      <c r="B140" s="404" t="s">
        <v>487</v>
      </c>
      <c r="C140" s="404" t="s">
        <v>249</v>
      </c>
      <c r="D140" s="404" t="s">
        <v>478</v>
      </c>
      <c r="E140" s="64">
        <f t="shared" si="43"/>
        <v>34672249</v>
      </c>
      <c r="F140" s="401">
        <f>((34627100-8453175+8453175+46000)+53600)+7549-62000</f>
        <v>34672249</v>
      </c>
      <c r="G140" s="402">
        <f>(19292356+46000+7354544)+43600</f>
        <v>26736500</v>
      </c>
      <c r="H140" s="402">
        <f>(1910100)-62000</f>
        <v>1848100</v>
      </c>
      <c r="I140" s="401"/>
      <c r="J140" s="64">
        <f t="shared" si="41"/>
        <v>5262948</v>
      </c>
      <c r="K140" s="401">
        <v>4729600</v>
      </c>
      <c r="L140" s="402">
        <v>3537800</v>
      </c>
      <c r="M140" s="402">
        <f>67300+46000</f>
        <v>113300</v>
      </c>
      <c r="N140" s="401">
        <f>O140+86500-5200</f>
        <v>533348</v>
      </c>
      <c r="O140" s="402">
        <f>((((2171400)+155000)+182060-80000)+7200+3388)-1987000</f>
        <v>452048</v>
      </c>
      <c r="P140" s="64">
        <f t="shared" si="42"/>
        <v>39935197</v>
      </c>
    </row>
    <row r="141" spans="1:17" ht="46.5">
      <c r="A141" s="404" t="s">
        <v>842</v>
      </c>
      <c r="B141" s="404" t="s">
        <v>843</v>
      </c>
      <c r="C141" s="404" t="s">
        <v>845</v>
      </c>
      <c r="D141" s="404" t="s">
        <v>844</v>
      </c>
      <c r="E141" s="64">
        <f t="shared" ref="E141" si="44">F141</f>
        <v>144000</v>
      </c>
      <c r="F141" s="401">
        <v>144000</v>
      </c>
      <c r="G141" s="402"/>
      <c r="H141" s="402"/>
      <c r="I141" s="401"/>
      <c r="J141" s="64">
        <f t="shared" ref="J141" si="45">K141+N141</f>
        <v>0</v>
      </c>
      <c r="K141" s="401"/>
      <c r="L141" s="402"/>
      <c r="M141" s="402"/>
      <c r="N141" s="401">
        <f>O141</f>
        <v>0</v>
      </c>
      <c r="O141" s="402"/>
      <c r="P141" s="64">
        <f t="shared" ref="P141" si="46">E141+J141</f>
        <v>144000</v>
      </c>
    </row>
    <row r="142" spans="1:17" ht="91.5">
      <c r="A142" s="404" t="s">
        <v>479</v>
      </c>
      <c r="B142" s="404" t="s">
        <v>480</v>
      </c>
      <c r="C142" s="404" t="s">
        <v>481</v>
      </c>
      <c r="D142" s="404" t="s">
        <v>482</v>
      </c>
      <c r="E142" s="64">
        <f t="shared" si="43"/>
        <v>12039400</v>
      </c>
      <c r="F142" s="401">
        <f>((10051400+861000+190000-2707765+2707765)+637000)+300000</f>
        <v>12039400</v>
      </c>
      <c r="G142" s="402">
        <f>(4821985+1838215)+112000</f>
        <v>6772200</v>
      </c>
      <c r="H142" s="402">
        <v>20000</v>
      </c>
      <c r="I142" s="401"/>
      <c r="J142" s="64">
        <f t="shared" si="41"/>
        <v>96400</v>
      </c>
      <c r="K142" s="401">
        <v>33600</v>
      </c>
      <c r="L142" s="402">
        <v>2100</v>
      </c>
      <c r="M142" s="402">
        <v>200</v>
      </c>
      <c r="N142" s="401">
        <f>O142+17800</f>
        <v>62800</v>
      </c>
      <c r="O142" s="402">
        <v>45000</v>
      </c>
      <c r="P142" s="64">
        <f t="shared" si="42"/>
        <v>12135800</v>
      </c>
    </row>
    <row r="143" spans="1:17" ht="91.5">
      <c r="A143" s="404" t="s">
        <v>904</v>
      </c>
      <c r="B143" s="404" t="s">
        <v>403</v>
      </c>
      <c r="C143" s="304" t="s">
        <v>401</v>
      </c>
      <c r="D143" s="305" t="s">
        <v>404</v>
      </c>
      <c r="E143" s="64">
        <f t="shared" ref="E143" si="47">F143</f>
        <v>0</v>
      </c>
      <c r="F143" s="401"/>
      <c r="G143" s="402"/>
      <c r="H143" s="402"/>
      <c r="I143" s="401"/>
      <c r="J143" s="64">
        <f t="shared" ref="J143" si="48">K143+N143</f>
        <v>299000</v>
      </c>
      <c r="K143" s="401"/>
      <c r="L143" s="402"/>
      <c r="M143" s="402"/>
      <c r="N143" s="401">
        <f>O143</f>
        <v>299000</v>
      </c>
      <c r="O143" s="402">
        <v>299000</v>
      </c>
      <c r="P143" s="64">
        <f t="shared" ref="P143" si="49">E143+J143</f>
        <v>299000</v>
      </c>
    </row>
    <row r="144" spans="1:17" ht="180">
      <c r="A144" s="380" t="s">
        <v>328</v>
      </c>
      <c r="B144" s="380"/>
      <c r="C144" s="380"/>
      <c r="D144" s="380" t="s">
        <v>327</v>
      </c>
      <c r="E144" s="387">
        <f>E145</f>
        <v>137011273</v>
      </c>
      <c r="F144" s="387">
        <f t="shared" ref="F144:P144" si="50">F145</f>
        <v>137011273</v>
      </c>
      <c r="G144" s="387">
        <f t="shared" si="50"/>
        <v>704200</v>
      </c>
      <c r="H144" s="387">
        <f t="shared" si="50"/>
        <v>12870</v>
      </c>
      <c r="I144" s="387">
        <f t="shared" si="50"/>
        <v>0</v>
      </c>
      <c r="J144" s="387">
        <f t="shared" si="50"/>
        <v>317225996.38999999</v>
      </c>
      <c r="K144" s="387">
        <f t="shared" si="50"/>
        <v>11163</v>
      </c>
      <c r="L144" s="387">
        <f t="shared" si="50"/>
        <v>0</v>
      </c>
      <c r="M144" s="387">
        <f t="shared" si="50"/>
        <v>0</v>
      </c>
      <c r="N144" s="387">
        <f t="shared" si="50"/>
        <v>317214833.38999999</v>
      </c>
      <c r="O144" s="386">
        <f t="shared" si="50"/>
        <v>316129860.80000001</v>
      </c>
      <c r="P144" s="387">
        <f t="shared" si="50"/>
        <v>454237269.38999999</v>
      </c>
      <c r="Q144" s="31"/>
    </row>
    <row r="145" spans="1:17" ht="180">
      <c r="A145" s="384" t="s">
        <v>329</v>
      </c>
      <c r="B145" s="384"/>
      <c r="C145" s="384"/>
      <c r="D145" s="384" t="s">
        <v>418</v>
      </c>
      <c r="E145" s="386">
        <f>F145</f>
        <v>137011273</v>
      </c>
      <c r="F145" s="387">
        <f>F146+F147+F152+F153+F157+F159+F160+F161+F163+F158+F162</f>
        <v>137011273</v>
      </c>
      <c r="G145" s="386">
        <f>G146+G152+G153+G157+G159+G160+G161+G163+G147+G158</f>
        <v>704200</v>
      </c>
      <c r="H145" s="386">
        <f>H146+H152+H153+H157+H159+H160+H161+H163+H147+H158</f>
        <v>12870</v>
      </c>
      <c r="I145" s="387">
        <v>0</v>
      </c>
      <c r="J145" s="386">
        <f>J146+J147+J152+J153+J157+J159+J160+J161+J163+J158+J162+J164</f>
        <v>317225996.38999999</v>
      </c>
      <c r="K145" s="387">
        <f t="shared" ref="K145:M145" si="51">K146+K147+K152+K153+K157+K159+K160+K161+K163+K158+K162</f>
        <v>11163</v>
      </c>
      <c r="L145" s="386">
        <f t="shared" si="51"/>
        <v>0</v>
      </c>
      <c r="M145" s="386">
        <f t="shared" si="51"/>
        <v>0</v>
      </c>
      <c r="N145" s="387">
        <f>N146+N147+N152+N153+N157+N159+N160+N161+N163+N158+N162+N164</f>
        <v>317214833.38999999</v>
      </c>
      <c r="O145" s="386">
        <f>O146+O147+O152+O153+O157+O159+O160+O161+O163+O158+O162+O164</f>
        <v>316129860.80000001</v>
      </c>
      <c r="P145" s="386">
        <f>E145+J145</f>
        <v>454237269.38999999</v>
      </c>
      <c r="Q145" s="75"/>
    </row>
    <row r="146" spans="1:17" ht="183">
      <c r="A146" s="372" t="s">
        <v>430</v>
      </c>
      <c r="B146" s="372" t="s">
        <v>431</v>
      </c>
      <c r="C146" s="372" t="s">
        <v>432</v>
      </c>
      <c r="D146" s="372" t="s">
        <v>433</v>
      </c>
      <c r="E146" s="64">
        <f>F146</f>
        <v>5398266</v>
      </c>
      <c r="F146" s="374">
        <f>((1733800+1390000+1082250+307216)+760000)+125000</f>
        <v>5398266</v>
      </c>
      <c r="G146" s="300"/>
      <c r="H146" s="375"/>
      <c r="I146" s="374"/>
      <c r="J146" s="64">
        <f t="shared" ref="J146:J159" si="52">K146+N146</f>
        <v>60000</v>
      </c>
      <c r="K146" s="374"/>
      <c r="L146" s="375"/>
      <c r="M146" s="375"/>
      <c r="N146" s="374">
        <f t="shared" ref="N146:N163" si="53">O146</f>
        <v>60000</v>
      </c>
      <c r="O146" s="375">
        <v>60000</v>
      </c>
      <c r="P146" s="64">
        <f t="shared" ref="P146:P159" si="54">E146+J146</f>
        <v>5458266</v>
      </c>
    </row>
    <row r="147" spans="1:17" ht="91.5">
      <c r="A147" s="372" t="s">
        <v>526</v>
      </c>
      <c r="B147" s="372" t="s">
        <v>527</v>
      </c>
      <c r="C147" s="372"/>
      <c r="D147" s="372" t="s">
        <v>528</v>
      </c>
      <c r="E147" s="64">
        <f>F147</f>
        <v>0</v>
      </c>
      <c r="F147" s="374">
        <f>F148+F151</f>
        <v>0</v>
      </c>
      <c r="G147" s="300"/>
      <c r="H147" s="375"/>
      <c r="I147" s="374"/>
      <c r="J147" s="64">
        <f t="shared" si="52"/>
        <v>41995444</v>
      </c>
      <c r="K147" s="374">
        <f>K148+K151</f>
        <v>0</v>
      </c>
      <c r="L147" s="375">
        <f>L148</f>
        <v>0</v>
      </c>
      <c r="M147" s="375">
        <f>M148</f>
        <v>0</v>
      </c>
      <c r="N147" s="374">
        <f>N148+N151</f>
        <v>41995444</v>
      </c>
      <c r="O147" s="375">
        <f>O148+O151</f>
        <v>41995444</v>
      </c>
      <c r="P147" s="64">
        <f t="shared" si="54"/>
        <v>41995444</v>
      </c>
    </row>
    <row r="148" spans="1:17" ht="91.5">
      <c r="A148" s="500" t="s">
        <v>529</v>
      </c>
      <c r="B148" s="500" t="s">
        <v>530</v>
      </c>
      <c r="C148" s="500" t="s">
        <v>432</v>
      </c>
      <c r="D148" s="304" t="s">
        <v>531</v>
      </c>
      <c r="E148" s="374">
        <f t="shared" ref="E148:E163" si="55">F148</f>
        <v>0</v>
      </c>
      <c r="F148" s="374"/>
      <c r="G148" s="74"/>
      <c r="H148" s="374"/>
      <c r="I148" s="374"/>
      <c r="J148" s="374">
        <f t="shared" si="52"/>
        <v>40630817</v>
      </c>
      <c r="K148" s="374"/>
      <c r="L148" s="374"/>
      <c r="M148" s="374"/>
      <c r="N148" s="374">
        <f t="shared" si="53"/>
        <v>40630817</v>
      </c>
      <c r="O148" s="375">
        <f>((32000000+8000000-1000000+250000)+1653727+500000-1053727+222673)+187044+700000-926662.36+97762.36</f>
        <v>40630817</v>
      </c>
      <c r="P148" s="374">
        <f t="shared" si="54"/>
        <v>40630817</v>
      </c>
    </row>
    <row r="149" spans="1:17" ht="137.25">
      <c r="A149" s="482"/>
      <c r="B149" s="482"/>
      <c r="C149" s="482"/>
      <c r="D149" s="304" t="s">
        <v>532</v>
      </c>
      <c r="E149" s="374"/>
      <c r="F149" s="374"/>
      <c r="G149" s="74"/>
      <c r="H149" s="374"/>
      <c r="I149" s="374"/>
      <c r="J149" s="374">
        <f t="shared" si="52"/>
        <v>2000000</v>
      </c>
      <c r="K149" s="374"/>
      <c r="L149" s="374"/>
      <c r="M149" s="374"/>
      <c r="N149" s="374">
        <f t="shared" si="53"/>
        <v>2000000</v>
      </c>
      <c r="O149" s="375">
        <f>1000000+1000000</f>
        <v>2000000</v>
      </c>
      <c r="P149" s="374">
        <f t="shared" si="54"/>
        <v>2000000</v>
      </c>
    </row>
    <row r="150" spans="1:17" ht="137.25">
      <c r="A150" s="483"/>
      <c r="B150" s="483"/>
      <c r="C150" s="483"/>
      <c r="D150" s="304" t="s">
        <v>533</v>
      </c>
      <c r="E150" s="374"/>
      <c r="F150" s="374"/>
      <c r="G150" s="74"/>
      <c r="H150" s="374"/>
      <c r="I150" s="374"/>
      <c r="J150" s="374">
        <f t="shared" si="52"/>
        <v>28000000</v>
      </c>
      <c r="K150" s="374"/>
      <c r="L150" s="374"/>
      <c r="M150" s="374"/>
      <c r="N150" s="374">
        <f t="shared" si="53"/>
        <v>28000000</v>
      </c>
      <c r="O150" s="375">
        <f>12000000+8000000+8000000</f>
        <v>28000000</v>
      </c>
      <c r="P150" s="374">
        <f t="shared" si="54"/>
        <v>28000000</v>
      </c>
    </row>
    <row r="151" spans="1:17" ht="156" customHeight="1">
      <c r="A151" s="304" t="s">
        <v>890</v>
      </c>
      <c r="B151" s="304" t="s">
        <v>891</v>
      </c>
      <c r="C151" s="304" t="s">
        <v>432</v>
      </c>
      <c r="D151" s="304" t="s">
        <v>892</v>
      </c>
      <c r="E151" s="374">
        <f t="shared" ref="E151" si="56">F151</f>
        <v>0</v>
      </c>
      <c r="F151" s="374"/>
      <c r="G151" s="74"/>
      <c r="H151" s="374"/>
      <c r="I151" s="374"/>
      <c r="J151" s="374">
        <f t="shared" ref="J151" si="57">K151+N151</f>
        <v>1364627</v>
      </c>
      <c r="K151" s="374"/>
      <c r="L151" s="374"/>
      <c r="M151" s="374"/>
      <c r="N151" s="374">
        <f t="shared" ref="N151" si="58">O151</f>
        <v>1364627</v>
      </c>
      <c r="O151" s="374">
        <f>(1053727)+700000-700000+310900</f>
        <v>1364627</v>
      </c>
      <c r="P151" s="374">
        <f t="shared" ref="P151" si="59">E151+J151</f>
        <v>1364627</v>
      </c>
    </row>
    <row r="152" spans="1:17" ht="137.25">
      <c r="A152" s="372" t="s">
        <v>434</v>
      </c>
      <c r="B152" s="372" t="s">
        <v>435</v>
      </c>
      <c r="C152" s="372" t="s">
        <v>432</v>
      </c>
      <c r="D152" s="372" t="s">
        <v>436</v>
      </c>
      <c r="E152" s="64">
        <f t="shared" si="55"/>
        <v>3706323</v>
      </c>
      <c r="F152" s="374">
        <f>(3416903+371670-1082250)+800000+200000</f>
        <v>3706323</v>
      </c>
      <c r="G152" s="300"/>
      <c r="H152" s="375"/>
      <c r="I152" s="374"/>
      <c r="J152" s="64">
        <f t="shared" si="52"/>
        <v>0</v>
      </c>
      <c r="K152" s="374"/>
      <c r="L152" s="375"/>
      <c r="M152" s="375"/>
      <c r="N152" s="374">
        <f t="shared" si="53"/>
        <v>0</v>
      </c>
      <c r="O152" s="375"/>
      <c r="P152" s="64">
        <f t="shared" si="54"/>
        <v>3706323</v>
      </c>
    </row>
    <row r="153" spans="1:17" ht="91.5">
      <c r="A153" s="371" t="s">
        <v>440</v>
      </c>
      <c r="B153" s="371" t="s">
        <v>441</v>
      </c>
      <c r="C153" s="371"/>
      <c r="D153" s="372" t="s">
        <v>442</v>
      </c>
      <c r="E153" s="64">
        <f t="shared" si="55"/>
        <v>3475000</v>
      </c>
      <c r="F153" s="374">
        <f>F155+F156+F154</f>
        <v>3475000</v>
      </c>
      <c r="G153" s="300"/>
      <c r="H153" s="375"/>
      <c r="I153" s="374"/>
      <c r="J153" s="64">
        <f t="shared" si="52"/>
        <v>0</v>
      </c>
      <c r="K153" s="374"/>
      <c r="L153" s="375"/>
      <c r="M153" s="375"/>
      <c r="N153" s="374">
        <f>N155+N156+N154</f>
        <v>0</v>
      </c>
      <c r="O153" s="375">
        <f>O155+O156+O154</f>
        <v>0</v>
      </c>
      <c r="P153" s="64">
        <f t="shared" si="54"/>
        <v>3475000</v>
      </c>
    </row>
    <row r="154" spans="1:17" ht="91.5">
      <c r="A154" s="371" t="s">
        <v>880</v>
      </c>
      <c r="B154" s="371" t="s">
        <v>881</v>
      </c>
      <c r="C154" s="371" t="s">
        <v>439</v>
      </c>
      <c r="D154" s="372" t="s">
        <v>882</v>
      </c>
      <c r="E154" s="374">
        <f t="shared" si="55"/>
        <v>680000</v>
      </c>
      <c r="F154" s="374">
        <v>680000</v>
      </c>
      <c r="G154" s="300"/>
      <c r="H154" s="375"/>
      <c r="I154" s="374"/>
      <c r="J154" s="64"/>
      <c r="K154" s="374"/>
      <c r="L154" s="375"/>
      <c r="M154" s="375"/>
      <c r="N154" s="374"/>
      <c r="O154" s="375"/>
      <c r="P154" s="374">
        <f t="shared" si="54"/>
        <v>680000</v>
      </c>
    </row>
    <row r="155" spans="1:17" ht="137.25">
      <c r="A155" s="304" t="s">
        <v>437</v>
      </c>
      <c r="B155" s="304" t="s">
        <v>438</v>
      </c>
      <c r="C155" s="304" t="s">
        <v>439</v>
      </c>
      <c r="D155" s="331" t="s">
        <v>443</v>
      </c>
      <c r="E155" s="374">
        <f t="shared" si="55"/>
        <v>2400000</v>
      </c>
      <c r="F155" s="374">
        <f>400000+2000000</f>
        <v>2400000</v>
      </c>
      <c r="G155" s="374"/>
      <c r="H155" s="374"/>
      <c r="I155" s="374"/>
      <c r="J155" s="374">
        <f t="shared" si="52"/>
        <v>0</v>
      </c>
      <c r="K155" s="374"/>
      <c r="L155" s="374"/>
      <c r="M155" s="374"/>
      <c r="N155" s="374">
        <f t="shared" si="53"/>
        <v>0</v>
      </c>
      <c r="O155" s="375"/>
      <c r="P155" s="374">
        <f t="shared" si="54"/>
        <v>2400000</v>
      </c>
    </row>
    <row r="156" spans="1:17" ht="228.75">
      <c r="A156" s="304" t="s">
        <v>208</v>
      </c>
      <c r="B156" s="304" t="s">
        <v>209</v>
      </c>
      <c r="C156" s="304" t="s">
        <v>439</v>
      </c>
      <c r="D156" s="331" t="s">
        <v>210</v>
      </c>
      <c r="E156" s="374">
        <f t="shared" si="55"/>
        <v>395000</v>
      </c>
      <c r="F156" s="374">
        <f>(151800+48200)+195000</f>
        <v>395000</v>
      </c>
      <c r="G156" s="374"/>
      <c r="H156" s="374"/>
      <c r="I156" s="374"/>
      <c r="J156" s="374"/>
      <c r="K156" s="374"/>
      <c r="L156" s="374"/>
      <c r="M156" s="374"/>
      <c r="N156" s="374">
        <f t="shared" si="53"/>
        <v>0</v>
      </c>
      <c r="O156" s="375"/>
      <c r="P156" s="374">
        <f t="shared" si="54"/>
        <v>395000</v>
      </c>
    </row>
    <row r="157" spans="1:17" ht="94.5" customHeight="1">
      <c r="A157" s="372" t="s">
        <v>444</v>
      </c>
      <c r="B157" s="372" t="s">
        <v>445</v>
      </c>
      <c r="C157" s="372" t="s">
        <v>439</v>
      </c>
      <c r="D157" s="372" t="s">
        <v>446</v>
      </c>
      <c r="E157" s="64">
        <f t="shared" si="55"/>
        <v>83249544</v>
      </c>
      <c r="F157" s="374">
        <f>((77516728-1390000-8000000+1534560-2000000)+8640700+2065880)+4881676</f>
        <v>83249544</v>
      </c>
      <c r="G157" s="307"/>
      <c r="H157" s="307"/>
      <c r="I157" s="307"/>
      <c r="J157" s="64">
        <f t="shared" si="52"/>
        <v>24251145</v>
      </c>
      <c r="K157" s="374"/>
      <c r="L157" s="375"/>
      <c r="M157" s="375"/>
      <c r="N157" s="374">
        <f t="shared" si="53"/>
        <v>24251145</v>
      </c>
      <c r="O157" s="375">
        <f>((25501260-9000000-1000000+1000000+4692480)+528021+104888+819377)+1305119+300000</f>
        <v>24251145</v>
      </c>
      <c r="P157" s="64">
        <f t="shared" si="54"/>
        <v>107500689</v>
      </c>
    </row>
    <row r="158" spans="1:17" ht="94.5" customHeight="1">
      <c r="A158" s="372" t="s">
        <v>534</v>
      </c>
      <c r="B158" s="372" t="s">
        <v>400</v>
      </c>
      <c r="C158" s="304" t="s">
        <v>401</v>
      </c>
      <c r="D158" s="305" t="s">
        <v>535</v>
      </c>
      <c r="E158" s="64">
        <f>F158</f>
        <v>0</v>
      </c>
      <c r="F158" s="374"/>
      <c r="G158" s="375"/>
      <c r="H158" s="375"/>
      <c r="I158" s="374"/>
      <c r="J158" s="64">
        <f>K158+N158</f>
        <v>35390701</v>
      </c>
      <c r="K158" s="374"/>
      <c r="L158" s="375"/>
      <c r="M158" s="375"/>
      <c r="N158" s="374">
        <f>O158</f>
        <v>35390701</v>
      </c>
      <c r="O158" s="375">
        <f>(34539200)+651501+200000</f>
        <v>35390701</v>
      </c>
      <c r="P158" s="64">
        <f t="shared" si="54"/>
        <v>35390701</v>
      </c>
    </row>
    <row r="159" spans="1:17" ht="91.5">
      <c r="A159" s="372" t="s">
        <v>447</v>
      </c>
      <c r="B159" s="372" t="s">
        <v>448</v>
      </c>
      <c r="C159" s="372" t="s">
        <v>449</v>
      </c>
      <c r="D159" s="372" t="s">
        <v>450</v>
      </c>
      <c r="E159" s="64">
        <f t="shared" si="55"/>
        <v>19967700</v>
      </c>
      <c r="F159" s="374">
        <f>((10000000-1000000+5000000)+5500000)+267700+200000</f>
        <v>19967700</v>
      </c>
      <c r="G159" s="307"/>
      <c r="H159" s="307"/>
      <c r="I159" s="307"/>
      <c r="J159" s="64">
        <f t="shared" si="52"/>
        <v>0</v>
      </c>
      <c r="K159" s="374"/>
      <c r="L159" s="375"/>
      <c r="M159" s="375"/>
      <c r="N159" s="374">
        <f t="shared" si="53"/>
        <v>0</v>
      </c>
      <c r="O159" s="375"/>
      <c r="P159" s="64">
        <f t="shared" si="54"/>
        <v>19967700</v>
      </c>
    </row>
    <row r="160" spans="1:17" ht="91.5">
      <c r="A160" s="372" t="s">
        <v>451</v>
      </c>
      <c r="B160" s="372" t="s">
        <v>452</v>
      </c>
      <c r="C160" s="372" t="s">
        <v>453</v>
      </c>
      <c r="D160" s="305" t="s">
        <v>454</v>
      </c>
      <c r="E160" s="64">
        <f t="shared" si="55"/>
        <v>19393870</v>
      </c>
      <c r="F160" s="374">
        <f>((23660200)-2065880)-2000450-200000</f>
        <v>19393870</v>
      </c>
      <c r="G160" s="375"/>
      <c r="H160" s="375"/>
      <c r="I160" s="374"/>
      <c r="J160" s="299">
        <f t="shared" ref="J160:J182" si="60">K160+N160</f>
        <v>96671213.390000001</v>
      </c>
      <c r="K160" s="307"/>
      <c r="L160" s="307"/>
      <c r="M160" s="307"/>
      <c r="N160" s="374">
        <f>O160+363000+721972.59</f>
        <v>96671213.390000001</v>
      </c>
      <c r="O160" s="375">
        <f>((81117450-10000000)+37237380+646508.39-66000-28000-104888-320000-819377-1086860-721972.59)-10068000-200000</f>
        <v>95586240.799999997</v>
      </c>
      <c r="P160" s="64">
        <f t="shared" ref="P160:P166" si="61">+J160+E160</f>
        <v>116065083.39</v>
      </c>
    </row>
    <row r="161" spans="1:16" ht="46.5">
      <c r="A161" s="372" t="s">
        <v>455</v>
      </c>
      <c r="B161" s="372" t="s">
        <v>456</v>
      </c>
      <c r="C161" s="372" t="s">
        <v>457</v>
      </c>
      <c r="D161" s="305" t="s">
        <v>458</v>
      </c>
      <c r="E161" s="64">
        <f t="shared" si="55"/>
        <v>915000</v>
      </c>
      <c r="F161" s="374">
        <f>(900000)+15000</f>
        <v>915000</v>
      </c>
      <c r="G161" s="375"/>
      <c r="H161" s="375"/>
      <c r="I161" s="374"/>
      <c r="J161" s="299">
        <f t="shared" si="60"/>
        <v>6886470</v>
      </c>
      <c r="K161" s="307"/>
      <c r="L161" s="307"/>
      <c r="M161" s="307"/>
      <c r="N161" s="374">
        <f t="shared" si="53"/>
        <v>6886470</v>
      </c>
      <c r="O161" s="375">
        <f>((3000000+2500000)+4872826)-3423356-63000</f>
        <v>6886470</v>
      </c>
      <c r="P161" s="64">
        <f t="shared" si="61"/>
        <v>7801470</v>
      </c>
    </row>
    <row r="162" spans="1:16" ht="91.5">
      <c r="A162" s="372" t="s">
        <v>536</v>
      </c>
      <c r="B162" s="372" t="s">
        <v>403</v>
      </c>
      <c r="C162" s="304" t="s">
        <v>401</v>
      </c>
      <c r="D162" s="305" t="s">
        <v>404</v>
      </c>
      <c r="E162" s="64">
        <f>F162</f>
        <v>0</v>
      </c>
      <c r="F162" s="374"/>
      <c r="G162" s="375"/>
      <c r="H162" s="375"/>
      <c r="I162" s="374"/>
      <c r="J162" s="64">
        <f>K162+N162</f>
        <v>111860360</v>
      </c>
      <c r="K162" s="374"/>
      <c r="L162" s="375"/>
      <c r="M162" s="375"/>
      <c r="N162" s="374">
        <f>O162</f>
        <v>111860360</v>
      </c>
      <c r="O162" s="375">
        <f>((4880000+27916601-27916601+86960208-1550000+1413120+205561)+13728915+1086860)+4917696+200000+18000</f>
        <v>111860360</v>
      </c>
      <c r="P162" s="64">
        <f>+J162+E162</f>
        <v>111860360</v>
      </c>
    </row>
    <row r="163" spans="1:16" ht="46.5">
      <c r="A163" s="372" t="s">
        <v>459</v>
      </c>
      <c r="B163" s="372" t="s">
        <v>460</v>
      </c>
      <c r="C163" s="372" t="s">
        <v>461</v>
      </c>
      <c r="D163" s="305" t="s">
        <v>462</v>
      </c>
      <c r="E163" s="64">
        <f t="shared" si="55"/>
        <v>905570</v>
      </c>
      <c r="F163" s="374">
        <f>905570-137000+137000</f>
        <v>905570</v>
      </c>
      <c r="G163" s="375">
        <f>(583877+114123)+6200</f>
        <v>704200</v>
      </c>
      <c r="H163" s="375">
        <v>12870</v>
      </c>
      <c r="I163" s="374"/>
      <c r="J163" s="64">
        <f t="shared" si="60"/>
        <v>11163</v>
      </c>
      <c r="K163" s="374">
        <v>11163</v>
      </c>
      <c r="L163" s="375"/>
      <c r="M163" s="375"/>
      <c r="N163" s="374">
        <f t="shared" si="53"/>
        <v>0</v>
      </c>
      <c r="O163" s="375"/>
      <c r="P163" s="64">
        <f t="shared" si="61"/>
        <v>916733</v>
      </c>
    </row>
    <row r="164" spans="1:16" ht="46.5">
      <c r="A164" s="372" t="s">
        <v>905</v>
      </c>
      <c r="B164" s="372" t="s">
        <v>79</v>
      </c>
      <c r="C164" s="372" t="s">
        <v>465</v>
      </c>
      <c r="D164" s="372" t="s">
        <v>51</v>
      </c>
      <c r="E164" s="64">
        <f t="shared" ref="E164" si="62">F164</f>
        <v>0</v>
      </c>
      <c r="F164" s="374"/>
      <c r="G164" s="375"/>
      <c r="H164" s="375"/>
      <c r="I164" s="374"/>
      <c r="J164" s="64">
        <f t="shared" ref="J164" si="63">K164+N164</f>
        <v>99500</v>
      </c>
      <c r="K164" s="374"/>
      <c r="L164" s="375"/>
      <c r="M164" s="375"/>
      <c r="N164" s="374">
        <f t="shared" ref="N164" si="64">O164</f>
        <v>99500</v>
      </c>
      <c r="O164" s="375">
        <v>99500</v>
      </c>
      <c r="P164" s="64">
        <f t="shared" ref="P164" si="65">+J164+E164</f>
        <v>99500</v>
      </c>
    </row>
    <row r="165" spans="1:16" ht="270">
      <c r="A165" s="380" t="s">
        <v>333</v>
      </c>
      <c r="B165" s="380"/>
      <c r="C165" s="380"/>
      <c r="D165" s="380" t="s">
        <v>335</v>
      </c>
      <c r="E165" s="387">
        <f>E166</f>
        <v>0</v>
      </c>
      <c r="F165" s="387">
        <f t="shared" ref="F165:P165" si="66">F166</f>
        <v>0</v>
      </c>
      <c r="G165" s="387">
        <f t="shared" si="66"/>
        <v>0</v>
      </c>
      <c r="H165" s="387">
        <f t="shared" si="66"/>
        <v>0</v>
      </c>
      <c r="I165" s="387">
        <f t="shared" si="66"/>
        <v>0</v>
      </c>
      <c r="J165" s="387">
        <f t="shared" si="66"/>
        <v>83972275</v>
      </c>
      <c r="K165" s="387">
        <f t="shared" si="66"/>
        <v>0</v>
      </c>
      <c r="L165" s="387">
        <f t="shared" si="66"/>
        <v>0</v>
      </c>
      <c r="M165" s="387">
        <f t="shared" si="66"/>
        <v>0</v>
      </c>
      <c r="N165" s="387">
        <f t="shared" si="66"/>
        <v>83972275</v>
      </c>
      <c r="O165" s="386">
        <f>O166</f>
        <v>83972275</v>
      </c>
      <c r="P165" s="387">
        <f t="shared" si="66"/>
        <v>83972275</v>
      </c>
    </row>
    <row r="166" spans="1:16" s="5" customFormat="1" ht="270">
      <c r="A166" s="384" t="s">
        <v>334</v>
      </c>
      <c r="B166" s="384"/>
      <c r="C166" s="384"/>
      <c r="D166" s="384" t="s">
        <v>419</v>
      </c>
      <c r="E166" s="386">
        <f>E167</f>
        <v>0</v>
      </c>
      <c r="F166" s="387">
        <f>E166</f>
        <v>0</v>
      </c>
      <c r="G166" s="386"/>
      <c r="H166" s="386"/>
      <c r="I166" s="387"/>
      <c r="J166" s="386">
        <f>J167+J170+J168</f>
        <v>83972275</v>
      </c>
      <c r="K166" s="387"/>
      <c r="L166" s="386"/>
      <c r="M166" s="386"/>
      <c r="N166" s="387">
        <f>N167+N170+N168</f>
        <v>83972275</v>
      </c>
      <c r="O166" s="386">
        <f>O167+O170+O168</f>
        <v>83972275</v>
      </c>
      <c r="P166" s="386">
        <f t="shared" si="61"/>
        <v>83972275</v>
      </c>
    </row>
    <row r="167" spans="1:16" s="5" customFormat="1" ht="91.5">
      <c r="A167" s="378" t="s">
        <v>399</v>
      </c>
      <c r="B167" s="378" t="s">
        <v>400</v>
      </c>
      <c r="C167" s="378" t="s">
        <v>401</v>
      </c>
      <c r="D167" s="378" t="s">
        <v>398</v>
      </c>
      <c r="E167" s="64">
        <f>F167</f>
        <v>0</v>
      </c>
      <c r="F167" s="376">
        <v>0</v>
      </c>
      <c r="G167" s="377"/>
      <c r="H167" s="377"/>
      <c r="I167" s="376"/>
      <c r="J167" s="64">
        <f t="shared" ref="J167:J170" si="67">K167+N167</f>
        <v>80962536</v>
      </c>
      <c r="K167" s="376"/>
      <c r="L167" s="377"/>
      <c r="M167" s="377"/>
      <c r="N167" s="376">
        <f t="shared" ref="N167:N170" si="68">O167</f>
        <v>80962536</v>
      </c>
      <c r="O167" s="397">
        <f>87368768-6406232</f>
        <v>80962536</v>
      </c>
      <c r="P167" s="64">
        <f>E167+J167</f>
        <v>80962536</v>
      </c>
    </row>
    <row r="168" spans="1:16" s="5" customFormat="1" ht="91.5">
      <c r="A168" s="378" t="s">
        <v>191</v>
      </c>
      <c r="B168" s="378" t="s">
        <v>192</v>
      </c>
      <c r="C168" s="378"/>
      <c r="D168" s="378" t="s">
        <v>193</v>
      </c>
      <c r="E168" s="64">
        <f>F168</f>
        <v>0</v>
      </c>
      <c r="F168" s="376"/>
      <c r="G168" s="377"/>
      <c r="H168" s="377"/>
      <c r="I168" s="376"/>
      <c r="J168" s="64">
        <f>K168+N168</f>
        <v>500000</v>
      </c>
      <c r="K168" s="376"/>
      <c r="L168" s="377"/>
      <c r="M168" s="377"/>
      <c r="N168" s="376">
        <f>N169</f>
        <v>500000</v>
      </c>
      <c r="O168" s="397">
        <f>O169</f>
        <v>500000</v>
      </c>
      <c r="P168" s="64">
        <f>E168+J168</f>
        <v>500000</v>
      </c>
    </row>
    <row r="169" spans="1:16" s="5" customFormat="1" ht="137.25">
      <c r="A169" s="304" t="s">
        <v>194</v>
      </c>
      <c r="B169" s="304" t="s">
        <v>195</v>
      </c>
      <c r="C169" s="304" t="s">
        <v>522</v>
      </c>
      <c r="D169" s="304" t="s">
        <v>196</v>
      </c>
      <c r="E169" s="376">
        <f>F169</f>
        <v>0</v>
      </c>
      <c r="F169" s="376"/>
      <c r="G169" s="376"/>
      <c r="H169" s="376"/>
      <c r="I169" s="376"/>
      <c r="J169" s="376">
        <f>K169+N169</f>
        <v>500000</v>
      </c>
      <c r="K169" s="376"/>
      <c r="L169" s="376"/>
      <c r="M169" s="376"/>
      <c r="N169" s="376">
        <f>O169</f>
        <v>500000</v>
      </c>
      <c r="O169" s="397">
        <f>7000000-1500000-2000000-3000000</f>
        <v>500000</v>
      </c>
      <c r="P169" s="376">
        <f>E169+J169</f>
        <v>500000</v>
      </c>
    </row>
    <row r="170" spans="1:16" s="5" customFormat="1" ht="91.5">
      <c r="A170" s="378" t="s">
        <v>402</v>
      </c>
      <c r="B170" s="378" t="s">
        <v>403</v>
      </c>
      <c r="C170" s="378" t="s">
        <v>401</v>
      </c>
      <c r="D170" s="378" t="s">
        <v>404</v>
      </c>
      <c r="E170" s="64">
        <f>F170</f>
        <v>0</v>
      </c>
      <c r="F170" s="376"/>
      <c r="G170" s="377"/>
      <c r="H170" s="377"/>
      <c r="I170" s="376"/>
      <c r="J170" s="64">
        <f t="shared" si="67"/>
        <v>2509739</v>
      </c>
      <c r="K170" s="376"/>
      <c r="L170" s="377"/>
      <c r="M170" s="377"/>
      <c r="N170" s="376">
        <f t="shared" si="68"/>
        <v>2509739</v>
      </c>
      <c r="O170" s="397">
        <f>1512639+997100</f>
        <v>2509739</v>
      </c>
      <c r="P170" s="64">
        <f>E170+J170</f>
        <v>2509739</v>
      </c>
    </row>
    <row r="171" spans="1:16" s="5" customFormat="1" ht="225">
      <c r="A171" s="380" t="s">
        <v>339</v>
      </c>
      <c r="B171" s="380"/>
      <c r="C171" s="380"/>
      <c r="D171" s="380" t="s">
        <v>338</v>
      </c>
      <c r="E171" s="387">
        <f>E172</f>
        <v>0</v>
      </c>
      <c r="F171" s="387">
        <f t="shared" ref="F171:P171" si="69">F172</f>
        <v>0</v>
      </c>
      <c r="G171" s="387">
        <f t="shared" si="69"/>
        <v>0</v>
      </c>
      <c r="H171" s="387">
        <f t="shared" si="69"/>
        <v>0</v>
      </c>
      <c r="I171" s="387">
        <f t="shared" si="69"/>
        <v>0</v>
      </c>
      <c r="J171" s="387">
        <f t="shared" si="69"/>
        <v>1200141</v>
      </c>
      <c r="K171" s="387">
        <f t="shared" si="69"/>
        <v>0</v>
      </c>
      <c r="L171" s="387">
        <f t="shared" si="69"/>
        <v>0</v>
      </c>
      <c r="M171" s="387">
        <f t="shared" si="69"/>
        <v>0</v>
      </c>
      <c r="N171" s="387">
        <f t="shared" si="69"/>
        <v>1200141</v>
      </c>
      <c r="O171" s="386">
        <f t="shared" si="69"/>
        <v>1200141</v>
      </c>
      <c r="P171" s="387">
        <f t="shared" si="69"/>
        <v>1200141</v>
      </c>
    </row>
    <row r="172" spans="1:16" s="5" customFormat="1" ht="225">
      <c r="A172" s="384" t="s">
        <v>340</v>
      </c>
      <c r="B172" s="384"/>
      <c r="C172" s="384"/>
      <c r="D172" s="384" t="s">
        <v>420</v>
      </c>
      <c r="E172" s="386">
        <f>E173</f>
        <v>0</v>
      </c>
      <c r="F172" s="389">
        <f>E172</f>
        <v>0</v>
      </c>
      <c r="G172" s="396"/>
      <c r="H172" s="396"/>
      <c r="I172" s="396"/>
      <c r="J172" s="386">
        <f t="shared" si="60"/>
        <v>1200141</v>
      </c>
      <c r="K172" s="396"/>
      <c r="L172" s="396"/>
      <c r="M172" s="396"/>
      <c r="N172" s="389">
        <f t="shared" ref="N172:N176" si="70">O172</f>
        <v>1200141</v>
      </c>
      <c r="O172" s="390">
        <f>O173</f>
        <v>1200141</v>
      </c>
      <c r="P172" s="386">
        <f>+J172+E172</f>
        <v>1200141</v>
      </c>
    </row>
    <row r="173" spans="1:16" s="5" customFormat="1" ht="91.5">
      <c r="A173" s="378" t="s">
        <v>381</v>
      </c>
      <c r="B173" s="378" t="s">
        <v>382</v>
      </c>
      <c r="C173" s="378" t="s">
        <v>383</v>
      </c>
      <c r="D173" s="378" t="s">
        <v>380</v>
      </c>
      <c r="E173" s="64">
        <f>F173</f>
        <v>0</v>
      </c>
      <c r="F173" s="376">
        <v>0</v>
      </c>
      <c r="G173" s="377"/>
      <c r="H173" s="377"/>
      <c r="I173" s="376"/>
      <c r="J173" s="64">
        <f t="shared" si="60"/>
        <v>1200141</v>
      </c>
      <c r="K173" s="376"/>
      <c r="L173" s="377"/>
      <c r="M173" s="377"/>
      <c r="N173" s="376">
        <f>O173</f>
        <v>1200141</v>
      </c>
      <c r="O173" s="377">
        <f>(1344710)-144569</f>
        <v>1200141</v>
      </c>
      <c r="P173" s="64">
        <f>E173+J173</f>
        <v>1200141</v>
      </c>
    </row>
    <row r="174" spans="1:16" s="5" customFormat="1" ht="270">
      <c r="A174" s="380" t="s">
        <v>341</v>
      </c>
      <c r="B174" s="380"/>
      <c r="C174" s="380"/>
      <c r="D174" s="380" t="s">
        <v>336</v>
      </c>
      <c r="E174" s="387">
        <f>E175</f>
        <v>0</v>
      </c>
      <c r="F174" s="387">
        <f t="shared" ref="F174:P174" si="71">F175</f>
        <v>0</v>
      </c>
      <c r="G174" s="387">
        <f t="shared" si="71"/>
        <v>0</v>
      </c>
      <c r="H174" s="387">
        <f t="shared" si="71"/>
        <v>0</v>
      </c>
      <c r="I174" s="387">
        <f t="shared" si="71"/>
        <v>0</v>
      </c>
      <c r="J174" s="387">
        <f t="shared" si="71"/>
        <v>635700</v>
      </c>
      <c r="K174" s="387">
        <f t="shared" si="71"/>
        <v>0</v>
      </c>
      <c r="L174" s="387">
        <f t="shared" si="71"/>
        <v>0</v>
      </c>
      <c r="M174" s="387">
        <f t="shared" si="71"/>
        <v>0</v>
      </c>
      <c r="N174" s="387">
        <f t="shared" si="71"/>
        <v>635700</v>
      </c>
      <c r="O174" s="386">
        <f t="shared" si="71"/>
        <v>635700</v>
      </c>
      <c r="P174" s="387">
        <f t="shared" si="71"/>
        <v>635700</v>
      </c>
    </row>
    <row r="175" spans="1:16" s="5" customFormat="1" ht="315">
      <c r="A175" s="384" t="s">
        <v>342</v>
      </c>
      <c r="B175" s="384"/>
      <c r="C175" s="384"/>
      <c r="D175" s="384" t="s">
        <v>337</v>
      </c>
      <c r="E175" s="386">
        <f>E176</f>
        <v>0</v>
      </c>
      <c r="F175" s="389">
        <f>E175</f>
        <v>0</v>
      </c>
      <c r="G175" s="390"/>
      <c r="H175" s="390"/>
      <c r="I175" s="389"/>
      <c r="J175" s="386">
        <f t="shared" si="60"/>
        <v>635700</v>
      </c>
      <c r="K175" s="389"/>
      <c r="L175" s="390"/>
      <c r="M175" s="390"/>
      <c r="N175" s="389">
        <f t="shared" si="70"/>
        <v>635700</v>
      </c>
      <c r="O175" s="390">
        <f>O176</f>
        <v>635700</v>
      </c>
      <c r="P175" s="386">
        <f>+J175+E175</f>
        <v>635700</v>
      </c>
    </row>
    <row r="176" spans="1:16" s="5" customFormat="1" ht="91.5">
      <c r="A176" s="378" t="s">
        <v>388</v>
      </c>
      <c r="B176" s="378" t="s">
        <v>389</v>
      </c>
      <c r="C176" s="378" t="s">
        <v>390</v>
      </c>
      <c r="D176" s="378" t="s">
        <v>391</v>
      </c>
      <c r="E176" s="64">
        <f>F176</f>
        <v>0</v>
      </c>
      <c r="F176" s="376">
        <v>0</v>
      </c>
      <c r="G176" s="377"/>
      <c r="H176" s="377"/>
      <c r="I176" s="376"/>
      <c r="J176" s="64">
        <f t="shared" si="60"/>
        <v>635700</v>
      </c>
      <c r="K176" s="376"/>
      <c r="L176" s="377"/>
      <c r="M176" s="377"/>
      <c r="N176" s="376">
        <f t="shared" si="70"/>
        <v>635700</v>
      </c>
      <c r="O176" s="377">
        <f>(1000000)-364300</f>
        <v>635700</v>
      </c>
      <c r="P176" s="64">
        <f t="shared" ref="P176:P195" si="72">E176+J176</f>
        <v>635700</v>
      </c>
    </row>
    <row r="177" spans="1:16" s="5" customFormat="1" ht="135">
      <c r="A177" s="380" t="s">
        <v>345</v>
      </c>
      <c r="B177" s="380"/>
      <c r="C177" s="380"/>
      <c r="D177" s="380" t="s">
        <v>343</v>
      </c>
      <c r="E177" s="387">
        <f>E178</f>
        <v>0</v>
      </c>
      <c r="F177" s="387">
        <f t="shared" ref="F177:P177" si="73">F178</f>
        <v>0</v>
      </c>
      <c r="G177" s="387">
        <f t="shared" si="73"/>
        <v>0</v>
      </c>
      <c r="H177" s="387">
        <f t="shared" si="73"/>
        <v>0</v>
      </c>
      <c r="I177" s="387">
        <f t="shared" si="73"/>
        <v>0</v>
      </c>
      <c r="J177" s="387">
        <f t="shared" si="73"/>
        <v>1263036.32</v>
      </c>
      <c r="K177" s="387">
        <f t="shared" si="73"/>
        <v>0</v>
      </c>
      <c r="L177" s="387">
        <f t="shared" si="73"/>
        <v>0</v>
      </c>
      <c r="M177" s="387">
        <f t="shared" si="73"/>
        <v>0</v>
      </c>
      <c r="N177" s="387">
        <f t="shared" si="73"/>
        <v>1263036.32</v>
      </c>
      <c r="O177" s="386">
        <f t="shared" si="73"/>
        <v>0</v>
      </c>
      <c r="P177" s="387">
        <f t="shared" si="73"/>
        <v>1263036.32</v>
      </c>
    </row>
    <row r="178" spans="1:16" s="5" customFormat="1" ht="180">
      <c r="A178" s="384" t="s">
        <v>346</v>
      </c>
      <c r="B178" s="384"/>
      <c r="C178" s="384"/>
      <c r="D178" s="384" t="s">
        <v>421</v>
      </c>
      <c r="E178" s="386">
        <v>0</v>
      </c>
      <c r="F178" s="389"/>
      <c r="G178" s="390"/>
      <c r="H178" s="390"/>
      <c r="I178" s="389"/>
      <c r="J178" s="386">
        <f t="shared" si="60"/>
        <v>1263036.32</v>
      </c>
      <c r="K178" s="389"/>
      <c r="L178" s="390"/>
      <c r="M178" s="390"/>
      <c r="N178" s="389">
        <f>N179+N180+N181+N182</f>
        <v>1263036.32</v>
      </c>
      <c r="O178" s="390"/>
      <c r="P178" s="386">
        <f t="shared" si="72"/>
        <v>1263036.32</v>
      </c>
    </row>
    <row r="179" spans="1:16" s="5" customFormat="1" ht="91.5">
      <c r="A179" s="378" t="s">
        <v>544</v>
      </c>
      <c r="B179" s="378" t="s">
        <v>545</v>
      </c>
      <c r="C179" s="378" t="s">
        <v>546</v>
      </c>
      <c r="D179" s="378" t="s">
        <v>547</v>
      </c>
      <c r="E179" s="64">
        <v>0</v>
      </c>
      <c r="F179" s="376"/>
      <c r="G179" s="377"/>
      <c r="H179" s="377"/>
      <c r="I179" s="376"/>
      <c r="J179" s="64">
        <f t="shared" si="60"/>
        <v>900036.32000000007</v>
      </c>
      <c r="K179" s="376"/>
      <c r="L179" s="377"/>
      <c r="M179" s="377"/>
      <c r="N179" s="376">
        <f>497000+403036.32</f>
        <v>900036.32000000007</v>
      </c>
      <c r="O179" s="377"/>
      <c r="P179" s="64">
        <f t="shared" si="72"/>
        <v>900036.32000000007</v>
      </c>
    </row>
    <row r="180" spans="1:16" s="5" customFormat="1" ht="46.5">
      <c r="A180" s="378" t="s">
        <v>548</v>
      </c>
      <c r="B180" s="378" t="s">
        <v>549</v>
      </c>
      <c r="C180" s="378" t="s">
        <v>550</v>
      </c>
      <c r="D180" s="378" t="s">
        <v>567</v>
      </c>
      <c r="E180" s="64">
        <v>0</v>
      </c>
      <c r="F180" s="376"/>
      <c r="G180" s="377"/>
      <c r="H180" s="377"/>
      <c r="I180" s="376"/>
      <c r="J180" s="64">
        <f t="shared" si="60"/>
        <v>83000</v>
      </c>
      <c r="K180" s="376"/>
      <c r="L180" s="377"/>
      <c r="M180" s="377"/>
      <c r="N180" s="376">
        <v>83000</v>
      </c>
      <c r="O180" s="377"/>
      <c r="P180" s="64">
        <f t="shared" si="72"/>
        <v>83000</v>
      </c>
    </row>
    <row r="181" spans="1:16" s="5" customFormat="1" ht="137.25">
      <c r="A181" s="378" t="s">
        <v>551</v>
      </c>
      <c r="B181" s="378" t="s">
        <v>552</v>
      </c>
      <c r="C181" s="378" t="s">
        <v>553</v>
      </c>
      <c r="D181" s="378" t="s">
        <v>568</v>
      </c>
      <c r="E181" s="64">
        <v>0</v>
      </c>
      <c r="F181" s="376"/>
      <c r="G181" s="377"/>
      <c r="H181" s="377"/>
      <c r="I181" s="376"/>
      <c r="J181" s="64">
        <f t="shared" si="60"/>
        <v>160000</v>
      </c>
      <c r="K181" s="376"/>
      <c r="L181" s="377"/>
      <c r="M181" s="377"/>
      <c r="N181" s="376">
        <v>160000</v>
      </c>
      <c r="O181" s="377"/>
      <c r="P181" s="64">
        <f t="shared" si="72"/>
        <v>160000</v>
      </c>
    </row>
    <row r="182" spans="1:16" s="5" customFormat="1" ht="91.5">
      <c r="A182" s="378" t="s">
        <v>554</v>
      </c>
      <c r="B182" s="378" t="s">
        <v>555</v>
      </c>
      <c r="C182" s="378" t="s">
        <v>556</v>
      </c>
      <c r="D182" s="378" t="s">
        <v>569</v>
      </c>
      <c r="E182" s="64">
        <v>0</v>
      </c>
      <c r="F182" s="376"/>
      <c r="G182" s="377"/>
      <c r="H182" s="377"/>
      <c r="I182" s="376"/>
      <c r="J182" s="64">
        <f t="shared" si="60"/>
        <v>120000</v>
      </c>
      <c r="K182" s="376"/>
      <c r="L182" s="377"/>
      <c r="M182" s="377"/>
      <c r="N182" s="376">
        <f>80000+40000</f>
        <v>120000</v>
      </c>
      <c r="O182" s="377"/>
      <c r="P182" s="64">
        <f t="shared" si="72"/>
        <v>120000</v>
      </c>
    </row>
    <row r="183" spans="1:16" s="5" customFormat="1" ht="90">
      <c r="A183" s="380" t="s">
        <v>348</v>
      </c>
      <c r="B183" s="380"/>
      <c r="C183" s="380"/>
      <c r="D183" s="380" t="s">
        <v>347</v>
      </c>
      <c r="E183" s="387">
        <f>E184</f>
        <v>6447732.9000000004</v>
      </c>
      <c r="F183" s="387">
        <f t="shared" ref="F183:P183" si="74">F184</f>
        <v>6447732.9000000004</v>
      </c>
      <c r="G183" s="387">
        <f t="shared" si="74"/>
        <v>0</v>
      </c>
      <c r="H183" s="387">
        <f t="shared" si="74"/>
        <v>0</v>
      </c>
      <c r="I183" s="387">
        <f t="shared" si="74"/>
        <v>0</v>
      </c>
      <c r="J183" s="387">
        <f t="shared" si="74"/>
        <v>203350.1</v>
      </c>
      <c r="K183" s="387">
        <f t="shared" si="74"/>
        <v>0</v>
      </c>
      <c r="L183" s="387">
        <f t="shared" si="74"/>
        <v>0</v>
      </c>
      <c r="M183" s="387">
        <f t="shared" si="74"/>
        <v>0</v>
      </c>
      <c r="N183" s="387">
        <f t="shared" si="74"/>
        <v>203350.1</v>
      </c>
      <c r="O183" s="386">
        <f t="shared" si="74"/>
        <v>203350.1</v>
      </c>
      <c r="P183" s="387">
        <f t="shared" si="74"/>
        <v>6651083</v>
      </c>
    </row>
    <row r="184" spans="1:16" s="5" customFormat="1" ht="90">
      <c r="A184" s="384" t="s">
        <v>349</v>
      </c>
      <c r="B184" s="384"/>
      <c r="C184" s="384"/>
      <c r="D184" s="384" t="s">
        <v>422</v>
      </c>
      <c r="E184" s="386">
        <f>SUM(E185:E187)</f>
        <v>6447732.9000000004</v>
      </c>
      <c r="F184" s="387">
        <f>SUM(F185:F187)</f>
        <v>6447732.9000000004</v>
      </c>
      <c r="G184" s="387">
        <f>SUM(G186:G187)</f>
        <v>0</v>
      </c>
      <c r="H184" s="387">
        <f>SUM(H186:H187)</f>
        <v>0</v>
      </c>
      <c r="I184" s="387">
        <f>SUM(I186:I187)</f>
        <v>0</v>
      </c>
      <c r="J184" s="386">
        <f>K184+N184</f>
        <v>203350.1</v>
      </c>
      <c r="K184" s="387">
        <f>SUM(K185:K187)</f>
        <v>0</v>
      </c>
      <c r="L184" s="386">
        <f>SUM(L186:L187)</f>
        <v>0</v>
      </c>
      <c r="M184" s="386">
        <f>SUM(M186:M187)</f>
        <v>0</v>
      </c>
      <c r="N184" s="387">
        <f>SUM(N185:N187)</f>
        <v>203350.1</v>
      </c>
      <c r="O184" s="386">
        <f>SUM(O185:O187)</f>
        <v>203350.1</v>
      </c>
      <c r="P184" s="386">
        <f>E184+J184</f>
        <v>6651083</v>
      </c>
    </row>
    <row r="185" spans="1:16" s="5" customFormat="1" ht="228.75">
      <c r="A185" s="378" t="s">
        <v>857</v>
      </c>
      <c r="B185" s="378" t="s">
        <v>622</v>
      </c>
      <c r="C185" s="378" t="s">
        <v>466</v>
      </c>
      <c r="D185" s="305" t="s">
        <v>623</v>
      </c>
      <c r="E185" s="64">
        <f>F185</f>
        <v>300000</v>
      </c>
      <c r="F185" s="376">
        <v>300000</v>
      </c>
      <c r="G185" s="377"/>
      <c r="H185" s="377"/>
      <c r="I185" s="376"/>
      <c r="J185" s="64">
        <f>K185+N185</f>
        <v>0</v>
      </c>
      <c r="K185" s="376"/>
      <c r="L185" s="377"/>
      <c r="M185" s="377"/>
      <c r="N185" s="376">
        <f>O185</f>
        <v>0</v>
      </c>
      <c r="O185" s="377"/>
      <c r="P185" s="64">
        <f>E185+J185</f>
        <v>300000</v>
      </c>
    </row>
    <row r="186" spans="1:16" s="5" customFormat="1" ht="69" customHeight="1">
      <c r="A186" s="378" t="s">
        <v>189</v>
      </c>
      <c r="B186" s="378" t="s">
        <v>79</v>
      </c>
      <c r="C186" s="378" t="s">
        <v>465</v>
      </c>
      <c r="D186" s="378" t="s">
        <v>51</v>
      </c>
      <c r="E186" s="64">
        <f>F186</f>
        <v>6147732.9000000004</v>
      </c>
      <c r="F186" s="376">
        <f>((3335000)+1917333-195200-342076-70501-371640+2000000+300000-120683.1-300000)+395000-199500-200000</f>
        <v>6147732.9000000004</v>
      </c>
      <c r="G186" s="377"/>
      <c r="H186" s="377"/>
      <c r="I186" s="376"/>
      <c r="J186" s="64">
        <f>K186+N186</f>
        <v>82667</v>
      </c>
      <c r="K186" s="376"/>
      <c r="L186" s="377"/>
      <c r="M186" s="377"/>
      <c r="N186" s="376">
        <f>O186</f>
        <v>82667</v>
      </c>
      <c r="O186" s="377">
        <v>82667</v>
      </c>
      <c r="P186" s="64">
        <f>E186+J186</f>
        <v>6230399.9000000004</v>
      </c>
    </row>
    <row r="187" spans="1:16" s="5" customFormat="1" ht="69" customHeight="1">
      <c r="A187" s="378" t="s">
        <v>632</v>
      </c>
      <c r="B187" s="378" t="s">
        <v>628</v>
      </c>
      <c r="C187" s="378" t="s">
        <v>466</v>
      </c>
      <c r="D187" s="305" t="s">
        <v>629</v>
      </c>
      <c r="E187" s="64">
        <f>F187</f>
        <v>0</v>
      </c>
      <c r="F187" s="376"/>
      <c r="G187" s="377"/>
      <c r="H187" s="377"/>
      <c r="I187" s="376"/>
      <c r="J187" s="64">
        <f>K187+N187</f>
        <v>120683.1</v>
      </c>
      <c r="K187" s="376"/>
      <c r="L187" s="377"/>
      <c r="M187" s="377"/>
      <c r="N187" s="376">
        <f>O187</f>
        <v>120683.1</v>
      </c>
      <c r="O187" s="377">
        <f>120683.1</f>
        <v>120683.1</v>
      </c>
      <c r="P187" s="64">
        <f>E187+J187</f>
        <v>120683.1</v>
      </c>
    </row>
    <row r="188" spans="1:16" s="5" customFormat="1" ht="135">
      <c r="A188" s="380" t="s">
        <v>351</v>
      </c>
      <c r="B188" s="380"/>
      <c r="C188" s="380"/>
      <c r="D188" s="380" t="s">
        <v>350</v>
      </c>
      <c r="E188" s="387">
        <f>E189</f>
        <v>35498022</v>
      </c>
      <c r="F188" s="387">
        <f t="shared" ref="F188:P188" si="75">F189</f>
        <v>35498022</v>
      </c>
      <c r="G188" s="387">
        <f t="shared" si="75"/>
        <v>0</v>
      </c>
      <c r="H188" s="387">
        <f t="shared" si="75"/>
        <v>0</v>
      </c>
      <c r="I188" s="387">
        <f t="shared" si="75"/>
        <v>0</v>
      </c>
      <c r="J188" s="387">
        <f t="shared" si="75"/>
        <v>0</v>
      </c>
      <c r="K188" s="387">
        <f t="shared" si="75"/>
        <v>0</v>
      </c>
      <c r="L188" s="387">
        <f t="shared" si="75"/>
        <v>0</v>
      </c>
      <c r="M188" s="387">
        <f t="shared" si="75"/>
        <v>0</v>
      </c>
      <c r="N188" s="387">
        <f t="shared" si="75"/>
        <v>0</v>
      </c>
      <c r="O188" s="386">
        <f t="shared" si="75"/>
        <v>0</v>
      </c>
      <c r="P188" s="387">
        <f t="shared" si="75"/>
        <v>35498022</v>
      </c>
    </row>
    <row r="189" spans="1:16" ht="135">
      <c r="A189" s="384" t="s">
        <v>352</v>
      </c>
      <c r="B189" s="384"/>
      <c r="C189" s="384"/>
      <c r="D189" s="384" t="s">
        <v>423</v>
      </c>
      <c r="E189" s="386">
        <f>SUM(E190:E195)</f>
        <v>35498022</v>
      </c>
      <c r="F189" s="387">
        <f>SUM(F190:F195)</f>
        <v>35498022</v>
      </c>
      <c r="G189" s="386">
        <f>SUM(G193:G194)</f>
        <v>0</v>
      </c>
      <c r="H189" s="386">
        <f>SUM(H193:H194)</f>
        <v>0</v>
      </c>
      <c r="I189" s="387">
        <v>0</v>
      </c>
      <c r="J189" s="386">
        <f>K189+N189</f>
        <v>0</v>
      </c>
      <c r="K189" s="387">
        <f>SUM(K193:K195)</f>
        <v>0</v>
      </c>
      <c r="L189" s="386">
        <f>SUM(L193:L194)</f>
        <v>0</v>
      </c>
      <c r="M189" s="386">
        <f>SUM(M193:M194)</f>
        <v>0</v>
      </c>
      <c r="N189" s="387">
        <f>SUM(N193:N195)</f>
        <v>0</v>
      </c>
      <c r="O189" s="386">
        <f>SUM(O193:O195)</f>
        <v>0</v>
      </c>
      <c r="P189" s="386">
        <f t="shared" si="72"/>
        <v>35498022</v>
      </c>
    </row>
    <row r="190" spans="1:16" ht="409.5">
      <c r="A190" s="518">
        <v>7616150</v>
      </c>
      <c r="B190" s="518">
        <v>6150</v>
      </c>
      <c r="C190" s="486" t="s">
        <v>885</v>
      </c>
      <c r="D190" s="398" t="s">
        <v>886</v>
      </c>
      <c r="E190" s="485">
        <f>F190</f>
        <v>15317893</v>
      </c>
      <c r="F190" s="481">
        <v>15317893</v>
      </c>
      <c r="G190" s="481"/>
      <c r="H190" s="481"/>
      <c r="I190" s="481"/>
      <c r="J190" s="485">
        <f>K190+N190</f>
        <v>0</v>
      </c>
      <c r="K190" s="481"/>
      <c r="L190" s="481"/>
      <c r="M190" s="481"/>
      <c r="N190" s="481"/>
      <c r="O190" s="481"/>
      <c r="P190" s="485">
        <f>E190+J190</f>
        <v>15317893</v>
      </c>
    </row>
    <row r="191" spans="1:16" ht="409.5">
      <c r="A191" s="482"/>
      <c r="B191" s="482"/>
      <c r="C191" s="482"/>
      <c r="D191" s="328" t="s">
        <v>887</v>
      </c>
      <c r="E191" s="482"/>
      <c r="F191" s="489"/>
      <c r="G191" s="482"/>
      <c r="H191" s="482"/>
      <c r="I191" s="482"/>
      <c r="J191" s="482"/>
      <c r="K191" s="482"/>
      <c r="L191" s="482"/>
      <c r="M191" s="482"/>
      <c r="N191" s="482"/>
      <c r="O191" s="482"/>
      <c r="P191" s="482"/>
    </row>
    <row r="192" spans="1:16" ht="183">
      <c r="A192" s="483"/>
      <c r="B192" s="483"/>
      <c r="C192" s="483"/>
      <c r="D192" s="399" t="s">
        <v>888</v>
      </c>
      <c r="E192" s="483"/>
      <c r="F192" s="490"/>
      <c r="G192" s="483"/>
      <c r="H192" s="483"/>
      <c r="I192" s="483"/>
      <c r="J192" s="483"/>
      <c r="K192" s="483"/>
      <c r="L192" s="483"/>
      <c r="M192" s="483"/>
      <c r="N192" s="483"/>
      <c r="O192" s="483"/>
      <c r="P192" s="483"/>
    </row>
    <row r="193" spans="1:17" ht="46.5">
      <c r="A193" s="379">
        <v>7618010</v>
      </c>
      <c r="B193" s="379">
        <v>8010</v>
      </c>
      <c r="C193" s="378" t="s">
        <v>465</v>
      </c>
      <c r="D193" s="305" t="s">
        <v>463</v>
      </c>
      <c r="E193" s="64">
        <f>F193</f>
        <v>2063439</v>
      </c>
      <c r="F193" s="376">
        <f>(8169855+23-500000-630000-9735+140000-120000-50000-541670+2500000-458473+1000000-2000000-46000-200000-5000000)+2746000-2606000-80561+50000-300000</f>
        <v>2063439</v>
      </c>
      <c r="G193" s="377"/>
      <c r="H193" s="377"/>
      <c r="I193" s="376"/>
      <c r="J193" s="64">
        <f>K193+N193</f>
        <v>0</v>
      </c>
      <c r="K193" s="376"/>
      <c r="L193" s="377"/>
      <c r="M193" s="377"/>
      <c r="N193" s="376"/>
      <c r="O193" s="377"/>
      <c r="P193" s="64">
        <f t="shared" si="72"/>
        <v>2063439</v>
      </c>
    </row>
    <row r="194" spans="1:17" ht="46.5">
      <c r="A194" s="379">
        <v>7618120</v>
      </c>
      <c r="B194" s="379">
        <v>8120</v>
      </c>
      <c r="C194" s="378" t="s">
        <v>466</v>
      </c>
      <c r="D194" s="305" t="s">
        <v>464</v>
      </c>
      <c r="E194" s="64">
        <f>F194</f>
        <v>18041500</v>
      </c>
      <c r="F194" s="376">
        <f>20074300-2032800</f>
        <v>18041500</v>
      </c>
      <c r="G194" s="377"/>
      <c r="H194" s="377"/>
      <c r="I194" s="376"/>
      <c r="J194" s="64">
        <f>K194+N194</f>
        <v>0</v>
      </c>
      <c r="K194" s="376"/>
      <c r="L194" s="377"/>
      <c r="M194" s="377"/>
      <c r="N194" s="376"/>
      <c r="O194" s="377"/>
      <c r="P194" s="64">
        <f t="shared" si="72"/>
        <v>18041500</v>
      </c>
    </row>
    <row r="195" spans="1:17" ht="46.5">
      <c r="A195" s="379">
        <v>7618600</v>
      </c>
      <c r="B195" s="379">
        <v>8600</v>
      </c>
      <c r="C195" s="378" t="s">
        <v>466</v>
      </c>
      <c r="D195" s="305" t="s">
        <v>51</v>
      </c>
      <c r="E195" s="64">
        <f>F195</f>
        <v>75190</v>
      </c>
      <c r="F195" s="376">
        <f>75190</f>
        <v>75190</v>
      </c>
      <c r="G195" s="377"/>
      <c r="H195" s="377"/>
      <c r="I195" s="376"/>
      <c r="J195" s="64">
        <f t="shared" ref="J195" si="76">K195+N195</f>
        <v>0</v>
      </c>
      <c r="K195" s="376"/>
      <c r="L195" s="377"/>
      <c r="M195" s="377"/>
      <c r="N195" s="376"/>
      <c r="O195" s="377"/>
      <c r="P195" s="64">
        <f t="shared" si="72"/>
        <v>75190</v>
      </c>
    </row>
    <row r="196" spans="1:17" s="6" customFormat="1" ht="45.75">
      <c r="A196" s="512" t="s">
        <v>48</v>
      </c>
      <c r="B196" s="512"/>
      <c r="C196" s="512"/>
      <c r="D196" s="512"/>
      <c r="E196" s="444">
        <f>E13+E28+E43+E65+E75+E135+E145+E166+E172+E189+E184+E178+E175</f>
        <v>2225571404.48</v>
      </c>
      <c r="F196" s="445">
        <f>F13+F28+F43+F65+F74+F135+F145+F166+F172+F189+F184+F178+F175</f>
        <v>2225571404.48</v>
      </c>
      <c r="G196" s="444">
        <f t="shared" ref="G196:O196" si="77">G13+G28+G43+G65+G75+G135+G145+G166+G172+G189+G184+G178+G175</f>
        <v>601274525</v>
      </c>
      <c r="H196" s="444">
        <f t="shared" si="77"/>
        <v>82817639.820000008</v>
      </c>
      <c r="I196" s="445">
        <f t="shared" si="77"/>
        <v>0</v>
      </c>
      <c r="J196" s="444">
        <f t="shared" si="77"/>
        <v>604366518.73000002</v>
      </c>
      <c r="K196" s="445">
        <f t="shared" si="77"/>
        <v>96095937</v>
      </c>
      <c r="L196" s="444">
        <f t="shared" si="77"/>
        <v>24680900.699999999</v>
      </c>
      <c r="M196" s="444">
        <f t="shared" si="77"/>
        <v>6237986.4399999995</v>
      </c>
      <c r="N196" s="445">
        <f t="shared" si="77"/>
        <v>508270581.72999996</v>
      </c>
      <c r="O196" s="444">
        <f t="shared" si="77"/>
        <v>503926060.93000007</v>
      </c>
      <c r="P196" s="444">
        <f>P13+P28+P43+P65+P74+P135+P145+P166+P172+P189+P184+P178+P175</f>
        <v>2829937923.21</v>
      </c>
      <c r="Q196" s="355" t="b">
        <f>O196='dod5'!J263</f>
        <v>1</v>
      </c>
    </row>
    <row r="197" spans="1:17" ht="31.5" customHeight="1">
      <c r="A197" s="23"/>
      <c r="B197" s="23"/>
      <c r="C197" s="23"/>
      <c r="D197" s="23"/>
      <c r="E197" s="147"/>
      <c r="G197" s="23"/>
      <c r="H197" s="23"/>
      <c r="I197" s="23"/>
      <c r="J197" s="20"/>
      <c r="K197" s="23"/>
      <c r="L197" s="23"/>
      <c r="M197" s="23"/>
      <c r="N197" s="29"/>
      <c r="O197" s="151"/>
      <c r="P197" s="20"/>
      <c r="Q197" s="29"/>
    </row>
    <row r="198" spans="1:17" ht="61.5" customHeight="1">
      <c r="A198" s="19"/>
      <c r="B198" s="19"/>
      <c r="C198" s="19"/>
      <c r="D198" s="510" t="s">
        <v>846</v>
      </c>
      <c r="E198" s="510"/>
      <c r="F198" s="510"/>
      <c r="G198" s="510"/>
      <c r="H198" s="510"/>
      <c r="I198" s="510"/>
      <c r="J198" s="510"/>
      <c r="K198" s="510"/>
      <c r="L198" s="510"/>
      <c r="M198" s="510"/>
      <c r="N198" s="510"/>
      <c r="O198" s="510"/>
      <c r="P198" s="510"/>
      <c r="Q198" s="30"/>
    </row>
    <row r="199" spans="1:17" ht="45.75">
      <c r="E199" s="152"/>
      <c r="F199" s="14"/>
      <c r="J199" s="12"/>
      <c r="N199" s="350"/>
      <c r="O199" s="151"/>
      <c r="P199" s="114"/>
    </row>
    <row r="200" spans="1:17" ht="45">
      <c r="D200" s="8"/>
      <c r="E200" s="119"/>
      <c r="F200" s="14"/>
      <c r="H200" s="8"/>
      <c r="I200" s="8"/>
      <c r="J200" s="119"/>
      <c r="N200" s="8"/>
      <c r="O200" s="119"/>
      <c r="P200" s="119"/>
      <c r="Q200" s="31"/>
    </row>
    <row r="201" spans="1:17">
      <c r="E201" s="10"/>
      <c r="F201" s="14"/>
      <c r="J201" s="10"/>
      <c r="O201" s="7"/>
    </row>
    <row r="202" spans="1:17">
      <c r="E202" s="10"/>
      <c r="F202" s="14"/>
      <c r="J202" s="10"/>
    </row>
    <row r="203" spans="1:17" ht="45.75">
      <c r="E203" s="114"/>
      <c r="F203" s="117"/>
      <c r="G203" s="7"/>
      <c r="I203" s="368"/>
      <c r="J203" s="369"/>
      <c r="K203" s="368"/>
      <c r="L203" s="368"/>
      <c r="M203" s="368"/>
      <c r="N203" s="370"/>
      <c r="O203" s="370"/>
      <c r="P203" s="355" t="b">
        <f>E196+J196=P196</f>
        <v>1</v>
      </c>
    </row>
    <row r="204" spans="1:17" ht="13.5">
      <c r="E204" s="13"/>
      <c r="F204" s="16"/>
      <c r="G204" s="4"/>
      <c r="H204" s="4"/>
      <c r="I204" s="4"/>
      <c r="J204" s="10"/>
    </row>
    <row r="205" spans="1:17" ht="45.75">
      <c r="A205"/>
      <c r="B205"/>
      <c r="C205"/>
      <c r="D205"/>
      <c r="E205" s="355" t="b">
        <f>E196=F196</f>
        <v>1</v>
      </c>
      <c r="F205" s="120"/>
      <c r="G205" s="7"/>
      <c r="J205" s="9"/>
      <c r="K205"/>
      <c r="L205"/>
      <c r="M205"/>
      <c r="N205"/>
      <c r="O205"/>
      <c r="P205"/>
    </row>
    <row r="206" spans="1:17" ht="45.75">
      <c r="E206" s="121"/>
      <c r="F206" s="120"/>
      <c r="G206" s="123"/>
    </row>
    <row r="207" spans="1:17" ht="45.75">
      <c r="A207"/>
      <c r="B207"/>
      <c r="C207"/>
      <c r="D207"/>
      <c r="E207" s="119"/>
      <c r="F207" s="120"/>
      <c r="G207" s="7"/>
      <c r="J207" s="10"/>
      <c r="K207"/>
      <c r="L207"/>
      <c r="M207"/>
      <c r="N207"/>
      <c r="O207"/>
      <c r="P207"/>
    </row>
    <row r="208" spans="1:17" ht="45.75">
      <c r="E208" s="121"/>
      <c r="F208" s="122"/>
    </row>
    <row r="209" spans="1:16" ht="45.75">
      <c r="A209"/>
      <c r="B209"/>
      <c r="C209"/>
      <c r="D209"/>
      <c r="E209" s="119"/>
      <c r="F209" s="120"/>
      <c r="G209" s="7"/>
      <c r="J209" s="10"/>
      <c r="K209"/>
      <c r="L209"/>
      <c r="M209"/>
      <c r="N209"/>
      <c r="O209"/>
      <c r="P209"/>
    </row>
    <row r="210" spans="1:16" ht="45.75">
      <c r="A210"/>
      <c r="B210"/>
      <c r="C210"/>
      <c r="D210"/>
      <c r="E210" s="119"/>
      <c r="F210" s="120"/>
      <c r="J210" s="10"/>
      <c r="K210"/>
      <c r="L210"/>
      <c r="M210"/>
      <c r="N210"/>
      <c r="O210"/>
      <c r="P210"/>
    </row>
    <row r="211" spans="1:16" ht="45.75">
      <c r="E211" s="121"/>
      <c r="F211" s="122"/>
    </row>
    <row r="212" spans="1:16" ht="45.75">
      <c r="A212"/>
      <c r="B212"/>
      <c r="C212"/>
      <c r="D212"/>
      <c r="E212" s="119"/>
      <c r="F212" s="120"/>
      <c r="K212"/>
      <c r="L212"/>
      <c r="M212"/>
      <c r="N212"/>
      <c r="O212"/>
      <c r="P212"/>
    </row>
    <row r="213" spans="1:16" ht="45.75">
      <c r="E213" s="121"/>
      <c r="F213" s="122"/>
    </row>
    <row r="214" spans="1:16" ht="45.75">
      <c r="E214" s="121"/>
      <c r="F214" s="122"/>
    </row>
    <row r="215" spans="1:16" ht="45.75">
      <c r="E215" s="121"/>
      <c r="F215" s="122"/>
    </row>
    <row r="216" spans="1:16" ht="45.75">
      <c r="E216" s="121"/>
      <c r="F216" s="122"/>
    </row>
    <row r="217" spans="1:16" ht="45.75">
      <c r="E217" s="121"/>
      <c r="F217" s="122"/>
    </row>
    <row r="218" spans="1:16" ht="45.75">
      <c r="E218" s="121"/>
      <c r="F218" s="122"/>
    </row>
    <row r="219" spans="1:16" ht="45.75">
      <c r="E219" s="121"/>
      <c r="F219" s="122"/>
    </row>
  </sheetData>
  <mergeCells count="132">
    <mergeCell ref="P190:P192"/>
    <mergeCell ref="K190:K192"/>
    <mergeCell ref="L190:L192"/>
    <mergeCell ref="M190:M192"/>
    <mergeCell ref="N190:N192"/>
    <mergeCell ref="O190:O192"/>
    <mergeCell ref="A190:A192"/>
    <mergeCell ref="B190:B192"/>
    <mergeCell ref="C190:C192"/>
    <mergeCell ref="E190:E192"/>
    <mergeCell ref="F190:F192"/>
    <mergeCell ref="G190:G192"/>
    <mergeCell ref="H190:H192"/>
    <mergeCell ref="I190:I192"/>
    <mergeCell ref="J190:J192"/>
    <mergeCell ref="P95:P96"/>
    <mergeCell ref="M95:M96"/>
    <mergeCell ref="N95:N96"/>
    <mergeCell ref="L95:L96"/>
    <mergeCell ref="O95:O96"/>
    <mergeCell ref="O97:O99"/>
    <mergeCell ref="P78:P80"/>
    <mergeCell ref="L92:L93"/>
    <mergeCell ref="N78:N80"/>
    <mergeCell ref="M81:M87"/>
    <mergeCell ref="O92:O93"/>
    <mergeCell ref="N92:N93"/>
    <mergeCell ref="O78:O80"/>
    <mergeCell ref="D198:P198"/>
    <mergeCell ref="N81:N87"/>
    <mergeCell ref="O81:O87"/>
    <mergeCell ref="P81:P87"/>
    <mergeCell ref="J81:J87"/>
    <mergeCell ref="A196:D196"/>
    <mergeCell ref="G81:G87"/>
    <mergeCell ref="H81:H87"/>
    <mergeCell ref="A148:A150"/>
    <mergeCell ref="B148:B150"/>
    <mergeCell ref="C148:C150"/>
    <mergeCell ref="A92:A93"/>
    <mergeCell ref="K81:K87"/>
    <mergeCell ref="E81:E87"/>
    <mergeCell ref="B81:B87"/>
    <mergeCell ref="C81:C87"/>
    <mergeCell ref="G92:G93"/>
    <mergeCell ref="H92:H93"/>
    <mergeCell ref="N97:N99"/>
    <mergeCell ref="L97:L99"/>
    <mergeCell ref="I81:I87"/>
    <mergeCell ref="J97:J99"/>
    <mergeCell ref="P97:P99"/>
    <mergeCell ref="I97:I99"/>
    <mergeCell ref="A81:A87"/>
    <mergeCell ref="A97:A99"/>
    <mergeCell ref="B97:B99"/>
    <mergeCell ref="C97:C99"/>
    <mergeCell ref="P92:P93"/>
    <mergeCell ref="N1:P1"/>
    <mergeCell ref="N2:P2"/>
    <mergeCell ref="N3:P3"/>
    <mergeCell ref="P8:P10"/>
    <mergeCell ref="A5:P5"/>
    <mergeCell ref="E9:E10"/>
    <mergeCell ref="I9:I10"/>
    <mergeCell ref="A8:A10"/>
    <mergeCell ref="J8:N8"/>
    <mergeCell ref="A6:P6"/>
    <mergeCell ref="N9:N10"/>
    <mergeCell ref="L9:M9"/>
    <mergeCell ref="E95:E96"/>
    <mergeCell ref="J9:J10"/>
    <mergeCell ref="J95:J96"/>
    <mergeCell ref="K9:K10"/>
    <mergeCell ref="E97:E99"/>
    <mergeCell ref="F78:F80"/>
    <mergeCell ref="J92:J93"/>
    <mergeCell ref="C92:C93"/>
    <mergeCell ref="G78:G80"/>
    <mergeCell ref="H78:H80"/>
    <mergeCell ref="G97:G99"/>
    <mergeCell ref="H97:H99"/>
    <mergeCell ref="F97:F99"/>
    <mergeCell ref="M92:M93"/>
    <mergeCell ref="M97:M99"/>
    <mergeCell ref="E92:E93"/>
    <mergeCell ref="F92:F93"/>
    <mergeCell ref="E78:E80"/>
    <mergeCell ref="I95:I96"/>
    <mergeCell ref="F81:F87"/>
    <mergeCell ref="K92:K93"/>
    <mergeCell ref="L81:L87"/>
    <mergeCell ref="K78:K80"/>
    <mergeCell ref="L78:L80"/>
    <mergeCell ref="J78:J80"/>
    <mergeCell ref="M78:M80"/>
    <mergeCell ref="I78:I80"/>
    <mergeCell ref="K95:K96"/>
    <mergeCell ref="K97:K99"/>
    <mergeCell ref="I92:I93"/>
    <mergeCell ref="A127:A129"/>
    <mergeCell ref="B127:B129"/>
    <mergeCell ref="C127:C129"/>
    <mergeCell ref="E127:E129"/>
    <mergeCell ref="F127:F129"/>
    <mergeCell ref="G127:G129"/>
    <mergeCell ref="B8:B10"/>
    <mergeCell ref="A95:A96"/>
    <mergeCell ref="H95:H96"/>
    <mergeCell ref="A71:A72"/>
    <mergeCell ref="B71:B72"/>
    <mergeCell ref="C71:C72"/>
    <mergeCell ref="F9:F10"/>
    <mergeCell ref="C95:C96"/>
    <mergeCell ref="B95:B96"/>
    <mergeCell ref="D8:D10"/>
    <mergeCell ref="F95:F96"/>
    <mergeCell ref="G95:G96"/>
    <mergeCell ref="E8:I8"/>
    <mergeCell ref="G9:H9"/>
    <mergeCell ref="A78:A80"/>
    <mergeCell ref="C78:C80"/>
    <mergeCell ref="B78:B80"/>
    <mergeCell ref="B92:B93"/>
    <mergeCell ref="N127:N129"/>
    <mergeCell ref="O127:O129"/>
    <mergeCell ref="P127:P129"/>
    <mergeCell ref="H127:H129"/>
    <mergeCell ref="I127:I129"/>
    <mergeCell ref="J127:J129"/>
    <mergeCell ref="K127:K129"/>
    <mergeCell ref="L127:L129"/>
    <mergeCell ref="M127:M129"/>
  </mergeCells>
  <phoneticPr fontId="0" type="noConversion"/>
  <pageMargins left="0.23622047244094491" right="0.27559055118110237" top="0.27559055118110237" bottom="0.15748031496062992" header="0.23622047244094491" footer="0.27559055118110237"/>
  <pageSetup paperSize="9" scale="17" fitToHeight="2" orientation="landscape" r:id="rId1"/>
  <headerFooter alignWithMargins="0">
    <oddFooter>&amp;C&amp;"Times New Roman Cyr,курсив"Сторінка &amp;P з &amp;N</oddFooter>
  </headerFooter>
  <rowBreaks count="4" manualBreakCount="4">
    <brk id="51" max="15" man="1"/>
    <brk id="72" max="15" man="1"/>
    <brk id="82" max="15" man="1"/>
    <brk id="91" max="15" man="1"/>
  </rowBreaks>
</worksheet>
</file>

<file path=xl/worksheets/sheet4.xml><?xml version="1.0" encoding="utf-8"?>
<worksheet xmlns="http://schemas.openxmlformats.org/spreadsheetml/2006/main" xmlns:r="http://schemas.openxmlformats.org/officeDocument/2006/relationships">
  <dimension ref="A2:U15"/>
  <sheetViews>
    <sheetView showGridLines="0" showZeros="0" topLeftCell="B1" zoomScale="85" zoomScaleNormal="110" zoomScaleSheetLayoutView="85" workbookViewId="0">
      <selection activeCell="H20" sqref="H20"/>
    </sheetView>
  </sheetViews>
  <sheetFormatPr defaultColWidth="7.85546875" defaultRowHeight="12.75"/>
  <cols>
    <col min="1" max="1" width="0" style="36" hidden="1" customWidth="1"/>
    <col min="2" max="3" width="10.28515625" style="236" customWidth="1"/>
    <col min="4" max="4" width="10.140625" style="236" customWidth="1"/>
    <col min="5" max="5" width="35.140625" style="236" customWidth="1"/>
    <col min="6" max="6" width="10.5703125" style="236" customWidth="1"/>
    <col min="7" max="7" width="15.140625" style="236" customWidth="1"/>
    <col min="8" max="9" width="10.85546875" style="236" customWidth="1"/>
    <col min="10" max="10" width="12.140625" style="236" customWidth="1"/>
    <col min="11" max="13" width="11.140625" style="236" customWidth="1"/>
    <col min="14" max="14" width="11.42578125" style="236" customWidth="1"/>
    <col min="15" max="17" width="11.28515625" style="236" customWidth="1"/>
    <col min="18" max="16384" width="7.85546875" style="236"/>
  </cols>
  <sheetData>
    <row r="2" spans="1:21" ht="64.5" customHeight="1">
      <c r="B2" s="36"/>
      <c r="C2" s="36"/>
      <c r="D2" s="36"/>
      <c r="E2" s="235"/>
      <c r="F2" s="235"/>
      <c r="G2" s="235"/>
      <c r="H2" s="235"/>
      <c r="I2" s="235"/>
      <c r="J2" s="235"/>
      <c r="K2" s="235"/>
      <c r="L2" s="235"/>
      <c r="M2" s="519" t="s">
        <v>957</v>
      </c>
      <c r="N2" s="519"/>
      <c r="O2" s="519"/>
      <c r="P2" s="519"/>
      <c r="Q2" s="519"/>
    </row>
    <row r="3" spans="1:21" ht="32.450000000000003" customHeight="1">
      <c r="B3" s="36"/>
      <c r="C3" s="36"/>
      <c r="D3" s="36"/>
      <c r="E3" s="520" t="s">
        <v>757</v>
      </c>
      <c r="F3" s="520"/>
      <c r="G3" s="520"/>
      <c r="H3" s="520"/>
      <c r="I3" s="520"/>
      <c r="J3" s="520"/>
      <c r="K3" s="520"/>
      <c r="L3" s="520"/>
      <c r="M3" s="520"/>
      <c r="N3" s="238"/>
      <c r="O3" s="238"/>
      <c r="P3" s="238"/>
      <c r="Q3" s="238"/>
    </row>
    <row r="4" spans="1:21" ht="12" customHeight="1">
      <c r="B4" s="239"/>
      <c r="C4" s="239"/>
      <c r="D4" s="240"/>
      <c r="E4" s="520"/>
      <c r="F4" s="520"/>
      <c r="G4" s="520"/>
      <c r="H4" s="520"/>
      <c r="I4" s="520"/>
      <c r="J4" s="520"/>
      <c r="K4" s="520"/>
      <c r="L4" s="520"/>
      <c r="M4" s="520"/>
      <c r="N4" s="36"/>
      <c r="O4" s="36"/>
      <c r="P4" s="36"/>
      <c r="Q4" s="241"/>
      <c r="R4" s="235"/>
      <c r="S4" s="235"/>
      <c r="T4" s="235"/>
      <c r="U4" s="235"/>
    </row>
    <row r="5" spans="1:21" ht="7.5" customHeight="1">
      <c r="B5" s="239"/>
      <c r="C5" s="239"/>
      <c r="D5" s="240"/>
      <c r="E5" s="237"/>
      <c r="F5" s="237"/>
      <c r="G5" s="237"/>
      <c r="H5" s="237"/>
      <c r="I5" s="237"/>
      <c r="J5" s="237"/>
      <c r="K5" s="237"/>
      <c r="L5" s="237"/>
      <c r="M5" s="237"/>
      <c r="N5" s="36"/>
      <c r="O5" s="36"/>
      <c r="P5" s="36"/>
      <c r="Q5" s="42" t="s">
        <v>578</v>
      </c>
      <c r="R5" s="235"/>
      <c r="S5" s="235"/>
      <c r="T5" s="235"/>
      <c r="U5" s="235"/>
    </row>
    <row r="6" spans="1:21" ht="30.75" customHeight="1">
      <c r="A6" s="242"/>
      <c r="B6" s="521" t="s">
        <v>758</v>
      </c>
      <c r="C6" s="521" t="s">
        <v>319</v>
      </c>
      <c r="D6" s="521" t="s">
        <v>225</v>
      </c>
      <c r="E6" s="524" t="s">
        <v>313</v>
      </c>
      <c r="F6" s="527" t="s">
        <v>759</v>
      </c>
      <c r="G6" s="527"/>
      <c r="H6" s="527"/>
      <c r="I6" s="528"/>
      <c r="J6" s="529" t="s">
        <v>760</v>
      </c>
      <c r="K6" s="527"/>
      <c r="L6" s="527"/>
      <c r="M6" s="527"/>
      <c r="N6" s="530" t="s">
        <v>761</v>
      </c>
      <c r="O6" s="530"/>
      <c r="P6" s="530"/>
      <c r="Q6" s="530"/>
      <c r="R6" s="235"/>
      <c r="S6" s="235"/>
      <c r="T6" s="235"/>
      <c r="U6" s="235"/>
    </row>
    <row r="7" spans="1:21" ht="28.5" customHeight="1">
      <c r="A7" s="243"/>
      <c r="B7" s="522"/>
      <c r="C7" s="522"/>
      <c r="D7" s="522"/>
      <c r="E7" s="525"/>
      <c r="F7" s="524" t="s">
        <v>212</v>
      </c>
      <c r="G7" s="524" t="s">
        <v>559</v>
      </c>
      <c r="H7" s="244" t="s">
        <v>762</v>
      </c>
      <c r="I7" s="524" t="s">
        <v>211</v>
      </c>
      <c r="J7" s="524" t="s">
        <v>212</v>
      </c>
      <c r="K7" s="524" t="s">
        <v>559</v>
      </c>
      <c r="L7" s="244" t="s">
        <v>762</v>
      </c>
      <c r="M7" s="524" t="s">
        <v>211</v>
      </c>
      <c r="N7" s="524" t="s">
        <v>212</v>
      </c>
      <c r="O7" s="524" t="s">
        <v>559</v>
      </c>
      <c r="P7" s="244" t="s">
        <v>762</v>
      </c>
      <c r="Q7" s="524" t="s">
        <v>211</v>
      </c>
      <c r="R7" s="235"/>
      <c r="S7" s="235"/>
      <c r="T7" s="235"/>
      <c r="U7" s="235"/>
    </row>
    <row r="8" spans="1:21" ht="60" customHeight="1">
      <c r="A8" s="245"/>
      <c r="B8" s="523"/>
      <c r="C8" s="523"/>
      <c r="D8" s="523"/>
      <c r="E8" s="526"/>
      <c r="F8" s="526"/>
      <c r="G8" s="526"/>
      <c r="H8" s="244" t="s">
        <v>203</v>
      </c>
      <c r="I8" s="526"/>
      <c r="J8" s="526"/>
      <c r="K8" s="526"/>
      <c r="L8" s="244" t="s">
        <v>203</v>
      </c>
      <c r="M8" s="526"/>
      <c r="N8" s="526"/>
      <c r="O8" s="526"/>
      <c r="P8" s="244" t="s">
        <v>203</v>
      </c>
      <c r="Q8" s="526"/>
      <c r="R8" s="235"/>
      <c r="S8" s="235"/>
      <c r="T8" s="235"/>
      <c r="U8" s="235"/>
    </row>
    <row r="9" spans="1:21" s="250" customFormat="1" ht="42.75">
      <c r="A9" s="246"/>
      <c r="B9" s="247" t="s">
        <v>325</v>
      </c>
      <c r="C9" s="247"/>
      <c r="D9" s="247"/>
      <c r="E9" s="248" t="s">
        <v>326</v>
      </c>
      <c r="F9" s="249">
        <f>F10</f>
        <v>300000</v>
      </c>
      <c r="G9" s="249">
        <f>G10</f>
        <v>122900.92</v>
      </c>
      <c r="H9" s="249" t="s">
        <v>763</v>
      </c>
      <c r="I9" s="249">
        <f>I10</f>
        <v>422900.92</v>
      </c>
      <c r="J9" s="249" t="s">
        <v>763</v>
      </c>
      <c r="K9" s="249">
        <f>K10</f>
        <v>-122900.92</v>
      </c>
      <c r="L9" s="249" t="s">
        <v>763</v>
      </c>
      <c r="M9" s="249">
        <f>M10</f>
        <v>-122900.92</v>
      </c>
      <c r="N9" s="249">
        <f>F9+J9</f>
        <v>300000</v>
      </c>
      <c r="O9" s="249" t="s">
        <v>763</v>
      </c>
      <c r="P9" s="249" t="s">
        <v>763</v>
      </c>
      <c r="Q9" s="258">
        <f t="shared" ref="Q9:Q12" si="0">I9+M9</f>
        <v>300000</v>
      </c>
    </row>
    <row r="10" spans="1:21" ht="45">
      <c r="B10" s="251" t="s">
        <v>323</v>
      </c>
      <c r="C10" s="251"/>
      <c r="D10" s="251"/>
      <c r="E10" s="252" t="s">
        <v>413</v>
      </c>
      <c r="F10" s="253">
        <f>F11</f>
        <v>300000</v>
      </c>
      <c r="G10" s="253">
        <f>G11</f>
        <v>122900.92</v>
      </c>
      <c r="H10" s="253" t="s">
        <v>763</v>
      </c>
      <c r="I10" s="253">
        <f>I11</f>
        <v>422900.92</v>
      </c>
      <c r="J10" s="253" t="s">
        <v>763</v>
      </c>
      <c r="K10" s="253">
        <f>K11</f>
        <v>-122900.92</v>
      </c>
      <c r="L10" s="253" t="s">
        <v>763</v>
      </c>
      <c r="M10" s="253">
        <f>M11</f>
        <v>-122900.92</v>
      </c>
      <c r="N10" s="253">
        <f t="shared" ref="N10:N13" si="1">F10+J10</f>
        <v>300000</v>
      </c>
      <c r="O10" s="253" t="s">
        <v>763</v>
      </c>
      <c r="P10" s="253" t="s">
        <v>763</v>
      </c>
      <c r="Q10" s="257">
        <f t="shared" si="0"/>
        <v>300000</v>
      </c>
    </row>
    <row r="11" spans="1:21" ht="60">
      <c r="B11" s="247" t="s">
        <v>523</v>
      </c>
      <c r="C11" s="254" t="s">
        <v>520</v>
      </c>
      <c r="D11" s="254"/>
      <c r="E11" s="50" t="s">
        <v>521</v>
      </c>
      <c r="F11" s="253">
        <f>F12+F13</f>
        <v>300000</v>
      </c>
      <c r="G11" s="253">
        <f>G12+G13</f>
        <v>122900.92</v>
      </c>
      <c r="H11" s="253" t="s">
        <v>763</v>
      </c>
      <c r="I11" s="253">
        <f>I12+I13</f>
        <v>422900.92</v>
      </c>
      <c r="J11" s="253" t="s">
        <v>763</v>
      </c>
      <c r="K11" s="253">
        <f>K12+K13</f>
        <v>-122900.92</v>
      </c>
      <c r="L11" s="253" t="s">
        <v>763</v>
      </c>
      <c r="M11" s="253">
        <f>M12+M13</f>
        <v>-122900.92</v>
      </c>
      <c r="N11" s="253">
        <f t="shared" si="1"/>
        <v>300000</v>
      </c>
      <c r="O11" s="253" t="s">
        <v>763</v>
      </c>
      <c r="P11" s="253" t="s">
        <v>763</v>
      </c>
      <c r="Q11" s="257">
        <f t="shared" si="0"/>
        <v>300000</v>
      </c>
    </row>
    <row r="12" spans="1:21" ht="75">
      <c r="B12" s="251" t="s">
        <v>524</v>
      </c>
      <c r="C12" s="255" t="s">
        <v>525</v>
      </c>
      <c r="D12" s="255" t="s">
        <v>522</v>
      </c>
      <c r="E12" s="73" t="s">
        <v>566</v>
      </c>
      <c r="F12" s="256">
        <v>300000</v>
      </c>
      <c r="G12" s="256">
        <f>(25000+97673.38+227.54)</f>
        <v>122900.92</v>
      </c>
      <c r="H12" s="256" t="s">
        <v>763</v>
      </c>
      <c r="I12" s="256">
        <f>F12+G12</f>
        <v>422900.92</v>
      </c>
      <c r="J12" s="256" t="s">
        <v>763</v>
      </c>
      <c r="K12" s="256" t="s">
        <v>763</v>
      </c>
      <c r="L12" s="256" t="s">
        <v>763</v>
      </c>
      <c r="M12" s="256" t="s">
        <v>763</v>
      </c>
      <c r="N12" s="256">
        <f t="shared" si="1"/>
        <v>300000</v>
      </c>
      <c r="O12" s="335">
        <f>G12+K12</f>
        <v>122900.92</v>
      </c>
      <c r="P12" s="256" t="s">
        <v>763</v>
      </c>
      <c r="Q12" s="335">
        <f t="shared" si="0"/>
        <v>422900.92</v>
      </c>
    </row>
    <row r="13" spans="1:21" ht="66" customHeight="1">
      <c r="B13" s="251" t="s">
        <v>764</v>
      </c>
      <c r="C13" s="255" t="s">
        <v>765</v>
      </c>
      <c r="D13" s="255" t="s">
        <v>522</v>
      </c>
      <c r="E13" s="73" t="s">
        <v>766</v>
      </c>
      <c r="F13" s="256" t="s">
        <v>763</v>
      </c>
      <c r="G13" s="256"/>
      <c r="H13" s="256" t="s">
        <v>763</v>
      </c>
      <c r="I13" s="256" t="s">
        <v>763</v>
      </c>
      <c r="J13" s="256" t="s">
        <v>763</v>
      </c>
      <c r="K13" s="256">
        <f>-25000-97673.38-227.54</f>
        <v>-122900.92</v>
      </c>
      <c r="L13" s="256" t="s">
        <v>763</v>
      </c>
      <c r="M13" s="335">
        <f>J13+K13</f>
        <v>-122900.92</v>
      </c>
      <c r="N13" s="256">
        <f t="shared" si="1"/>
        <v>0</v>
      </c>
      <c r="O13" s="335">
        <f>G13+K13</f>
        <v>-122900.92</v>
      </c>
      <c r="P13" s="256" t="s">
        <v>763</v>
      </c>
      <c r="Q13" s="335">
        <f>I13+M13</f>
        <v>-122900.92</v>
      </c>
    </row>
    <row r="14" spans="1:21" ht="27.75" customHeight="1">
      <c r="B14" s="446"/>
      <c r="C14" s="446"/>
      <c r="D14" s="447"/>
      <c r="E14" s="414" t="s">
        <v>317</v>
      </c>
      <c r="F14" s="451">
        <v>300000</v>
      </c>
      <c r="G14" s="451">
        <f>G9</f>
        <v>122900.92</v>
      </c>
      <c r="H14" s="451" t="str">
        <f t="shared" ref="H14:Q14" si="2">H9</f>
        <v>0,0</v>
      </c>
      <c r="I14" s="451">
        <f t="shared" si="2"/>
        <v>422900.92</v>
      </c>
      <c r="J14" s="451" t="str">
        <f>J9</f>
        <v>0,0</v>
      </c>
      <c r="K14" s="451">
        <f>K9</f>
        <v>-122900.92</v>
      </c>
      <c r="L14" s="451" t="str">
        <f>L9</f>
        <v>0,0</v>
      </c>
      <c r="M14" s="451">
        <f t="shared" si="2"/>
        <v>-122900.92</v>
      </c>
      <c r="N14" s="451">
        <f t="shared" si="2"/>
        <v>300000</v>
      </c>
      <c r="O14" s="451" t="str">
        <f t="shared" si="2"/>
        <v>0,0</v>
      </c>
      <c r="P14" s="451" t="str">
        <f>P9</f>
        <v>0,0</v>
      </c>
      <c r="Q14" s="451">
        <f t="shared" si="2"/>
        <v>300000</v>
      </c>
    </row>
    <row r="15" spans="1:21" ht="29.25" customHeight="1">
      <c r="D15" s="470" t="s">
        <v>756</v>
      </c>
      <c r="E15" s="470"/>
      <c r="F15" s="470"/>
      <c r="G15" s="470"/>
      <c r="H15" s="470"/>
      <c r="I15" s="470"/>
      <c r="J15" s="470"/>
      <c r="K15" s="470"/>
      <c r="L15" s="470"/>
    </row>
  </sheetData>
  <mergeCells count="19">
    <mergeCell ref="D15:L15"/>
    <mergeCell ref="G7:G8"/>
    <mergeCell ref="I7:I8"/>
    <mergeCell ref="J7:J8"/>
    <mergeCell ref="K7:K8"/>
    <mergeCell ref="M2:Q2"/>
    <mergeCell ref="E3:M4"/>
    <mergeCell ref="B6:B8"/>
    <mergeCell ref="C6:C8"/>
    <mergeCell ref="D6:D8"/>
    <mergeCell ref="E6:E8"/>
    <mergeCell ref="F6:I6"/>
    <mergeCell ref="J6:M6"/>
    <mergeCell ref="N6:Q6"/>
    <mergeCell ref="F7:F8"/>
    <mergeCell ref="O7:O8"/>
    <mergeCell ref="Q7:Q8"/>
    <mergeCell ref="M7:M8"/>
    <mergeCell ref="N7:N8"/>
  </mergeCells>
  <printOptions horizontalCentered="1"/>
  <pageMargins left="0.19685039370078741" right="0" top="0.59055118110236227" bottom="0.39370078740157483" header="0.31496062992125984" footer="0.31496062992125984"/>
  <pageSetup paperSize="9" scale="6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dimension ref="A1:K265"/>
  <sheetViews>
    <sheetView view="pageBreakPreview" topLeftCell="B1" zoomScale="70" zoomScaleNormal="40" zoomScaleSheetLayoutView="70" workbookViewId="0">
      <selection activeCell="H13" sqref="H13"/>
    </sheetView>
  </sheetViews>
  <sheetFormatPr defaultColWidth="7.85546875" defaultRowHeight="12.75"/>
  <cols>
    <col min="1" max="1" width="3.28515625" style="36" hidden="1" customWidth="1"/>
    <col min="2" max="2" width="13" style="36" customWidth="1"/>
    <col min="3" max="3" width="12" style="36" customWidth="1"/>
    <col min="4" max="4" width="13.7109375" style="36" customWidth="1"/>
    <col min="5" max="5" width="41.5703125" style="36" customWidth="1"/>
    <col min="6" max="6" width="38.5703125" style="36" customWidth="1"/>
    <col min="7" max="10" width="18.140625" style="36" customWidth="1"/>
    <col min="11" max="16384" width="7.85546875" style="37"/>
  </cols>
  <sheetData>
    <row r="1" spans="1:10" s="35" customFormat="1" ht="22.5" customHeight="1">
      <c r="A1" s="34"/>
      <c r="B1" s="548"/>
      <c r="C1" s="548"/>
      <c r="D1" s="548"/>
      <c r="E1" s="548"/>
      <c r="F1" s="548"/>
      <c r="G1" s="548"/>
      <c r="H1" s="548"/>
      <c r="I1" s="548"/>
      <c r="J1" s="548"/>
    </row>
    <row r="2" spans="1:10" ht="69.75" customHeight="1">
      <c r="G2" s="519" t="s">
        <v>958</v>
      </c>
      <c r="H2" s="519"/>
      <c r="I2" s="519"/>
      <c r="J2" s="519"/>
    </row>
    <row r="3" spans="1:10" ht="45.6" customHeight="1">
      <c r="B3" s="549" t="s">
        <v>318</v>
      </c>
      <c r="C3" s="550"/>
      <c r="D3" s="550"/>
      <c r="E3" s="550"/>
      <c r="F3" s="550"/>
      <c r="G3" s="550"/>
      <c r="H3" s="550"/>
      <c r="I3" s="550"/>
      <c r="J3" s="550"/>
    </row>
    <row r="4" spans="1:10" ht="18.75">
      <c r="B4" s="38"/>
      <c r="C4" s="39"/>
      <c r="D4" s="39"/>
      <c r="E4" s="39"/>
      <c r="F4" s="40"/>
      <c r="G4" s="40"/>
      <c r="H4" s="41"/>
      <c r="I4" s="40"/>
      <c r="J4" s="42" t="s">
        <v>578</v>
      </c>
    </row>
    <row r="5" spans="1:10" ht="107.25" customHeight="1">
      <c r="A5" s="43"/>
      <c r="B5" s="44" t="s">
        <v>222</v>
      </c>
      <c r="C5" s="44" t="s">
        <v>319</v>
      </c>
      <c r="D5" s="44" t="s">
        <v>225</v>
      </c>
      <c r="E5" s="45" t="s">
        <v>313</v>
      </c>
      <c r="F5" s="46" t="s">
        <v>574</v>
      </c>
      <c r="G5" s="46" t="s">
        <v>575</v>
      </c>
      <c r="H5" s="46" t="s">
        <v>314</v>
      </c>
      <c r="I5" s="46" t="s">
        <v>315</v>
      </c>
      <c r="J5" s="46" t="s">
        <v>316</v>
      </c>
    </row>
    <row r="6" spans="1:10" ht="45">
      <c r="A6" s="43"/>
      <c r="B6" s="415" t="s">
        <v>223</v>
      </c>
      <c r="C6" s="415"/>
      <c r="D6" s="415"/>
      <c r="E6" s="416" t="s">
        <v>324</v>
      </c>
      <c r="F6" s="417"/>
      <c r="G6" s="417"/>
      <c r="H6" s="417"/>
      <c r="I6" s="417"/>
      <c r="J6" s="418">
        <f>J7</f>
        <v>15450124.91</v>
      </c>
    </row>
    <row r="7" spans="1:10" ht="42.75">
      <c r="A7" s="43"/>
      <c r="B7" s="419" t="s">
        <v>226</v>
      </c>
      <c r="C7" s="419"/>
      <c r="D7" s="419"/>
      <c r="E7" s="420" t="s">
        <v>412</v>
      </c>
      <c r="F7" s="417"/>
      <c r="G7" s="417"/>
      <c r="H7" s="417"/>
      <c r="I7" s="417"/>
      <c r="J7" s="421">
        <f>J8+J9+J10+J12+J15+J13+J16+J17+J18+J19+J20+J14+J21</f>
        <v>15450124.91</v>
      </c>
    </row>
    <row r="8" spans="1:10" ht="93.75" customHeight="1">
      <c r="A8" s="43"/>
      <c r="B8" s="76" t="s">
        <v>54</v>
      </c>
      <c r="C8" s="76" t="s">
        <v>57</v>
      </c>
      <c r="D8" s="76" t="s">
        <v>58</v>
      </c>
      <c r="E8" s="76" t="s">
        <v>16</v>
      </c>
      <c r="F8" s="60" t="s">
        <v>576</v>
      </c>
      <c r="G8" s="46"/>
      <c r="H8" s="46"/>
      <c r="I8" s="46"/>
      <c r="J8" s="84">
        <f>((1672500+207000+50000-257000)+140000+587000-160000)+656319-15100+28000+200000-72800</f>
        <v>3035919</v>
      </c>
    </row>
    <row r="9" spans="1:10" ht="30">
      <c r="A9" s="43"/>
      <c r="B9" s="76" t="s">
        <v>56</v>
      </c>
      <c r="C9" s="76" t="s">
        <v>466</v>
      </c>
      <c r="D9" s="76" t="s">
        <v>58</v>
      </c>
      <c r="E9" s="76" t="s">
        <v>17</v>
      </c>
      <c r="F9" s="60" t="s">
        <v>576</v>
      </c>
      <c r="G9" s="46"/>
      <c r="H9" s="46"/>
      <c r="I9" s="46"/>
      <c r="J9" s="84">
        <f>((3598000-3000000+53000)+76548.78)+200000+20000</f>
        <v>947548.78</v>
      </c>
    </row>
    <row r="10" spans="1:10" ht="45">
      <c r="A10" s="43"/>
      <c r="B10" s="76" t="s">
        <v>56</v>
      </c>
      <c r="C10" s="76" t="s">
        <v>466</v>
      </c>
      <c r="D10" s="76" t="s">
        <v>58</v>
      </c>
      <c r="E10" s="76" t="s">
        <v>17</v>
      </c>
      <c r="F10" s="68" t="s">
        <v>940</v>
      </c>
      <c r="G10" s="46"/>
      <c r="H10" s="46"/>
      <c r="I10" s="46"/>
      <c r="J10" s="84">
        <v>3000000</v>
      </c>
    </row>
    <row r="11" spans="1:10" ht="15">
      <c r="A11" s="43"/>
      <c r="B11" s="76" t="s">
        <v>69</v>
      </c>
      <c r="C11" s="76" t="s">
        <v>70</v>
      </c>
      <c r="D11" s="76"/>
      <c r="E11" s="76" t="s">
        <v>71</v>
      </c>
      <c r="F11" s="68"/>
      <c r="G11" s="46"/>
      <c r="H11" s="46"/>
      <c r="I11" s="46"/>
      <c r="J11" s="84">
        <f>J12</f>
        <v>263260.59999999998</v>
      </c>
    </row>
    <row r="12" spans="1:10" ht="15">
      <c r="A12" s="43"/>
      <c r="B12" s="77" t="s">
        <v>72</v>
      </c>
      <c r="C12" s="77" t="s">
        <v>73</v>
      </c>
      <c r="D12" s="77" t="s">
        <v>74</v>
      </c>
      <c r="E12" s="77" t="s">
        <v>214</v>
      </c>
      <c r="F12" s="60" t="s">
        <v>576</v>
      </c>
      <c r="G12" s="128"/>
      <c r="H12" s="128"/>
      <c r="I12" s="128"/>
      <c r="J12" s="78">
        <f>(90000)+173260.6</f>
        <v>263260.59999999998</v>
      </c>
    </row>
    <row r="13" spans="1:10" ht="93" customHeight="1">
      <c r="A13" s="43"/>
      <c r="B13" s="77" t="s">
        <v>852</v>
      </c>
      <c r="C13" s="340" t="s">
        <v>403</v>
      </c>
      <c r="D13" s="77" t="s">
        <v>401</v>
      </c>
      <c r="E13" s="79" t="s">
        <v>404</v>
      </c>
      <c r="F13" s="68" t="s">
        <v>948</v>
      </c>
      <c r="G13" s="128"/>
      <c r="H13" s="128"/>
      <c r="I13" s="128"/>
      <c r="J13" s="84">
        <f>(385000)+90000</f>
        <v>475000</v>
      </c>
    </row>
    <row r="14" spans="1:10" ht="120">
      <c r="A14" s="43"/>
      <c r="B14" s="77" t="s">
        <v>852</v>
      </c>
      <c r="C14" s="354" t="s">
        <v>403</v>
      </c>
      <c r="D14" s="77" t="s">
        <v>401</v>
      </c>
      <c r="E14" s="79" t="s">
        <v>404</v>
      </c>
      <c r="F14" s="68" t="s">
        <v>941</v>
      </c>
      <c r="G14" s="128"/>
      <c r="H14" s="128"/>
      <c r="I14" s="128"/>
      <c r="J14" s="84">
        <v>320000</v>
      </c>
    </row>
    <row r="15" spans="1:10" ht="60">
      <c r="A15" s="43"/>
      <c r="B15" s="56" t="s">
        <v>621</v>
      </c>
      <c r="C15" s="56" t="s">
        <v>622</v>
      </c>
      <c r="D15" s="56" t="s">
        <v>466</v>
      </c>
      <c r="E15" s="80" t="s">
        <v>623</v>
      </c>
      <c r="F15" s="60" t="s">
        <v>576</v>
      </c>
      <c r="G15" s="128"/>
      <c r="H15" s="128"/>
      <c r="I15" s="128"/>
      <c r="J15" s="84">
        <f>((2265087.53-400000+305100-50000)+800000-189170-200000)+500000+87000+3055000</f>
        <v>6173017.5299999993</v>
      </c>
    </row>
    <row r="16" spans="1:10" ht="78.75">
      <c r="A16" s="43"/>
      <c r="B16" s="340" t="s">
        <v>853</v>
      </c>
      <c r="C16" s="340" t="s">
        <v>628</v>
      </c>
      <c r="D16" s="340" t="s">
        <v>466</v>
      </c>
      <c r="E16" s="292" t="s">
        <v>934</v>
      </c>
      <c r="F16" s="60" t="s">
        <v>576</v>
      </c>
      <c r="G16" s="128"/>
      <c r="H16" s="128"/>
      <c r="I16" s="128"/>
      <c r="J16" s="345">
        <v>150000</v>
      </c>
    </row>
    <row r="17" spans="1:10" ht="78.75">
      <c r="A17" s="43"/>
      <c r="B17" s="340" t="s">
        <v>853</v>
      </c>
      <c r="C17" s="340" t="s">
        <v>628</v>
      </c>
      <c r="D17" s="340" t="s">
        <v>466</v>
      </c>
      <c r="E17" s="292" t="s">
        <v>935</v>
      </c>
      <c r="F17" s="60" t="s">
        <v>576</v>
      </c>
      <c r="G17" s="128"/>
      <c r="H17" s="128"/>
      <c r="I17" s="128"/>
      <c r="J17" s="345">
        <v>150000</v>
      </c>
    </row>
    <row r="18" spans="1:10" ht="78.75">
      <c r="A18" s="43"/>
      <c r="B18" s="340" t="s">
        <v>853</v>
      </c>
      <c r="C18" s="340" t="s">
        <v>628</v>
      </c>
      <c r="D18" s="340" t="s">
        <v>466</v>
      </c>
      <c r="E18" s="292" t="s">
        <v>937</v>
      </c>
      <c r="F18" s="60" t="s">
        <v>576</v>
      </c>
      <c r="G18" s="128"/>
      <c r="H18" s="128"/>
      <c r="I18" s="128"/>
      <c r="J18" s="345">
        <v>50000</v>
      </c>
    </row>
    <row r="19" spans="1:10" ht="78.75">
      <c r="A19" s="43"/>
      <c r="B19" s="340" t="s">
        <v>853</v>
      </c>
      <c r="C19" s="340" t="s">
        <v>628</v>
      </c>
      <c r="D19" s="340" t="s">
        <v>466</v>
      </c>
      <c r="E19" s="292" t="s">
        <v>936</v>
      </c>
      <c r="F19" s="60" t="s">
        <v>576</v>
      </c>
      <c r="G19" s="128"/>
      <c r="H19" s="128"/>
      <c r="I19" s="128"/>
      <c r="J19" s="345">
        <v>150000</v>
      </c>
    </row>
    <row r="20" spans="1:10" ht="78.75">
      <c r="A20" s="43"/>
      <c r="B20" s="340" t="s">
        <v>853</v>
      </c>
      <c r="C20" s="340" t="s">
        <v>628</v>
      </c>
      <c r="D20" s="340" t="s">
        <v>466</v>
      </c>
      <c r="E20" s="292" t="s">
        <v>855</v>
      </c>
      <c r="F20" s="60" t="s">
        <v>576</v>
      </c>
      <c r="G20" s="128"/>
      <c r="H20" s="128"/>
      <c r="I20" s="128"/>
      <c r="J20" s="345">
        <v>150000</v>
      </c>
    </row>
    <row r="21" spans="1:10" ht="15.75">
      <c r="A21" s="43"/>
      <c r="B21" s="405" t="s">
        <v>853</v>
      </c>
      <c r="C21" s="405" t="s">
        <v>628</v>
      </c>
      <c r="D21" s="405" t="s">
        <v>466</v>
      </c>
      <c r="E21" s="292" t="s">
        <v>629</v>
      </c>
      <c r="F21" s="60" t="s">
        <v>576</v>
      </c>
      <c r="G21" s="128"/>
      <c r="H21" s="128"/>
      <c r="I21" s="128"/>
      <c r="J21" s="345">
        <v>585379</v>
      </c>
    </row>
    <row r="22" spans="1:10" ht="45">
      <c r="A22" s="116"/>
      <c r="B22" s="415" t="s">
        <v>230</v>
      </c>
      <c r="C22" s="422"/>
      <c r="D22" s="422"/>
      <c r="E22" s="416" t="s">
        <v>22</v>
      </c>
      <c r="F22" s="423"/>
      <c r="G22" s="423"/>
      <c r="H22" s="423"/>
      <c r="I22" s="423"/>
      <c r="J22" s="424">
        <f>J23</f>
        <v>42837029</v>
      </c>
    </row>
    <row r="23" spans="1:10" ht="42.75">
      <c r="A23" s="116"/>
      <c r="B23" s="419" t="s">
        <v>231</v>
      </c>
      <c r="C23" s="417"/>
      <c r="D23" s="425"/>
      <c r="E23" s="420" t="s">
        <v>23</v>
      </c>
      <c r="F23" s="426"/>
      <c r="G23" s="426"/>
      <c r="H23" s="426"/>
      <c r="I23" s="426"/>
      <c r="J23" s="427">
        <f>SUM(J24:J35)</f>
        <v>42837029</v>
      </c>
    </row>
    <row r="24" spans="1:10" ht="15">
      <c r="B24" s="54" t="s">
        <v>232</v>
      </c>
      <c r="C24" s="54" t="s">
        <v>233</v>
      </c>
      <c r="D24" s="54" t="s">
        <v>234</v>
      </c>
      <c r="E24" s="54" t="s">
        <v>235</v>
      </c>
      <c r="F24" s="60" t="s">
        <v>576</v>
      </c>
      <c r="G24" s="59"/>
      <c r="H24" s="59"/>
      <c r="I24" s="59"/>
      <c r="J24" s="57">
        <f>((10642175+2989560+2711300+1228800+117798+117800+249000+4338711+99000+9000-30000-1000000-7165258)+424350+40290+178452+1000000+571100+21535+100000)-1500000</f>
        <v>15143613</v>
      </c>
    </row>
    <row r="25" spans="1:10" ht="60">
      <c r="B25" s="54" t="s">
        <v>232</v>
      </c>
      <c r="C25" s="54" t="s">
        <v>233</v>
      </c>
      <c r="D25" s="54" t="s">
        <v>234</v>
      </c>
      <c r="E25" s="54" t="s">
        <v>235</v>
      </c>
      <c r="F25" s="68" t="s">
        <v>582</v>
      </c>
      <c r="G25" s="59"/>
      <c r="H25" s="59"/>
      <c r="I25" s="59"/>
      <c r="J25" s="58">
        <f>(250000)+230000</f>
        <v>480000</v>
      </c>
    </row>
    <row r="26" spans="1:10" ht="60">
      <c r="B26" s="54" t="s">
        <v>232</v>
      </c>
      <c r="C26" s="54" t="s">
        <v>233</v>
      </c>
      <c r="D26" s="54" t="s">
        <v>234</v>
      </c>
      <c r="E26" s="54" t="s">
        <v>235</v>
      </c>
      <c r="F26" s="68" t="s">
        <v>583</v>
      </c>
      <c r="G26" s="59"/>
      <c r="H26" s="59"/>
      <c r="I26" s="59"/>
      <c r="J26" s="58">
        <f>(250000)+230000</f>
        <v>480000</v>
      </c>
    </row>
    <row r="27" spans="1:10" ht="60">
      <c r="B27" s="54" t="s">
        <v>232</v>
      </c>
      <c r="C27" s="54" t="s">
        <v>233</v>
      </c>
      <c r="D27" s="54" t="s">
        <v>234</v>
      </c>
      <c r="E27" s="54" t="s">
        <v>235</v>
      </c>
      <c r="F27" s="68" t="s">
        <v>584</v>
      </c>
      <c r="G27" s="59"/>
      <c r="H27" s="59"/>
      <c r="I27" s="59"/>
      <c r="J27" s="58">
        <f>(250000)+230000</f>
        <v>480000</v>
      </c>
    </row>
    <row r="28" spans="1:10" ht="60">
      <c r="B28" s="54" t="s">
        <v>232</v>
      </c>
      <c r="C28" s="54" t="s">
        <v>233</v>
      </c>
      <c r="D28" s="54" t="s">
        <v>234</v>
      </c>
      <c r="E28" s="54" t="s">
        <v>235</v>
      </c>
      <c r="F28" s="68" t="s">
        <v>585</v>
      </c>
      <c r="G28" s="59"/>
      <c r="H28" s="59"/>
      <c r="I28" s="59"/>
      <c r="J28" s="58">
        <f>(250000)+230000</f>
        <v>480000</v>
      </c>
    </row>
    <row r="29" spans="1:10" ht="89.25" customHeight="1">
      <c r="B29" s="56" t="s">
        <v>236</v>
      </c>
      <c r="C29" s="56" t="s">
        <v>237</v>
      </c>
      <c r="D29" s="56" t="s">
        <v>238</v>
      </c>
      <c r="E29" s="56" t="s">
        <v>239</v>
      </c>
      <c r="F29" s="60" t="s">
        <v>576</v>
      </c>
      <c r="G29" s="59"/>
      <c r="H29" s="59"/>
      <c r="I29" s="59"/>
      <c r="J29" s="58">
        <f>((370000+70000+1575850+4563040+117800+117800+272640+148000+1894509+3000+13000-6374490)+1056945+200000+200000+425000+662833+770000+24574+1000750-86500+55420+21535+21535-500000)+50000+200000+114427</f>
        <v>6987668</v>
      </c>
    </row>
    <row r="30" spans="1:10" ht="105">
      <c r="B30" s="56" t="s">
        <v>236</v>
      </c>
      <c r="C30" s="56" t="s">
        <v>237</v>
      </c>
      <c r="D30" s="56" t="s">
        <v>238</v>
      </c>
      <c r="E30" s="56" t="s">
        <v>239</v>
      </c>
      <c r="F30" s="68" t="s">
        <v>856</v>
      </c>
      <c r="G30" s="59"/>
      <c r="H30" s="59"/>
      <c r="I30" s="59"/>
      <c r="J30" s="58">
        <f>(200000)+120885</f>
        <v>320885</v>
      </c>
    </row>
    <row r="31" spans="1:10" ht="90">
      <c r="B31" s="56" t="s">
        <v>243</v>
      </c>
      <c r="C31" s="56" t="s">
        <v>244</v>
      </c>
      <c r="D31" s="56" t="s">
        <v>245</v>
      </c>
      <c r="E31" s="56" t="s">
        <v>246</v>
      </c>
      <c r="F31" s="60" t="s">
        <v>576</v>
      </c>
      <c r="G31" s="59"/>
      <c r="H31" s="59"/>
      <c r="I31" s="59"/>
      <c r="J31" s="58">
        <f>(12000+5000)+29650</f>
        <v>46650</v>
      </c>
    </row>
    <row r="32" spans="1:10" ht="45">
      <c r="B32" s="56" t="s">
        <v>247</v>
      </c>
      <c r="C32" s="56" t="s">
        <v>248</v>
      </c>
      <c r="D32" s="56" t="s">
        <v>249</v>
      </c>
      <c r="E32" s="56" t="s">
        <v>250</v>
      </c>
      <c r="F32" s="60" t="s">
        <v>576</v>
      </c>
      <c r="G32" s="59"/>
      <c r="H32" s="59"/>
      <c r="I32" s="59"/>
      <c r="J32" s="58">
        <f>((4490000+980000+550000)+195000+46320)-1500000</f>
        <v>4761320</v>
      </c>
    </row>
    <row r="33" spans="2:10" ht="45">
      <c r="B33" s="333" t="s">
        <v>254</v>
      </c>
      <c r="C33" s="333" t="s">
        <v>255</v>
      </c>
      <c r="D33" s="333" t="s">
        <v>256</v>
      </c>
      <c r="E33" s="333" t="s">
        <v>257</v>
      </c>
      <c r="F33" s="60" t="s">
        <v>576</v>
      </c>
      <c r="G33" s="59"/>
      <c r="H33" s="59"/>
      <c r="I33" s="59"/>
      <c r="J33" s="58">
        <f>(20145)+39000</f>
        <v>59145</v>
      </c>
    </row>
    <row r="34" spans="2:10" ht="30">
      <c r="B34" s="333" t="s">
        <v>258</v>
      </c>
      <c r="C34" s="333" t="s">
        <v>259</v>
      </c>
      <c r="D34" s="333" t="s">
        <v>256</v>
      </c>
      <c r="E34" s="333" t="s">
        <v>260</v>
      </c>
      <c r="F34" s="60" t="s">
        <v>576</v>
      </c>
      <c r="G34" s="59"/>
      <c r="H34" s="59"/>
      <c r="I34" s="59"/>
      <c r="J34" s="58">
        <v>58000</v>
      </c>
    </row>
    <row r="35" spans="2:10" ht="15">
      <c r="B35" s="56" t="s">
        <v>631</v>
      </c>
      <c r="C35" s="56" t="s">
        <v>456</v>
      </c>
      <c r="D35" s="56" t="s">
        <v>457</v>
      </c>
      <c r="E35" s="56" t="s">
        <v>458</v>
      </c>
      <c r="F35" s="60" t="s">
        <v>576</v>
      </c>
      <c r="G35" s="59"/>
      <c r="H35" s="59"/>
      <c r="I35" s="59"/>
      <c r="J35" s="58">
        <v>13539748</v>
      </c>
    </row>
    <row r="36" spans="2:10" ht="45">
      <c r="B36" s="415" t="s">
        <v>325</v>
      </c>
      <c r="C36" s="415"/>
      <c r="D36" s="415"/>
      <c r="E36" s="415" t="s">
        <v>326</v>
      </c>
      <c r="F36" s="428"/>
      <c r="G36" s="426"/>
      <c r="H36" s="426"/>
      <c r="I36" s="426"/>
      <c r="J36" s="429">
        <f>J37</f>
        <v>9466256</v>
      </c>
    </row>
    <row r="37" spans="2:10" ht="42.75">
      <c r="B37" s="419" t="s">
        <v>323</v>
      </c>
      <c r="C37" s="419"/>
      <c r="D37" s="419"/>
      <c r="E37" s="419" t="s">
        <v>413</v>
      </c>
      <c r="F37" s="428"/>
      <c r="G37" s="426"/>
      <c r="H37" s="426"/>
      <c r="I37" s="426"/>
      <c r="J37" s="430">
        <f>J38+J46+J47+J48+J49+J44</f>
        <v>9466256</v>
      </c>
    </row>
    <row r="38" spans="2:10" ht="30">
      <c r="B38" s="56" t="s">
        <v>365</v>
      </c>
      <c r="C38" s="56" t="s">
        <v>366</v>
      </c>
      <c r="D38" s="55"/>
      <c r="E38" s="56" t="s">
        <v>367</v>
      </c>
      <c r="F38" s="71"/>
      <c r="G38" s="72"/>
      <c r="H38" s="72"/>
      <c r="I38" s="72"/>
      <c r="J38" s="84">
        <f>SUM(J39:J43)</f>
        <v>8522000</v>
      </c>
    </row>
    <row r="39" spans="2:10" ht="45">
      <c r="B39" s="55" t="s">
        <v>364</v>
      </c>
      <c r="C39" s="55" t="s">
        <v>368</v>
      </c>
      <c r="D39" s="55" t="s">
        <v>506</v>
      </c>
      <c r="E39" s="55" t="s">
        <v>514</v>
      </c>
      <c r="F39" s="68" t="s">
        <v>519</v>
      </c>
      <c r="G39" s="59"/>
      <c r="H39" s="59"/>
      <c r="I39" s="59"/>
      <c r="J39" s="85">
        <f>(3500000)+222500</f>
        <v>3722500</v>
      </c>
    </row>
    <row r="40" spans="2:10" ht="96" customHeight="1">
      <c r="B40" s="55" t="s">
        <v>364</v>
      </c>
      <c r="C40" s="55" t="s">
        <v>368</v>
      </c>
      <c r="D40" s="55" t="s">
        <v>506</v>
      </c>
      <c r="E40" s="55" t="s">
        <v>514</v>
      </c>
      <c r="F40" s="68" t="s">
        <v>907</v>
      </c>
      <c r="G40" s="59"/>
      <c r="H40" s="59"/>
      <c r="I40" s="59"/>
      <c r="J40" s="85">
        <v>60600</v>
      </c>
    </row>
    <row r="41" spans="2:10" ht="107.25" customHeight="1">
      <c r="B41" s="55" t="s">
        <v>364</v>
      </c>
      <c r="C41" s="55" t="s">
        <v>368</v>
      </c>
      <c r="D41" s="55" t="s">
        <v>506</v>
      </c>
      <c r="E41" s="55" t="s">
        <v>514</v>
      </c>
      <c r="F41" s="68" t="s">
        <v>906</v>
      </c>
      <c r="G41" s="59"/>
      <c r="H41" s="59"/>
      <c r="I41" s="59"/>
      <c r="J41" s="85">
        <f>(1450000)+495000</f>
        <v>1945000</v>
      </c>
    </row>
    <row r="42" spans="2:10" ht="123.75" customHeight="1">
      <c r="B42" s="55" t="s">
        <v>364</v>
      </c>
      <c r="C42" s="55" t="s">
        <v>368</v>
      </c>
      <c r="D42" s="55" t="s">
        <v>506</v>
      </c>
      <c r="E42" s="55" t="s">
        <v>514</v>
      </c>
      <c r="F42" s="68" t="s">
        <v>849</v>
      </c>
      <c r="G42" s="59"/>
      <c r="H42" s="59"/>
      <c r="I42" s="59"/>
      <c r="J42" s="85">
        <v>150000</v>
      </c>
    </row>
    <row r="43" spans="2:10" ht="45">
      <c r="B43" s="55" t="s">
        <v>364</v>
      </c>
      <c r="C43" s="55" t="s">
        <v>368</v>
      </c>
      <c r="D43" s="55" t="s">
        <v>506</v>
      </c>
      <c r="E43" s="55" t="s">
        <v>514</v>
      </c>
      <c r="F43" s="60" t="s">
        <v>576</v>
      </c>
      <c r="G43" s="59"/>
      <c r="H43" s="59"/>
      <c r="I43" s="59"/>
      <c r="J43" s="85">
        <f>((1067800+50000+724600)+1939800)+135000+145900+60000-69400-1409800</f>
        <v>2643900</v>
      </c>
    </row>
    <row r="44" spans="2:10" ht="30">
      <c r="B44" s="412" t="s">
        <v>517</v>
      </c>
      <c r="C44" s="412" t="s">
        <v>518</v>
      </c>
      <c r="D44" s="412"/>
      <c r="E44" s="412" t="s">
        <v>371</v>
      </c>
      <c r="F44" s="60"/>
      <c r="G44" s="59"/>
      <c r="H44" s="59"/>
      <c r="I44" s="59"/>
      <c r="J44" s="58">
        <f>J45</f>
        <v>37500</v>
      </c>
    </row>
    <row r="45" spans="2:10" ht="30">
      <c r="B45" s="461" t="s">
        <v>375</v>
      </c>
      <c r="C45" s="461" t="s">
        <v>376</v>
      </c>
      <c r="D45" s="461" t="s">
        <v>506</v>
      </c>
      <c r="E45" s="77" t="s">
        <v>377</v>
      </c>
      <c r="F45" s="83" t="s">
        <v>576</v>
      </c>
      <c r="G45" s="59"/>
      <c r="H45" s="59"/>
      <c r="I45" s="59"/>
      <c r="J45" s="85">
        <v>37500</v>
      </c>
    </row>
    <row r="46" spans="2:10" ht="45">
      <c r="B46" s="129" t="s">
        <v>624</v>
      </c>
      <c r="C46" s="129" t="s">
        <v>403</v>
      </c>
      <c r="D46" s="129" t="s">
        <v>401</v>
      </c>
      <c r="E46" s="56" t="s">
        <v>404</v>
      </c>
      <c r="F46" s="68" t="s">
        <v>630</v>
      </c>
      <c r="G46" s="59"/>
      <c r="H46" s="59"/>
      <c r="I46" s="59"/>
      <c r="J46" s="85">
        <v>656200</v>
      </c>
    </row>
    <row r="47" spans="2:10" ht="105">
      <c r="B47" s="129" t="s">
        <v>624</v>
      </c>
      <c r="C47" s="129" t="s">
        <v>403</v>
      </c>
      <c r="D47" s="129" t="s">
        <v>401</v>
      </c>
      <c r="E47" s="56" t="s">
        <v>404</v>
      </c>
      <c r="F47" s="68" t="s">
        <v>24</v>
      </c>
      <c r="G47" s="59"/>
      <c r="H47" s="59"/>
      <c r="I47" s="59"/>
      <c r="J47" s="85">
        <v>115000</v>
      </c>
    </row>
    <row r="48" spans="2:10" ht="30">
      <c r="B48" s="129" t="s">
        <v>624</v>
      </c>
      <c r="C48" s="129" t="s">
        <v>403</v>
      </c>
      <c r="D48" s="129" t="s">
        <v>401</v>
      </c>
      <c r="E48" s="56" t="s">
        <v>404</v>
      </c>
      <c r="F48" s="60" t="s">
        <v>576</v>
      </c>
      <c r="G48" s="59"/>
      <c r="H48" s="59"/>
      <c r="I48" s="59"/>
      <c r="J48" s="85">
        <f>(130840)</f>
        <v>130840</v>
      </c>
    </row>
    <row r="49" spans="1:10" ht="60">
      <c r="B49" s="129" t="s">
        <v>624</v>
      </c>
      <c r="C49" s="129" t="s">
        <v>403</v>
      </c>
      <c r="D49" s="129" t="s">
        <v>401</v>
      </c>
      <c r="E49" s="56" t="s">
        <v>404</v>
      </c>
      <c r="F49" s="68" t="s">
        <v>850</v>
      </c>
      <c r="G49" s="59"/>
      <c r="H49" s="59"/>
      <c r="I49" s="59"/>
      <c r="J49" s="85">
        <v>4716</v>
      </c>
    </row>
    <row r="50" spans="1:10" ht="45">
      <c r="A50" s="116"/>
      <c r="B50" s="438" t="s">
        <v>288</v>
      </c>
      <c r="C50" s="439"/>
      <c r="D50" s="439"/>
      <c r="E50" s="416" t="s">
        <v>286</v>
      </c>
      <c r="F50" s="431"/>
      <c r="G50" s="431"/>
      <c r="H50" s="431"/>
      <c r="I50" s="431"/>
      <c r="J50" s="424">
        <f>J51</f>
        <v>19432111.940000001</v>
      </c>
    </row>
    <row r="51" spans="1:10" ht="42.75">
      <c r="A51" s="116"/>
      <c r="B51" s="415" t="s">
        <v>289</v>
      </c>
      <c r="C51" s="415"/>
      <c r="D51" s="415"/>
      <c r="E51" s="420" t="s">
        <v>414</v>
      </c>
      <c r="F51" s="431"/>
      <c r="G51" s="431"/>
      <c r="H51" s="431"/>
      <c r="I51" s="431"/>
      <c r="J51" s="427">
        <f>SUM(J52:J58)</f>
        <v>19432111.940000001</v>
      </c>
    </row>
    <row r="52" spans="1:10" ht="30">
      <c r="B52" s="56" t="s">
        <v>290</v>
      </c>
      <c r="C52" s="56" t="s">
        <v>291</v>
      </c>
      <c r="D52" s="56" t="s">
        <v>292</v>
      </c>
      <c r="E52" s="56" t="s">
        <v>293</v>
      </c>
      <c r="F52" s="60" t="s">
        <v>576</v>
      </c>
      <c r="G52" s="49"/>
      <c r="H52" s="49"/>
      <c r="I52" s="49"/>
      <c r="J52" s="58">
        <f>((7360100+1530000-1000000+1492900+342076)+3143000)+334600-112500-6455.63-59942.2-465995.28-1080.95</f>
        <v>12556701.940000001</v>
      </c>
    </row>
    <row r="53" spans="1:10" ht="60">
      <c r="B53" s="56" t="s">
        <v>294</v>
      </c>
      <c r="C53" s="56" t="s">
        <v>295</v>
      </c>
      <c r="D53" s="56" t="s">
        <v>296</v>
      </c>
      <c r="E53" s="56" t="s">
        <v>297</v>
      </c>
      <c r="F53" s="68" t="s">
        <v>45</v>
      </c>
      <c r="G53" s="49"/>
      <c r="H53" s="49"/>
      <c r="I53" s="49"/>
      <c r="J53" s="58">
        <f>(500000)+232000</f>
        <v>732000</v>
      </c>
    </row>
    <row r="54" spans="1:10" ht="30">
      <c r="B54" s="56" t="s">
        <v>298</v>
      </c>
      <c r="C54" s="56" t="s">
        <v>299</v>
      </c>
      <c r="D54" s="56" t="s">
        <v>300</v>
      </c>
      <c r="E54" s="56" t="s">
        <v>301</v>
      </c>
      <c r="F54" s="60" t="s">
        <v>576</v>
      </c>
      <c r="G54" s="49"/>
      <c r="H54" s="49"/>
      <c r="I54" s="49"/>
      <c r="J54" s="58">
        <f>((168000)+1638000)+28500-125050</f>
        <v>1709450</v>
      </c>
    </row>
    <row r="55" spans="1:10" ht="30">
      <c r="B55" s="56" t="s">
        <v>302</v>
      </c>
      <c r="C55" s="56" t="s">
        <v>303</v>
      </c>
      <c r="D55" s="56" t="s">
        <v>304</v>
      </c>
      <c r="E55" s="56" t="s">
        <v>305</v>
      </c>
      <c r="F55" s="60" t="s">
        <v>576</v>
      </c>
      <c r="G55" s="49"/>
      <c r="H55" s="49"/>
      <c r="I55" s="49"/>
      <c r="J55" s="58">
        <v>98500</v>
      </c>
    </row>
    <row r="56" spans="1:10" ht="15">
      <c r="B56" s="56" t="s">
        <v>306</v>
      </c>
      <c r="C56" s="56" t="s">
        <v>307</v>
      </c>
      <c r="D56" s="56" t="s">
        <v>308</v>
      </c>
      <c r="E56" s="56" t="s">
        <v>309</v>
      </c>
      <c r="F56" s="60" t="s">
        <v>576</v>
      </c>
      <c r="G56" s="49"/>
      <c r="H56" s="49"/>
      <c r="I56" s="49"/>
      <c r="J56" s="58">
        <f>(2033900)+2060000</f>
        <v>4093900</v>
      </c>
    </row>
    <row r="57" spans="1:10" ht="75">
      <c r="B57" s="56" t="s">
        <v>310</v>
      </c>
      <c r="C57" s="56" t="s">
        <v>311</v>
      </c>
      <c r="D57" s="56" t="s">
        <v>312</v>
      </c>
      <c r="E57" s="56" t="s">
        <v>577</v>
      </c>
      <c r="F57" s="60" t="s">
        <v>576</v>
      </c>
      <c r="G57" s="49"/>
      <c r="H57" s="49"/>
      <c r="I57" s="49"/>
      <c r="J57" s="58">
        <v>28000</v>
      </c>
    </row>
    <row r="58" spans="1:10" ht="15">
      <c r="B58" s="334">
        <v>1418800</v>
      </c>
      <c r="C58" s="333" t="s">
        <v>628</v>
      </c>
      <c r="D58" s="333" t="s">
        <v>466</v>
      </c>
      <c r="E58" s="79" t="s">
        <v>629</v>
      </c>
      <c r="F58" s="60" t="s">
        <v>576</v>
      </c>
      <c r="G58" s="49"/>
      <c r="H58" s="49"/>
      <c r="I58" s="49"/>
      <c r="J58" s="58">
        <v>213560</v>
      </c>
    </row>
    <row r="59" spans="1:10" ht="45">
      <c r="B59" s="415" t="s">
        <v>331</v>
      </c>
      <c r="C59" s="415"/>
      <c r="D59" s="415"/>
      <c r="E59" s="416" t="s">
        <v>415</v>
      </c>
      <c r="F59" s="431"/>
      <c r="G59" s="431"/>
      <c r="H59" s="431"/>
      <c r="I59" s="431"/>
      <c r="J59" s="424">
        <f>J60</f>
        <v>7485071.1799999997</v>
      </c>
    </row>
    <row r="60" spans="1:10" ht="57">
      <c r="B60" s="419" t="s">
        <v>332</v>
      </c>
      <c r="C60" s="419"/>
      <c r="D60" s="419"/>
      <c r="E60" s="420" t="s">
        <v>416</v>
      </c>
      <c r="F60" s="431"/>
      <c r="G60" s="431"/>
      <c r="H60" s="431"/>
      <c r="I60" s="431"/>
      <c r="J60" s="427">
        <f>J66+J73+J74+J61+J75+J70+J76</f>
        <v>7485071.1799999997</v>
      </c>
    </row>
    <row r="61" spans="1:10" ht="105.75" customHeight="1">
      <c r="B61" s="555" t="s">
        <v>166</v>
      </c>
      <c r="C61" s="555" t="s">
        <v>167</v>
      </c>
      <c r="D61" s="555"/>
      <c r="E61" s="145" t="s">
        <v>168</v>
      </c>
      <c r="F61" s="553"/>
      <c r="G61" s="551"/>
      <c r="H61" s="556"/>
      <c r="I61" s="556"/>
      <c r="J61" s="556">
        <f>J63</f>
        <v>50000</v>
      </c>
    </row>
    <row r="62" spans="1:10" ht="105" customHeight="1">
      <c r="B62" s="554"/>
      <c r="C62" s="554"/>
      <c r="D62" s="554"/>
      <c r="E62" s="146" t="s">
        <v>169</v>
      </c>
      <c r="F62" s="554"/>
      <c r="G62" s="552"/>
      <c r="H62" s="554"/>
      <c r="I62" s="554"/>
      <c r="J62" s="557"/>
    </row>
    <row r="63" spans="1:10" ht="105.75" customHeight="1">
      <c r="B63" s="535" t="s">
        <v>170</v>
      </c>
      <c r="C63" s="535" t="s">
        <v>171</v>
      </c>
      <c r="D63" s="535" t="s">
        <v>241</v>
      </c>
      <c r="E63" s="106" t="s">
        <v>172</v>
      </c>
      <c r="F63" s="543" t="s">
        <v>576</v>
      </c>
      <c r="G63" s="543"/>
      <c r="H63" s="543"/>
      <c r="I63" s="543"/>
      <c r="J63" s="543">
        <v>50000</v>
      </c>
    </row>
    <row r="64" spans="1:10" ht="106.5" customHeight="1">
      <c r="B64" s="546"/>
      <c r="C64" s="546"/>
      <c r="D64" s="546"/>
      <c r="E64" s="107" t="s">
        <v>173</v>
      </c>
      <c r="F64" s="544"/>
      <c r="G64" s="544"/>
      <c r="H64" s="544"/>
      <c r="I64" s="544"/>
      <c r="J64" s="544"/>
    </row>
    <row r="65" spans="2:10" ht="60">
      <c r="B65" s="547"/>
      <c r="C65" s="547"/>
      <c r="D65" s="547"/>
      <c r="E65" s="108" t="s">
        <v>174</v>
      </c>
      <c r="F65" s="545"/>
      <c r="G65" s="545"/>
      <c r="H65" s="545"/>
      <c r="I65" s="545"/>
      <c r="J65" s="545"/>
    </row>
    <row r="66" spans="2:10" ht="60">
      <c r="B66" s="76" t="s">
        <v>276</v>
      </c>
      <c r="C66" s="76" t="s">
        <v>277</v>
      </c>
      <c r="D66" s="76"/>
      <c r="E66" s="76" t="s">
        <v>278</v>
      </c>
      <c r="F66" s="62"/>
      <c r="G66" s="62"/>
      <c r="H66" s="62"/>
      <c r="I66" s="62"/>
      <c r="J66" s="111">
        <f>J67+J68+J69</f>
        <v>669686.04</v>
      </c>
    </row>
    <row r="67" spans="2:10" ht="60">
      <c r="B67" s="77" t="s">
        <v>282</v>
      </c>
      <c r="C67" s="77" t="s">
        <v>283</v>
      </c>
      <c r="D67" s="77" t="s">
        <v>237</v>
      </c>
      <c r="E67" s="77" t="s">
        <v>284</v>
      </c>
      <c r="F67" s="83" t="s">
        <v>576</v>
      </c>
      <c r="G67" s="88"/>
      <c r="H67" s="88"/>
      <c r="I67" s="88"/>
      <c r="J67" s="110">
        <f>(10000+32000)+79500+20000+12986.04+270900</f>
        <v>425386.04000000004</v>
      </c>
    </row>
    <row r="68" spans="2:10" ht="141.75" customHeight="1">
      <c r="B68" s="77" t="s">
        <v>282</v>
      </c>
      <c r="C68" s="77" t="s">
        <v>283</v>
      </c>
      <c r="D68" s="77" t="s">
        <v>237</v>
      </c>
      <c r="E68" s="77" t="s">
        <v>284</v>
      </c>
      <c r="F68" s="115" t="s">
        <v>355</v>
      </c>
      <c r="G68" s="88"/>
      <c r="H68" s="88"/>
      <c r="I68" s="88"/>
      <c r="J68" s="110">
        <v>140000</v>
      </c>
    </row>
    <row r="69" spans="2:10" ht="30">
      <c r="B69" s="77" t="s">
        <v>280</v>
      </c>
      <c r="C69" s="77" t="s">
        <v>281</v>
      </c>
      <c r="D69" s="77" t="s">
        <v>233</v>
      </c>
      <c r="E69" s="77" t="s">
        <v>279</v>
      </c>
      <c r="F69" s="60" t="s">
        <v>576</v>
      </c>
      <c r="G69" s="88"/>
      <c r="H69" s="88"/>
      <c r="I69" s="88"/>
      <c r="J69" s="110">
        <f>(93600)+10700</f>
        <v>104300</v>
      </c>
    </row>
    <row r="70" spans="2:10" ht="105">
      <c r="B70" s="538" t="s">
        <v>836</v>
      </c>
      <c r="C70" s="538" t="s">
        <v>837</v>
      </c>
      <c r="D70" s="541" t="s">
        <v>522</v>
      </c>
      <c r="E70" s="332" t="s">
        <v>838</v>
      </c>
      <c r="F70" s="531" t="s">
        <v>576</v>
      </c>
      <c r="G70" s="531"/>
      <c r="H70" s="531"/>
      <c r="I70" s="531"/>
      <c r="J70" s="531">
        <f>241898+2469789.14</f>
        <v>2711687.14</v>
      </c>
    </row>
    <row r="71" spans="2:10" ht="105">
      <c r="B71" s="539"/>
      <c r="C71" s="539"/>
      <c r="D71" s="542"/>
      <c r="E71" s="332" t="s">
        <v>839</v>
      </c>
      <c r="F71" s="532"/>
      <c r="G71" s="532"/>
      <c r="H71" s="532"/>
      <c r="I71" s="532"/>
      <c r="J71" s="532"/>
    </row>
    <row r="72" spans="2:10" ht="39" customHeight="1">
      <c r="B72" s="540"/>
      <c r="C72" s="540"/>
      <c r="D72" s="542"/>
      <c r="E72" s="332" t="s">
        <v>840</v>
      </c>
      <c r="F72" s="533"/>
      <c r="G72" s="533"/>
      <c r="H72" s="533"/>
      <c r="I72" s="533"/>
      <c r="J72" s="533"/>
    </row>
    <row r="73" spans="2:10" ht="15">
      <c r="B73" s="76" t="s">
        <v>85</v>
      </c>
      <c r="C73" s="76" t="s">
        <v>86</v>
      </c>
      <c r="D73" s="76" t="s">
        <v>248</v>
      </c>
      <c r="E73" s="76" t="s">
        <v>87</v>
      </c>
      <c r="F73" s="60" t="s">
        <v>576</v>
      </c>
      <c r="G73" s="62"/>
      <c r="H73" s="62"/>
      <c r="I73" s="62"/>
      <c r="J73" s="111">
        <f>(((665300-30000)+300000+31496)+61645+9000+250000)+105000+151005+145000-25100+63000</f>
        <v>1726346</v>
      </c>
    </row>
    <row r="74" spans="2:10" ht="45">
      <c r="B74" s="76" t="s">
        <v>88</v>
      </c>
      <c r="C74" s="76" t="s">
        <v>89</v>
      </c>
      <c r="D74" s="76" t="s">
        <v>248</v>
      </c>
      <c r="E74" s="76" t="s">
        <v>90</v>
      </c>
      <c r="F74" s="68" t="s">
        <v>25</v>
      </c>
      <c r="G74" s="60"/>
      <c r="H74" s="60"/>
      <c r="I74" s="60"/>
      <c r="J74" s="111">
        <f>(110000+30000)+37352</f>
        <v>177352</v>
      </c>
    </row>
    <row r="75" spans="2:10" ht="30">
      <c r="B75" s="76" t="s">
        <v>88</v>
      </c>
      <c r="C75" s="76" t="s">
        <v>89</v>
      </c>
      <c r="D75" s="76" t="s">
        <v>248</v>
      </c>
      <c r="E75" s="76" t="s">
        <v>90</v>
      </c>
      <c r="F75" s="68" t="s">
        <v>576</v>
      </c>
      <c r="G75" s="60"/>
      <c r="H75" s="60"/>
      <c r="I75" s="60"/>
      <c r="J75" s="111">
        <f>(100000)+50000</f>
        <v>150000</v>
      </c>
    </row>
    <row r="76" spans="2:10" ht="30">
      <c r="B76" s="357" t="s">
        <v>902</v>
      </c>
      <c r="C76" s="357" t="s">
        <v>192</v>
      </c>
      <c r="D76" s="357"/>
      <c r="E76" s="357" t="s">
        <v>193</v>
      </c>
      <c r="F76" s="68" t="s">
        <v>576</v>
      </c>
      <c r="G76" s="60"/>
      <c r="H76" s="60"/>
      <c r="I76" s="60"/>
      <c r="J76" s="111">
        <f>J77</f>
        <v>2000000</v>
      </c>
    </row>
    <row r="77" spans="2:10" ht="30">
      <c r="B77" s="357" t="s">
        <v>903</v>
      </c>
      <c r="C77" s="77" t="s">
        <v>195</v>
      </c>
      <c r="D77" s="77" t="s">
        <v>522</v>
      </c>
      <c r="E77" s="77" t="s">
        <v>196</v>
      </c>
      <c r="F77" s="115" t="s">
        <v>576</v>
      </c>
      <c r="G77" s="83"/>
      <c r="H77" s="83"/>
      <c r="I77" s="83"/>
      <c r="J77" s="110">
        <v>2000000</v>
      </c>
    </row>
    <row r="78" spans="2:10" ht="45">
      <c r="B78" s="432">
        <v>2400000</v>
      </c>
      <c r="C78" s="432"/>
      <c r="D78" s="432"/>
      <c r="E78" s="415" t="s">
        <v>330</v>
      </c>
      <c r="F78" s="431"/>
      <c r="G78" s="431"/>
      <c r="H78" s="431"/>
      <c r="I78" s="431"/>
      <c r="J78" s="424">
        <f>J79</f>
        <v>7114141</v>
      </c>
    </row>
    <row r="79" spans="2:10" ht="42.75">
      <c r="B79" s="433">
        <v>24100000</v>
      </c>
      <c r="C79" s="433"/>
      <c r="D79" s="433"/>
      <c r="E79" s="419" t="s">
        <v>417</v>
      </c>
      <c r="F79" s="431"/>
      <c r="G79" s="431"/>
      <c r="H79" s="431"/>
      <c r="I79" s="431"/>
      <c r="J79" s="427">
        <f>SUM(J80:J90)</f>
        <v>7114141</v>
      </c>
    </row>
    <row r="80" spans="2:10" ht="15">
      <c r="B80" s="56" t="s">
        <v>467</v>
      </c>
      <c r="C80" s="56" t="s">
        <v>468</v>
      </c>
      <c r="D80" s="56" t="s">
        <v>469</v>
      </c>
      <c r="E80" s="56" t="s">
        <v>470</v>
      </c>
      <c r="F80" s="60" t="s">
        <v>576</v>
      </c>
      <c r="G80" s="60"/>
      <c r="H80" s="60"/>
      <c r="I80" s="60"/>
      <c r="J80" s="111">
        <f>(418100+116180)+300000</f>
        <v>834280</v>
      </c>
    </row>
    <row r="81" spans="2:10" ht="60">
      <c r="B81" s="56" t="s">
        <v>471</v>
      </c>
      <c r="C81" s="56" t="s">
        <v>472</v>
      </c>
      <c r="D81" s="56" t="s">
        <v>469</v>
      </c>
      <c r="E81" s="56" t="s">
        <v>473</v>
      </c>
      <c r="F81" s="68" t="s">
        <v>228</v>
      </c>
      <c r="G81" s="60"/>
      <c r="H81" s="60"/>
      <c r="I81" s="60"/>
      <c r="J81" s="111">
        <f>(7000000-2523200)-2000000-120000</f>
        <v>2356800</v>
      </c>
    </row>
    <row r="82" spans="2:10" ht="15">
      <c r="B82" s="56" t="s">
        <v>471</v>
      </c>
      <c r="C82" s="56" t="s">
        <v>472</v>
      </c>
      <c r="D82" s="56" t="s">
        <v>469</v>
      </c>
      <c r="E82" s="56" t="s">
        <v>473</v>
      </c>
      <c r="F82" s="60" t="s">
        <v>576</v>
      </c>
      <c r="G82" s="60"/>
      <c r="H82" s="60"/>
      <c r="I82" s="60"/>
      <c r="J82" s="111">
        <f>(29000+9693)+10000+23500+120000</f>
        <v>192193</v>
      </c>
    </row>
    <row r="83" spans="2:10" ht="75">
      <c r="B83" s="56" t="s">
        <v>474</v>
      </c>
      <c r="C83" s="56" t="s">
        <v>475</v>
      </c>
      <c r="D83" s="56" t="s">
        <v>476</v>
      </c>
      <c r="E83" s="56" t="s">
        <v>477</v>
      </c>
      <c r="F83" s="68" t="s">
        <v>939</v>
      </c>
      <c r="G83" s="60"/>
      <c r="H83" s="60"/>
      <c r="I83" s="60"/>
      <c r="J83" s="111">
        <f>(1000000)+897000</f>
        <v>1897000</v>
      </c>
    </row>
    <row r="84" spans="2:10" ht="75">
      <c r="B84" s="56" t="s">
        <v>474</v>
      </c>
      <c r="C84" s="56" t="s">
        <v>475</v>
      </c>
      <c r="D84" s="56" t="s">
        <v>476</v>
      </c>
      <c r="E84" s="56" t="s">
        <v>477</v>
      </c>
      <c r="F84" s="68" t="s">
        <v>634</v>
      </c>
      <c r="G84" s="60"/>
      <c r="H84" s="60"/>
      <c r="I84" s="60"/>
      <c r="J84" s="111">
        <v>35000</v>
      </c>
    </row>
    <row r="85" spans="2:10" ht="30">
      <c r="B85" s="56" t="s">
        <v>474</v>
      </c>
      <c r="C85" s="56" t="s">
        <v>475</v>
      </c>
      <c r="D85" s="56" t="s">
        <v>476</v>
      </c>
      <c r="E85" s="56" t="s">
        <v>477</v>
      </c>
      <c r="F85" s="60" t="s">
        <v>576</v>
      </c>
      <c r="G85" s="60"/>
      <c r="H85" s="60"/>
      <c r="I85" s="60"/>
      <c r="J85" s="111">
        <f>((570600)+200000+88200)+42300+81600+7120+13000</f>
        <v>1002820</v>
      </c>
    </row>
    <row r="86" spans="2:10" ht="60">
      <c r="B86" s="56" t="s">
        <v>200</v>
      </c>
      <c r="C86" s="56" t="s">
        <v>487</v>
      </c>
      <c r="D86" s="56" t="s">
        <v>249</v>
      </c>
      <c r="E86" s="56" t="s">
        <v>478</v>
      </c>
      <c r="F86" s="68" t="s">
        <v>488</v>
      </c>
      <c r="G86" s="60"/>
      <c r="H86" s="60"/>
      <c r="I86" s="60"/>
      <c r="J86" s="111">
        <f>(2000000)-1987000</f>
        <v>13000</v>
      </c>
    </row>
    <row r="87" spans="2:10" ht="75">
      <c r="B87" s="56" t="s">
        <v>200</v>
      </c>
      <c r="C87" s="56" t="s">
        <v>487</v>
      </c>
      <c r="D87" s="56" t="s">
        <v>249</v>
      </c>
      <c r="E87" s="56" t="s">
        <v>478</v>
      </c>
      <c r="F87" s="70" t="s">
        <v>509</v>
      </c>
      <c r="G87" s="60"/>
      <c r="H87" s="60"/>
      <c r="I87" s="60"/>
      <c r="J87" s="111">
        <v>95000</v>
      </c>
    </row>
    <row r="88" spans="2:10" ht="15">
      <c r="B88" s="56" t="s">
        <v>200</v>
      </c>
      <c r="C88" s="56" t="s">
        <v>487</v>
      </c>
      <c r="D88" s="56" t="s">
        <v>249</v>
      </c>
      <c r="E88" s="56" t="s">
        <v>478</v>
      </c>
      <c r="F88" s="60" t="s">
        <v>576</v>
      </c>
      <c r="G88" s="60"/>
      <c r="H88" s="60"/>
      <c r="I88" s="60"/>
      <c r="J88" s="111">
        <f>((76400+155000)-80000+179560+2500)+7200+3388</f>
        <v>344048</v>
      </c>
    </row>
    <row r="89" spans="2:10" ht="15">
      <c r="B89" s="333" t="s">
        <v>479</v>
      </c>
      <c r="C89" s="333" t="s">
        <v>480</v>
      </c>
      <c r="D89" s="333" t="s">
        <v>481</v>
      </c>
      <c r="E89" s="333" t="s">
        <v>482</v>
      </c>
      <c r="F89" s="60" t="s">
        <v>576</v>
      </c>
      <c r="G89" s="60"/>
      <c r="H89" s="60"/>
      <c r="I89" s="60"/>
      <c r="J89" s="111">
        <v>45000</v>
      </c>
    </row>
    <row r="90" spans="2:10" ht="45">
      <c r="B90" s="333" t="s">
        <v>841</v>
      </c>
      <c r="C90" s="333" t="s">
        <v>403</v>
      </c>
      <c r="D90" s="77" t="s">
        <v>401</v>
      </c>
      <c r="E90" s="79" t="s">
        <v>404</v>
      </c>
      <c r="F90" s="68" t="s">
        <v>938</v>
      </c>
      <c r="G90" s="60"/>
      <c r="H90" s="60"/>
      <c r="I90" s="60"/>
      <c r="J90" s="111">
        <v>299000</v>
      </c>
    </row>
    <row r="91" spans="2:10" ht="45">
      <c r="B91" s="415" t="s">
        <v>328</v>
      </c>
      <c r="C91" s="415"/>
      <c r="D91" s="415"/>
      <c r="E91" s="415" t="s">
        <v>327</v>
      </c>
      <c r="F91" s="431"/>
      <c r="G91" s="431"/>
      <c r="H91" s="431"/>
      <c r="I91" s="431"/>
      <c r="J91" s="424">
        <f>J92</f>
        <v>316129860.80000001</v>
      </c>
    </row>
    <row r="92" spans="2:10" ht="42.75">
      <c r="B92" s="419" t="s">
        <v>329</v>
      </c>
      <c r="C92" s="419"/>
      <c r="D92" s="419"/>
      <c r="E92" s="419" t="s">
        <v>418</v>
      </c>
      <c r="F92" s="431"/>
      <c r="G92" s="431"/>
      <c r="H92" s="431"/>
      <c r="I92" s="431"/>
      <c r="J92" s="427">
        <f>J93+J94+J99+J100+J118+J119+J120+J200</f>
        <v>316129860.80000001</v>
      </c>
    </row>
    <row r="93" spans="2:10" ht="47.25">
      <c r="B93" s="464" t="s">
        <v>430</v>
      </c>
      <c r="C93" s="464" t="s">
        <v>431</v>
      </c>
      <c r="D93" s="464" t="s">
        <v>432</v>
      </c>
      <c r="E93" s="466" t="s">
        <v>433</v>
      </c>
      <c r="F93" s="71" t="s">
        <v>576</v>
      </c>
      <c r="G93" s="348"/>
      <c r="H93" s="348"/>
      <c r="I93" s="348"/>
      <c r="J93" s="463">
        <v>60000</v>
      </c>
    </row>
    <row r="94" spans="2:10" ht="30">
      <c r="B94" s="464" t="s">
        <v>526</v>
      </c>
      <c r="C94" s="464" t="s">
        <v>527</v>
      </c>
      <c r="D94" s="464"/>
      <c r="E94" s="464" t="s">
        <v>528</v>
      </c>
      <c r="F94" s="71" t="s">
        <v>576</v>
      </c>
      <c r="G94" s="71"/>
      <c r="H94" s="71"/>
      <c r="I94" s="71"/>
      <c r="J94" s="463">
        <f>J95+J98</f>
        <v>41995444</v>
      </c>
    </row>
    <row r="95" spans="2:10" ht="30">
      <c r="B95" s="535" t="s">
        <v>529</v>
      </c>
      <c r="C95" s="535" t="s">
        <v>530</v>
      </c>
      <c r="D95" s="535" t="s">
        <v>432</v>
      </c>
      <c r="E95" s="77" t="s">
        <v>531</v>
      </c>
      <c r="F95" s="71" t="s">
        <v>576</v>
      </c>
      <c r="G95" s="71"/>
      <c r="H95" s="71"/>
      <c r="I95" s="71"/>
      <c r="J95" s="359">
        <f>32000000+8000000-1000000+250000+120000+180000+1053727+300000-1053727+500000+222673+187044+700000-926662.36+97762.36</f>
        <v>40630817</v>
      </c>
    </row>
    <row r="96" spans="2:10" ht="30">
      <c r="B96" s="536"/>
      <c r="C96" s="536"/>
      <c r="D96" s="536"/>
      <c r="E96" s="77" t="s">
        <v>532</v>
      </c>
      <c r="F96" s="71" t="s">
        <v>576</v>
      </c>
      <c r="G96" s="71"/>
      <c r="H96" s="71"/>
      <c r="I96" s="71"/>
      <c r="J96" s="78">
        <f>1000000+1000000</f>
        <v>2000000</v>
      </c>
    </row>
    <row r="97" spans="2:10" ht="30">
      <c r="B97" s="537"/>
      <c r="C97" s="537"/>
      <c r="D97" s="537"/>
      <c r="E97" s="77" t="s">
        <v>533</v>
      </c>
      <c r="F97" s="71" t="s">
        <v>576</v>
      </c>
      <c r="G97" s="71"/>
      <c r="H97" s="71"/>
      <c r="I97" s="71"/>
      <c r="J97" s="78">
        <f>12000000+8000000+8000000</f>
        <v>28000000</v>
      </c>
    </row>
    <row r="98" spans="2:10" ht="45">
      <c r="B98" s="77" t="s">
        <v>890</v>
      </c>
      <c r="C98" s="77" t="s">
        <v>891</v>
      </c>
      <c r="D98" s="77" t="s">
        <v>432</v>
      </c>
      <c r="E98" s="77" t="s">
        <v>892</v>
      </c>
      <c r="F98" s="71" t="s">
        <v>576</v>
      </c>
      <c r="G98" s="71"/>
      <c r="H98" s="71"/>
      <c r="I98" s="71"/>
      <c r="J98" s="78">
        <f>1053727+700000-700000+310900</f>
        <v>1364627</v>
      </c>
    </row>
    <row r="99" spans="2:10" ht="20.25" customHeight="1">
      <c r="B99" s="464" t="s">
        <v>444</v>
      </c>
      <c r="C99" s="464" t="s">
        <v>445</v>
      </c>
      <c r="D99" s="464" t="s">
        <v>439</v>
      </c>
      <c r="E99" s="464" t="s">
        <v>446</v>
      </c>
      <c r="F99" s="71" t="s">
        <v>576</v>
      </c>
      <c r="G99" s="71"/>
      <c r="H99" s="71"/>
      <c r="I99" s="71"/>
      <c r="J99" s="133">
        <f>25501260-9000000+4692480+528021+104888+819377+1305119+300000</f>
        <v>24251145</v>
      </c>
    </row>
    <row r="100" spans="2:10" ht="30">
      <c r="B100" s="77" t="s">
        <v>534</v>
      </c>
      <c r="C100" s="77" t="s">
        <v>400</v>
      </c>
      <c r="D100" s="77" t="s">
        <v>401</v>
      </c>
      <c r="E100" s="79" t="s">
        <v>535</v>
      </c>
      <c r="F100" s="71" t="s">
        <v>543</v>
      </c>
      <c r="G100" s="71"/>
      <c r="H100" s="71"/>
      <c r="I100" s="71"/>
      <c r="J100" s="133">
        <f>SUM(J101:J117)</f>
        <v>35390701</v>
      </c>
    </row>
    <row r="101" spans="2:10" ht="30">
      <c r="B101" s="77" t="s">
        <v>534</v>
      </c>
      <c r="C101" s="77" t="s">
        <v>400</v>
      </c>
      <c r="D101" s="77" t="s">
        <v>401</v>
      </c>
      <c r="E101" s="81" t="s">
        <v>535</v>
      </c>
      <c r="F101" s="82" t="s">
        <v>537</v>
      </c>
      <c r="G101" s="140"/>
      <c r="H101" s="140"/>
      <c r="I101" s="140"/>
      <c r="J101" s="352">
        <f>610000+210000+305522</f>
        <v>1125522</v>
      </c>
    </row>
    <row r="102" spans="2:10" ht="75">
      <c r="B102" s="77" t="s">
        <v>534</v>
      </c>
      <c r="C102" s="77" t="s">
        <v>400</v>
      </c>
      <c r="D102" s="77" t="s">
        <v>401</v>
      </c>
      <c r="E102" s="81" t="s">
        <v>535</v>
      </c>
      <c r="F102" s="82" t="s">
        <v>640</v>
      </c>
      <c r="G102" s="140"/>
      <c r="H102" s="140"/>
      <c r="I102" s="140"/>
      <c r="J102" s="352">
        <v>2523200</v>
      </c>
    </row>
    <row r="103" spans="2:10" ht="45">
      <c r="B103" s="77" t="s">
        <v>534</v>
      </c>
      <c r="C103" s="77" t="s">
        <v>400</v>
      </c>
      <c r="D103" s="77" t="s">
        <v>401</v>
      </c>
      <c r="E103" s="81" t="s">
        <v>535</v>
      </c>
      <c r="F103" s="82" t="s">
        <v>538</v>
      </c>
      <c r="G103" s="140"/>
      <c r="H103" s="140"/>
      <c r="I103" s="140"/>
      <c r="J103" s="352">
        <f>550000-100000+338979</f>
        <v>788979</v>
      </c>
    </row>
    <row r="104" spans="2:10" ht="45">
      <c r="B104" s="77" t="s">
        <v>534</v>
      </c>
      <c r="C104" s="77" t="s">
        <v>400</v>
      </c>
      <c r="D104" s="77" t="s">
        <v>401</v>
      </c>
      <c r="E104" s="81" t="s">
        <v>535</v>
      </c>
      <c r="F104" s="82" t="s">
        <v>942</v>
      </c>
      <c r="G104" s="140"/>
      <c r="H104" s="140"/>
      <c r="I104" s="140"/>
      <c r="J104" s="352">
        <v>30000</v>
      </c>
    </row>
    <row r="105" spans="2:10" ht="60">
      <c r="B105" s="77" t="s">
        <v>534</v>
      </c>
      <c r="C105" s="77" t="s">
        <v>400</v>
      </c>
      <c r="D105" s="77" t="s">
        <v>401</v>
      </c>
      <c r="E105" s="81" t="s">
        <v>535</v>
      </c>
      <c r="F105" s="82" t="s">
        <v>285</v>
      </c>
      <c r="G105" s="140"/>
      <c r="H105" s="140"/>
      <c r="I105" s="140"/>
      <c r="J105" s="352">
        <f>70000-70000</f>
        <v>0</v>
      </c>
    </row>
    <row r="106" spans="2:10" ht="45">
      <c r="B106" s="77" t="s">
        <v>534</v>
      </c>
      <c r="C106" s="77" t="s">
        <v>400</v>
      </c>
      <c r="D106" s="77" t="s">
        <v>401</v>
      </c>
      <c r="E106" s="81" t="s">
        <v>535</v>
      </c>
      <c r="F106" s="82" t="s">
        <v>943</v>
      </c>
      <c r="G106" s="140"/>
      <c r="H106" s="140"/>
      <c r="I106" s="140"/>
      <c r="J106" s="352">
        <v>116000</v>
      </c>
    </row>
    <row r="107" spans="2:10" ht="30">
      <c r="B107" s="77" t="s">
        <v>534</v>
      </c>
      <c r="C107" s="77" t="s">
        <v>400</v>
      </c>
      <c r="D107" s="77" t="s">
        <v>401</v>
      </c>
      <c r="E107" s="81" t="s">
        <v>535</v>
      </c>
      <c r="F107" s="82" t="s">
        <v>588</v>
      </c>
      <c r="G107" s="140"/>
      <c r="H107" s="140"/>
      <c r="I107" s="140"/>
      <c r="J107" s="352">
        <f>1000000+900000+1560000</f>
        <v>3460000</v>
      </c>
    </row>
    <row r="108" spans="2:10" ht="45">
      <c r="B108" s="77" t="s">
        <v>534</v>
      </c>
      <c r="C108" s="77" t="s">
        <v>400</v>
      </c>
      <c r="D108" s="77" t="s">
        <v>401</v>
      </c>
      <c r="E108" s="81" t="s">
        <v>535</v>
      </c>
      <c r="F108" s="143" t="s">
        <v>26</v>
      </c>
      <c r="G108" s="140"/>
      <c r="H108" s="140"/>
      <c r="I108" s="140"/>
      <c r="J108" s="352">
        <v>5000000</v>
      </c>
    </row>
    <row r="109" spans="2:10" ht="105">
      <c r="B109" s="77" t="s">
        <v>534</v>
      </c>
      <c r="C109" s="77" t="s">
        <v>400</v>
      </c>
      <c r="D109" s="77" t="s">
        <v>401</v>
      </c>
      <c r="E109" s="81" t="s">
        <v>535</v>
      </c>
      <c r="F109" s="143" t="s">
        <v>859</v>
      </c>
      <c r="G109" s="140"/>
      <c r="H109" s="140"/>
      <c r="I109" s="140"/>
      <c r="J109" s="352">
        <f>10000000+10000000+100000</f>
        <v>20100000</v>
      </c>
    </row>
    <row r="110" spans="2:10" ht="105">
      <c r="B110" s="77" t="s">
        <v>534</v>
      </c>
      <c r="C110" s="77" t="s">
        <v>400</v>
      </c>
      <c r="D110" s="77" t="s">
        <v>401</v>
      </c>
      <c r="E110" s="81" t="s">
        <v>535</v>
      </c>
      <c r="F110" s="143" t="s">
        <v>860</v>
      </c>
      <c r="G110" s="140" t="s">
        <v>861</v>
      </c>
      <c r="H110" s="140"/>
      <c r="I110" s="140"/>
      <c r="J110" s="352">
        <f>200737-200737</f>
        <v>0</v>
      </c>
    </row>
    <row r="111" spans="2:10" ht="105">
      <c r="B111" s="77" t="s">
        <v>534</v>
      </c>
      <c r="C111" s="77" t="s">
        <v>400</v>
      </c>
      <c r="D111" s="77" t="s">
        <v>401</v>
      </c>
      <c r="E111" s="81" t="s">
        <v>535</v>
      </c>
      <c r="F111" s="143" t="s">
        <v>916</v>
      </c>
      <c r="G111" s="140"/>
      <c r="H111" s="140"/>
      <c r="I111" s="140"/>
      <c r="J111" s="352">
        <v>1470000</v>
      </c>
    </row>
    <row r="112" spans="2:10" ht="75">
      <c r="B112" s="77" t="s">
        <v>534</v>
      </c>
      <c r="C112" s="77" t="s">
        <v>400</v>
      </c>
      <c r="D112" s="77" t="s">
        <v>401</v>
      </c>
      <c r="E112" s="81" t="s">
        <v>535</v>
      </c>
      <c r="F112" s="143" t="s">
        <v>862</v>
      </c>
      <c r="G112" s="140"/>
      <c r="H112" s="140"/>
      <c r="I112" s="140"/>
      <c r="J112" s="352">
        <v>300000</v>
      </c>
    </row>
    <row r="113" spans="2:10" ht="90">
      <c r="B113" s="77" t="s">
        <v>534</v>
      </c>
      <c r="C113" s="77" t="s">
        <v>400</v>
      </c>
      <c r="D113" s="77" t="s">
        <v>401</v>
      </c>
      <c r="E113" s="81" t="s">
        <v>535</v>
      </c>
      <c r="F113" s="143" t="s">
        <v>863</v>
      </c>
      <c r="G113" s="140"/>
      <c r="H113" s="140"/>
      <c r="I113" s="140"/>
      <c r="J113" s="352">
        <v>100000</v>
      </c>
    </row>
    <row r="114" spans="2:10" ht="41.25" customHeight="1">
      <c r="B114" s="77" t="s">
        <v>534</v>
      </c>
      <c r="C114" s="77" t="s">
        <v>400</v>
      </c>
      <c r="D114" s="77" t="s">
        <v>401</v>
      </c>
      <c r="E114" s="81" t="s">
        <v>535</v>
      </c>
      <c r="F114" s="143" t="s">
        <v>913</v>
      </c>
      <c r="G114" s="140"/>
      <c r="H114" s="140"/>
      <c r="I114" s="140"/>
      <c r="J114" s="352">
        <v>100000</v>
      </c>
    </row>
    <row r="115" spans="2:10" ht="66" customHeight="1">
      <c r="B115" s="77" t="s">
        <v>534</v>
      </c>
      <c r="C115" s="77" t="s">
        <v>400</v>
      </c>
      <c r="D115" s="77" t="s">
        <v>401</v>
      </c>
      <c r="E115" s="81" t="s">
        <v>535</v>
      </c>
      <c r="F115" s="81" t="s">
        <v>944</v>
      </c>
      <c r="G115" s="140"/>
      <c r="H115" s="140"/>
      <c r="I115" s="140"/>
      <c r="J115" s="352">
        <v>60000</v>
      </c>
    </row>
    <row r="116" spans="2:10" ht="75.75" customHeight="1">
      <c r="B116" s="77" t="s">
        <v>534</v>
      </c>
      <c r="C116" s="77" t="s">
        <v>400</v>
      </c>
      <c r="D116" s="77" t="s">
        <v>401</v>
      </c>
      <c r="E116" s="81" t="s">
        <v>535</v>
      </c>
      <c r="F116" s="143" t="s">
        <v>919</v>
      </c>
      <c r="G116" s="140"/>
      <c r="H116" s="140"/>
      <c r="I116" s="140"/>
      <c r="J116" s="352">
        <v>17000</v>
      </c>
    </row>
    <row r="117" spans="2:10" ht="75">
      <c r="B117" s="77" t="s">
        <v>534</v>
      </c>
      <c r="C117" s="77" t="s">
        <v>400</v>
      </c>
      <c r="D117" s="77" t="s">
        <v>401</v>
      </c>
      <c r="E117" s="81" t="s">
        <v>535</v>
      </c>
      <c r="F117" s="143" t="s">
        <v>949</v>
      </c>
      <c r="G117" s="140"/>
      <c r="H117" s="140"/>
      <c r="I117" s="140"/>
      <c r="J117" s="352">
        <v>200000</v>
      </c>
    </row>
    <row r="118" spans="2:10" ht="30">
      <c r="B118" s="464" t="s">
        <v>451</v>
      </c>
      <c r="C118" s="464" t="s">
        <v>452</v>
      </c>
      <c r="D118" s="464" t="s">
        <v>453</v>
      </c>
      <c r="E118" s="79" t="s">
        <v>454</v>
      </c>
      <c r="F118" s="71" t="s">
        <v>576</v>
      </c>
      <c r="G118" s="71"/>
      <c r="H118" s="71"/>
      <c r="I118" s="71"/>
      <c r="J118" s="463">
        <f>81117450-10000000+37237380+646508.39-66000-28000-104888-320000-819377-1086860-721972.59-10068000-200000</f>
        <v>95586240.799999997</v>
      </c>
    </row>
    <row r="119" spans="2:10" ht="21" customHeight="1">
      <c r="B119" s="464" t="s">
        <v>455</v>
      </c>
      <c r="C119" s="464" t="s">
        <v>456</v>
      </c>
      <c r="D119" s="464" t="s">
        <v>457</v>
      </c>
      <c r="E119" s="79" t="s">
        <v>458</v>
      </c>
      <c r="F119" s="71" t="s">
        <v>576</v>
      </c>
      <c r="G119" s="71"/>
      <c r="H119" s="71"/>
      <c r="I119" s="71"/>
      <c r="J119" s="463">
        <f>3000000+2500000+4872826-3423356-63000</f>
        <v>6886470</v>
      </c>
    </row>
    <row r="120" spans="2:10" ht="30">
      <c r="B120" s="77" t="s">
        <v>536</v>
      </c>
      <c r="C120" s="77" t="s">
        <v>403</v>
      </c>
      <c r="D120" s="77" t="s">
        <v>401</v>
      </c>
      <c r="E120" s="79" t="s">
        <v>404</v>
      </c>
      <c r="F120" s="71" t="s">
        <v>543</v>
      </c>
      <c r="G120" s="71"/>
      <c r="H120" s="71"/>
      <c r="I120" s="71"/>
      <c r="J120" s="463">
        <f>SUM(J121:J199)</f>
        <v>111860360</v>
      </c>
    </row>
    <row r="121" spans="2:10" ht="60">
      <c r="B121" s="464" t="s">
        <v>536</v>
      </c>
      <c r="C121" s="464" t="s">
        <v>403</v>
      </c>
      <c r="D121" s="464" t="s">
        <v>401</v>
      </c>
      <c r="E121" s="79" t="s">
        <v>404</v>
      </c>
      <c r="F121" s="127" t="s">
        <v>608</v>
      </c>
      <c r="G121" s="71"/>
      <c r="H121" s="71"/>
      <c r="I121" s="71"/>
      <c r="J121" s="137">
        <f>2500000-13000</f>
        <v>2487000</v>
      </c>
    </row>
    <row r="122" spans="2:10" ht="105">
      <c r="B122" s="464" t="s">
        <v>536</v>
      </c>
      <c r="C122" s="464" t="s">
        <v>403</v>
      </c>
      <c r="D122" s="464" t="s">
        <v>401</v>
      </c>
      <c r="E122" s="79" t="s">
        <v>404</v>
      </c>
      <c r="F122" s="127" t="s">
        <v>607</v>
      </c>
      <c r="G122" s="71"/>
      <c r="H122" s="71"/>
      <c r="I122" s="71"/>
      <c r="J122" s="137">
        <f>2380000-10000</f>
        <v>2370000</v>
      </c>
    </row>
    <row r="123" spans="2:10" ht="60">
      <c r="B123" s="464" t="s">
        <v>536</v>
      </c>
      <c r="C123" s="464" t="s">
        <v>403</v>
      </c>
      <c r="D123" s="464" t="s">
        <v>401</v>
      </c>
      <c r="E123" s="79" t="s">
        <v>404</v>
      </c>
      <c r="F123" s="127" t="s">
        <v>606</v>
      </c>
      <c r="G123" s="71"/>
      <c r="H123" s="71"/>
      <c r="I123" s="71"/>
      <c r="J123" s="137">
        <f>2425000-14500</f>
        <v>2410500</v>
      </c>
    </row>
    <row r="124" spans="2:10" ht="75">
      <c r="B124" s="464" t="s">
        <v>536</v>
      </c>
      <c r="C124" s="464" t="s">
        <v>403</v>
      </c>
      <c r="D124" s="464" t="s">
        <v>401</v>
      </c>
      <c r="E124" s="79" t="s">
        <v>404</v>
      </c>
      <c r="F124" s="127" t="s">
        <v>605</v>
      </c>
      <c r="G124" s="71"/>
      <c r="H124" s="71"/>
      <c r="I124" s="71"/>
      <c r="J124" s="137">
        <f>1032360-3360</f>
        <v>1029000</v>
      </c>
    </row>
    <row r="125" spans="2:10" ht="60">
      <c r="B125" s="464" t="s">
        <v>536</v>
      </c>
      <c r="C125" s="464" t="s">
        <v>403</v>
      </c>
      <c r="D125" s="464" t="s">
        <v>401</v>
      </c>
      <c r="E125" s="79" t="s">
        <v>404</v>
      </c>
      <c r="F125" s="127" t="s">
        <v>604</v>
      </c>
      <c r="G125" s="71"/>
      <c r="H125" s="71"/>
      <c r="I125" s="71"/>
      <c r="J125" s="137">
        <f>439200-2200</f>
        <v>437000</v>
      </c>
    </row>
    <row r="126" spans="2:10" ht="75">
      <c r="B126" s="464" t="s">
        <v>536</v>
      </c>
      <c r="C126" s="464" t="s">
        <v>403</v>
      </c>
      <c r="D126" s="464" t="s">
        <v>401</v>
      </c>
      <c r="E126" s="79" t="s">
        <v>404</v>
      </c>
      <c r="F126" s="127" t="s">
        <v>603</v>
      </c>
      <c r="G126" s="71"/>
      <c r="H126" s="71"/>
      <c r="I126" s="71"/>
      <c r="J126" s="137">
        <f>9800000-200000</f>
        <v>9600000</v>
      </c>
    </row>
    <row r="127" spans="2:10" ht="75">
      <c r="B127" s="464" t="s">
        <v>536</v>
      </c>
      <c r="C127" s="464" t="s">
        <v>403</v>
      </c>
      <c r="D127" s="464" t="s">
        <v>401</v>
      </c>
      <c r="E127" s="79" t="s">
        <v>404</v>
      </c>
      <c r="F127" s="127" t="s">
        <v>609</v>
      </c>
      <c r="G127" s="71"/>
      <c r="H127" s="71"/>
      <c r="I127" s="71"/>
      <c r="J127" s="137">
        <f>1800000-700000</f>
        <v>1100000</v>
      </c>
    </row>
    <row r="128" spans="2:10" ht="75">
      <c r="B128" s="464" t="s">
        <v>536</v>
      </c>
      <c r="C128" s="464" t="s">
        <v>403</v>
      </c>
      <c r="D128" s="464" t="s">
        <v>401</v>
      </c>
      <c r="E128" s="79" t="s">
        <v>404</v>
      </c>
      <c r="F128" s="127" t="s">
        <v>864</v>
      </c>
      <c r="G128" s="71"/>
      <c r="H128" s="71"/>
      <c r="I128" s="71"/>
      <c r="J128" s="137">
        <v>149000</v>
      </c>
    </row>
    <row r="129" spans="2:10" ht="75">
      <c r="B129" s="464" t="s">
        <v>536</v>
      </c>
      <c r="C129" s="464" t="s">
        <v>403</v>
      </c>
      <c r="D129" s="464" t="s">
        <v>401</v>
      </c>
      <c r="E129" s="79" t="s">
        <v>404</v>
      </c>
      <c r="F129" s="127" t="s">
        <v>899</v>
      </c>
      <c r="G129" s="71"/>
      <c r="H129" s="71"/>
      <c r="I129" s="71"/>
      <c r="J129" s="137">
        <v>756860</v>
      </c>
    </row>
    <row r="130" spans="2:10" ht="60">
      <c r="B130" s="464" t="s">
        <v>536</v>
      </c>
      <c r="C130" s="464" t="s">
        <v>403</v>
      </c>
      <c r="D130" s="464" t="s">
        <v>401</v>
      </c>
      <c r="E130" s="79" t="s">
        <v>404</v>
      </c>
      <c r="F130" s="127" t="s">
        <v>610</v>
      </c>
      <c r="G130" s="71"/>
      <c r="H130" s="71"/>
      <c r="I130" s="71"/>
      <c r="J130" s="137">
        <v>32000</v>
      </c>
    </row>
    <row r="131" spans="2:10" ht="88.5" customHeight="1">
      <c r="B131" s="464" t="s">
        <v>536</v>
      </c>
      <c r="C131" s="464" t="s">
        <v>403</v>
      </c>
      <c r="D131" s="464" t="s">
        <v>401</v>
      </c>
      <c r="E131" s="79" t="s">
        <v>404</v>
      </c>
      <c r="F131" s="127" t="s">
        <v>920</v>
      </c>
      <c r="G131" s="71"/>
      <c r="H131" s="71"/>
      <c r="I131" s="71"/>
      <c r="J131" s="137">
        <v>244181</v>
      </c>
    </row>
    <row r="132" spans="2:10" ht="75">
      <c r="B132" s="464" t="s">
        <v>536</v>
      </c>
      <c r="C132" s="464" t="s">
        <v>403</v>
      </c>
      <c r="D132" s="464" t="s">
        <v>401</v>
      </c>
      <c r="E132" s="79" t="s">
        <v>404</v>
      </c>
      <c r="F132" s="127" t="s">
        <v>912</v>
      </c>
      <c r="G132" s="71"/>
      <c r="H132" s="71"/>
      <c r="I132" s="71"/>
      <c r="J132" s="137">
        <f>657770+368000+754922</f>
        <v>1780692</v>
      </c>
    </row>
    <row r="133" spans="2:10" ht="45">
      <c r="B133" s="464" t="s">
        <v>536</v>
      </c>
      <c r="C133" s="464" t="s">
        <v>403</v>
      </c>
      <c r="D133" s="464" t="s">
        <v>401</v>
      </c>
      <c r="E133" s="79" t="s">
        <v>404</v>
      </c>
      <c r="F133" s="127" t="s">
        <v>865</v>
      </c>
      <c r="G133" s="71"/>
      <c r="H133" s="71"/>
      <c r="I133" s="71"/>
      <c r="J133" s="137">
        <v>96360</v>
      </c>
    </row>
    <row r="134" spans="2:10" ht="60">
      <c r="B134" s="464" t="s">
        <v>536</v>
      </c>
      <c r="C134" s="464" t="s">
        <v>403</v>
      </c>
      <c r="D134" s="464" t="s">
        <v>401</v>
      </c>
      <c r="E134" s="79" t="s">
        <v>404</v>
      </c>
      <c r="F134" s="127" t="s">
        <v>611</v>
      </c>
      <c r="G134" s="71"/>
      <c r="H134" s="71"/>
      <c r="I134" s="71"/>
      <c r="J134" s="137">
        <v>2500300</v>
      </c>
    </row>
    <row r="135" spans="2:10" ht="45">
      <c r="B135" s="464" t="s">
        <v>536</v>
      </c>
      <c r="C135" s="464" t="s">
        <v>403</v>
      </c>
      <c r="D135" s="464" t="s">
        <v>401</v>
      </c>
      <c r="E135" s="79" t="s">
        <v>404</v>
      </c>
      <c r="F135" s="127" t="s">
        <v>612</v>
      </c>
      <c r="G135" s="71"/>
      <c r="H135" s="71"/>
      <c r="I135" s="71"/>
      <c r="J135" s="137">
        <v>26950</v>
      </c>
    </row>
    <row r="136" spans="2:10" ht="45">
      <c r="B136" s="464" t="s">
        <v>536</v>
      </c>
      <c r="C136" s="464" t="s">
        <v>403</v>
      </c>
      <c r="D136" s="464" t="s">
        <v>401</v>
      </c>
      <c r="E136" s="79" t="s">
        <v>404</v>
      </c>
      <c r="F136" s="127" t="s">
        <v>613</v>
      </c>
      <c r="G136" s="71"/>
      <c r="H136" s="71"/>
      <c r="I136" s="71"/>
      <c r="J136" s="137">
        <v>53850</v>
      </c>
    </row>
    <row r="137" spans="2:10" ht="45">
      <c r="B137" s="468" t="s">
        <v>536</v>
      </c>
      <c r="C137" s="468" t="s">
        <v>403</v>
      </c>
      <c r="D137" s="468" t="s">
        <v>401</v>
      </c>
      <c r="E137" s="79" t="s">
        <v>404</v>
      </c>
      <c r="F137" s="127" t="s">
        <v>950</v>
      </c>
      <c r="G137" s="71"/>
      <c r="H137" s="71"/>
      <c r="I137" s="71"/>
      <c r="J137" s="137">
        <v>18000</v>
      </c>
    </row>
    <row r="138" spans="2:10" ht="45">
      <c r="B138" s="464" t="s">
        <v>536</v>
      </c>
      <c r="C138" s="464" t="s">
        <v>403</v>
      </c>
      <c r="D138" s="464" t="s">
        <v>401</v>
      </c>
      <c r="E138" s="79" t="s">
        <v>404</v>
      </c>
      <c r="F138" s="127" t="s">
        <v>614</v>
      </c>
      <c r="G138" s="71"/>
      <c r="H138" s="71"/>
      <c r="I138" s="71"/>
      <c r="J138" s="137">
        <v>57495</v>
      </c>
    </row>
    <row r="139" spans="2:10" ht="60">
      <c r="B139" s="464" t="s">
        <v>536</v>
      </c>
      <c r="C139" s="464" t="s">
        <v>403</v>
      </c>
      <c r="D139" s="464" t="s">
        <v>401</v>
      </c>
      <c r="E139" s="79" t="s">
        <v>404</v>
      </c>
      <c r="F139" s="127" t="s">
        <v>615</v>
      </c>
      <c r="G139" s="71"/>
      <c r="H139" s="71"/>
      <c r="I139" s="71"/>
      <c r="J139" s="137">
        <v>57800</v>
      </c>
    </row>
    <row r="140" spans="2:10" ht="60">
      <c r="B140" s="464" t="s">
        <v>536</v>
      </c>
      <c r="C140" s="464" t="s">
        <v>403</v>
      </c>
      <c r="D140" s="464" t="s">
        <v>401</v>
      </c>
      <c r="E140" s="79" t="s">
        <v>404</v>
      </c>
      <c r="F140" s="127" t="s">
        <v>900</v>
      </c>
      <c r="G140" s="71"/>
      <c r="H140" s="71"/>
      <c r="I140" s="71"/>
      <c r="J140" s="137">
        <v>330000</v>
      </c>
    </row>
    <row r="141" spans="2:10" ht="56.25" customHeight="1">
      <c r="B141" s="464" t="s">
        <v>536</v>
      </c>
      <c r="C141" s="464" t="s">
        <v>403</v>
      </c>
      <c r="D141" s="464" t="s">
        <v>401</v>
      </c>
      <c r="E141" s="79" t="s">
        <v>404</v>
      </c>
      <c r="F141" s="127" t="s">
        <v>921</v>
      </c>
      <c r="G141" s="71"/>
      <c r="H141" s="71"/>
      <c r="I141" s="71"/>
      <c r="J141" s="137">
        <v>14200</v>
      </c>
    </row>
    <row r="142" spans="2:10" ht="45">
      <c r="B142" s="464" t="s">
        <v>536</v>
      </c>
      <c r="C142" s="464" t="s">
        <v>403</v>
      </c>
      <c r="D142" s="464" t="s">
        <v>401</v>
      </c>
      <c r="E142" s="79" t="s">
        <v>404</v>
      </c>
      <c r="F142" s="127" t="s">
        <v>616</v>
      </c>
      <c r="G142" s="71"/>
      <c r="H142" s="71"/>
      <c r="I142" s="71"/>
      <c r="J142" s="137">
        <v>4129361</v>
      </c>
    </row>
    <row r="143" spans="2:10" ht="60">
      <c r="B143" s="464" t="s">
        <v>536</v>
      </c>
      <c r="C143" s="464" t="s">
        <v>403</v>
      </c>
      <c r="D143" s="464" t="s">
        <v>401</v>
      </c>
      <c r="E143" s="79" t="s">
        <v>404</v>
      </c>
      <c r="F143" s="127" t="s">
        <v>617</v>
      </c>
      <c r="G143" s="71"/>
      <c r="H143" s="71"/>
      <c r="I143" s="71"/>
      <c r="J143" s="137">
        <v>3300000</v>
      </c>
    </row>
    <row r="144" spans="2:10" ht="60">
      <c r="B144" s="464" t="s">
        <v>536</v>
      </c>
      <c r="C144" s="464" t="s">
        <v>403</v>
      </c>
      <c r="D144" s="464" t="s">
        <v>401</v>
      </c>
      <c r="E144" s="79" t="s">
        <v>404</v>
      </c>
      <c r="F144" s="127" t="s">
        <v>866</v>
      </c>
      <c r="G144" s="71"/>
      <c r="H144" s="71"/>
      <c r="I144" s="71"/>
      <c r="J144" s="137">
        <v>583600</v>
      </c>
    </row>
    <row r="145" spans="1:10" ht="75">
      <c r="B145" s="464" t="s">
        <v>536</v>
      </c>
      <c r="C145" s="464" t="s">
        <v>403</v>
      </c>
      <c r="D145" s="464" t="s">
        <v>401</v>
      </c>
      <c r="E145" s="79" t="s">
        <v>404</v>
      </c>
      <c r="F145" s="127" t="s">
        <v>867</v>
      </c>
      <c r="G145" s="71"/>
      <c r="H145" s="71"/>
      <c r="I145" s="71"/>
      <c r="J145" s="137">
        <f>(234000)-18000</f>
        <v>216000</v>
      </c>
    </row>
    <row r="146" spans="1:10" ht="45">
      <c r="B146" s="464" t="s">
        <v>536</v>
      </c>
      <c r="C146" s="464" t="s">
        <v>403</v>
      </c>
      <c r="D146" s="464" t="s">
        <v>401</v>
      </c>
      <c r="E146" s="79" t="s">
        <v>404</v>
      </c>
      <c r="F146" s="127" t="s">
        <v>868</v>
      </c>
      <c r="G146" s="71"/>
      <c r="H146" s="71"/>
      <c r="I146" s="71"/>
      <c r="J146" s="137">
        <v>159600</v>
      </c>
    </row>
    <row r="147" spans="1:10" ht="150">
      <c r="B147" s="464" t="s">
        <v>536</v>
      </c>
      <c r="C147" s="464" t="s">
        <v>403</v>
      </c>
      <c r="D147" s="464" t="s">
        <v>401</v>
      </c>
      <c r="E147" s="79" t="s">
        <v>404</v>
      </c>
      <c r="F147" s="127" t="s">
        <v>869</v>
      </c>
      <c r="G147" s="71"/>
      <c r="H147" s="71"/>
      <c r="I147" s="71"/>
      <c r="J147" s="137">
        <f>2254000+1200000</f>
        <v>3454000</v>
      </c>
    </row>
    <row r="148" spans="1:10" ht="75">
      <c r="B148" s="464" t="s">
        <v>536</v>
      </c>
      <c r="C148" s="464" t="s">
        <v>403</v>
      </c>
      <c r="D148" s="464" t="s">
        <v>401</v>
      </c>
      <c r="E148" s="79" t="s">
        <v>404</v>
      </c>
      <c r="F148" s="127" t="s">
        <v>870</v>
      </c>
      <c r="G148" s="71"/>
      <c r="H148" s="71"/>
      <c r="I148" s="71"/>
      <c r="J148" s="137">
        <f>35100+20000</f>
        <v>55100</v>
      </c>
    </row>
    <row r="149" spans="1:10" ht="105">
      <c r="B149" s="464" t="s">
        <v>536</v>
      </c>
      <c r="C149" s="464" t="s">
        <v>403</v>
      </c>
      <c r="D149" s="464" t="s">
        <v>401</v>
      </c>
      <c r="E149" s="79" t="s">
        <v>404</v>
      </c>
      <c r="F149" s="127" t="s">
        <v>7</v>
      </c>
      <c r="G149" s="71"/>
      <c r="H149" s="71"/>
      <c r="I149" s="71"/>
      <c r="J149" s="137">
        <v>120290</v>
      </c>
    </row>
    <row r="150" spans="1:10" ht="75">
      <c r="B150" s="464" t="s">
        <v>536</v>
      </c>
      <c r="C150" s="464" t="s">
        <v>403</v>
      </c>
      <c r="D150" s="464" t="s">
        <v>401</v>
      </c>
      <c r="E150" s="79" t="s">
        <v>404</v>
      </c>
      <c r="F150" s="127" t="s">
        <v>928</v>
      </c>
      <c r="G150" s="71"/>
      <c r="H150" s="71"/>
      <c r="I150" s="71"/>
      <c r="J150" s="137">
        <f>1082370+300000</f>
        <v>1382370</v>
      </c>
    </row>
    <row r="151" spans="1:10" ht="105">
      <c r="B151" s="464" t="s">
        <v>536</v>
      </c>
      <c r="C151" s="464" t="s">
        <v>403</v>
      </c>
      <c r="D151" s="464" t="s">
        <v>401</v>
      </c>
      <c r="E151" s="79" t="s">
        <v>404</v>
      </c>
      <c r="F151" s="127" t="s">
        <v>871</v>
      </c>
      <c r="G151" s="71"/>
      <c r="H151" s="71"/>
      <c r="I151" s="71"/>
      <c r="J151" s="137">
        <f>1582640+1724860</f>
        <v>3307500</v>
      </c>
    </row>
    <row r="152" spans="1:10" ht="105">
      <c r="B152" s="464" t="s">
        <v>536</v>
      </c>
      <c r="C152" s="464" t="s">
        <v>403</v>
      </c>
      <c r="D152" s="464" t="s">
        <v>401</v>
      </c>
      <c r="E152" s="79" t="s">
        <v>404</v>
      </c>
      <c r="F152" s="127" t="s">
        <v>8</v>
      </c>
      <c r="G152" s="71"/>
      <c r="H152" s="71"/>
      <c r="I152" s="71"/>
      <c r="J152" s="137">
        <f>4000000+1000000</f>
        <v>5000000</v>
      </c>
    </row>
    <row r="153" spans="1:10" ht="75">
      <c r="B153" s="464" t="s">
        <v>536</v>
      </c>
      <c r="C153" s="464" t="s">
        <v>403</v>
      </c>
      <c r="D153" s="464" t="s">
        <v>401</v>
      </c>
      <c r="E153" s="79" t="s">
        <v>404</v>
      </c>
      <c r="F153" s="139" t="s">
        <v>9</v>
      </c>
      <c r="G153" s="71"/>
      <c r="H153" s="71"/>
      <c r="I153" s="71"/>
      <c r="J153" s="137">
        <v>4000000</v>
      </c>
    </row>
    <row r="154" spans="1:10" ht="90">
      <c r="B154" s="464" t="s">
        <v>536</v>
      </c>
      <c r="C154" s="464" t="s">
        <v>403</v>
      </c>
      <c r="D154" s="464" t="s">
        <v>401</v>
      </c>
      <c r="E154" s="79" t="s">
        <v>404</v>
      </c>
      <c r="F154" s="139" t="s">
        <v>10</v>
      </c>
      <c r="G154" s="71"/>
      <c r="H154" s="71"/>
      <c r="I154" s="71"/>
      <c r="J154" s="137">
        <v>526492</v>
      </c>
    </row>
    <row r="155" spans="1:10" ht="105">
      <c r="B155" s="464" t="s">
        <v>536</v>
      </c>
      <c r="C155" s="464" t="s">
        <v>403</v>
      </c>
      <c r="D155" s="464" t="s">
        <v>401</v>
      </c>
      <c r="E155" s="79" t="s">
        <v>404</v>
      </c>
      <c r="F155" s="139" t="s">
        <v>32</v>
      </c>
      <c r="G155" s="71"/>
      <c r="H155" s="71"/>
      <c r="I155" s="71"/>
      <c r="J155" s="137">
        <f>950000+1000000</f>
        <v>1950000</v>
      </c>
    </row>
    <row r="156" spans="1:10" ht="105">
      <c r="B156" s="464" t="s">
        <v>536</v>
      </c>
      <c r="C156" s="464" t="s">
        <v>403</v>
      </c>
      <c r="D156" s="464" t="s">
        <v>401</v>
      </c>
      <c r="E156" s="79" t="s">
        <v>404</v>
      </c>
      <c r="F156" s="349" t="s">
        <v>872</v>
      </c>
      <c r="G156" s="71"/>
      <c r="H156" s="71"/>
      <c r="I156" s="71"/>
      <c r="J156" s="137">
        <v>260300</v>
      </c>
    </row>
    <row r="157" spans="1:10" s="125" customFormat="1" ht="105">
      <c r="A157" s="124"/>
      <c r="B157" s="464" t="s">
        <v>536</v>
      </c>
      <c r="C157" s="464" t="s">
        <v>403</v>
      </c>
      <c r="D157" s="464" t="s">
        <v>401</v>
      </c>
      <c r="E157" s="79" t="s">
        <v>404</v>
      </c>
      <c r="F157" s="349" t="s">
        <v>873</v>
      </c>
      <c r="G157" s="71"/>
      <c r="H157" s="71"/>
      <c r="I157" s="71"/>
      <c r="J157" s="137">
        <v>207350</v>
      </c>
    </row>
    <row r="158" spans="1:10" ht="90">
      <c r="B158" s="464" t="s">
        <v>536</v>
      </c>
      <c r="C158" s="464" t="s">
        <v>403</v>
      </c>
      <c r="D158" s="464" t="s">
        <v>401</v>
      </c>
      <c r="E158" s="79" t="s">
        <v>404</v>
      </c>
      <c r="F158" s="349" t="s">
        <v>874</v>
      </c>
      <c r="G158" s="71"/>
      <c r="H158" s="71"/>
      <c r="I158" s="71"/>
      <c r="J158" s="137">
        <v>490986</v>
      </c>
    </row>
    <row r="159" spans="1:10" ht="75">
      <c r="B159" s="464" t="s">
        <v>536</v>
      </c>
      <c r="C159" s="464" t="s">
        <v>403</v>
      </c>
      <c r="D159" s="464" t="s">
        <v>401</v>
      </c>
      <c r="E159" s="79" t="s">
        <v>404</v>
      </c>
      <c r="F159" s="349" t="s">
        <v>875</v>
      </c>
      <c r="G159" s="71"/>
      <c r="H159" s="71"/>
      <c r="I159" s="71"/>
      <c r="J159" s="137">
        <v>200000</v>
      </c>
    </row>
    <row r="160" spans="1:10" ht="75">
      <c r="B160" s="464" t="s">
        <v>536</v>
      </c>
      <c r="C160" s="464" t="s">
        <v>403</v>
      </c>
      <c r="D160" s="464" t="s">
        <v>401</v>
      </c>
      <c r="E160" s="79" t="s">
        <v>404</v>
      </c>
      <c r="F160" s="349" t="s">
        <v>876</v>
      </c>
      <c r="G160" s="71"/>
      <c r="H160" s="71"/>
      <c r="I160" s="71"/>
      <c r="J160" s="137">
        <v>150000</v>
      </c>
    </row>
    <row r="161" spans="2:10" ht="150">
      <c r="B161" s="464" t="s">
        <v>536</v>
      </c>
      <c r="C161" s="464" t="s">
        <v>403</v>
      </c>
      <c r="D161" s="464" t="s">
        <v>401</v>
      </c>
      <c r="E161" s="79" t="s">
        <v>404</v>
      </c>
      <c r="F161" s="349" t="s">
        <v>895</v>
      </c>
      <c r="G161" s="71"/>
      <c r="H161" s="71"/>
      <c r="I161" s="71"/>
      <c r="J161" s="137">
        <v>93000</v>
      </c>
    </row>
    <row r="162" spans="2:10" ht="75">
      <c r="B162" s="464" t="s">
        <v>536</v>
      </c>
      <c r="C162" s="464" t="s">
        <v>403</v>
      </c>
      <c r="D162" s="464" t="s">
        <v>401</v>
      </c>
      <c r="E162" s="79" t="s">
        <v>404</v>
      </c>
      <c r="F162" s="349" t="s">
        <v>908</v>
      </c>
      <c r="G162" s="71"/>
      <c r="H162" s="71"/>
      <c r="I162" s="71"/>
      <c r="J162" s="137">
        <v>200000</v>
      </c>
    </row>
    <row r="163" spans="2:10" ht="90">
      <c r="B163" s="464" t="s">
        <v>536</v>
      </c>
      <c r="C163" s="464" t="s">
        <v>403</v>
      </c>
      <c r="D163" s="464" t="s">
        <v>401</v>
      </c>
      <c r="E163" s="79" t="s">
        <v>404</v>
      </c>
      <c r="F163" s="349" t="s">
        <v>877</v>
      </c>
      <c r="G163" s="71"/>
      <c r="H163" s="71"/>
      <c r="I163" s="71"/>
      <c r="J163" s="137">
        <v>1630904</v>
      </c>
    </row>
    <row r="164" spans="2:10" ht="75">
      <c r="B164" s="464" t="s">
        <v>536</v>
      </c>
      <c r="C164" s="464" t="s">
        <v>403</v>
      </c>
      <c r="D164" s="464" t="s">
        <v>401</v>
      </c>
      <c r="E164" s="79" t="s">
        <v>404</v>
      </c>
      <c r="F164" s="363" t="s">
        <v>896</v>
      </c>
      <c r="G164" s="71"/>
      <c r="H164" s="71"/>
      <c r="I164" s="71"/>
      <c r="J164" s="137">
        <v>98366</v>
      </c>
    </row>
    <row r="165" spans="2:10" ht="120">
      <c r="B165" s="464" t="s">
        <v>536</v>
      </c>
      <c r="C165" s="464" t="s">
        <v>403</v>
      </c>
      <c r="D165" s="464" t="s">
        <v>401</v>
      </c>
      <c r="E165" s="79" t="s">
        <v>404</v>
      </c>
      <c r="F165" s="349" t="s">
        <v>909</v>
      </c>
      <c r="G165" s="71"/>
      <c r="H165" s="71"/>
      <c r="I165" s="71"/>
      <c r="J165" s="137">
        <v>60000</v>
      </c>
    </row>
    <row r="166" spans="2:10" ht="115.5" customHeight="1">
      <c r="B166" s="464" t="s">
        <v>536</v>
      </c>
      <c r="C166" s="464" t="s">
        <v>403</v>
      </c>
      <c r="D166" s="464" t="s">
        <v>401</v>
      </c>
      <c r="E166" s="79" t="s">
        <v>404</v>
      </c>
      <c r="F166" s="349" t="s">
        <v>929</v>
      </c>
      <c r="G166" s="71"/>
      <c r="H166" s="71"/>
      <c r="I166" s="71"/>
      <c r="J166" s="137">
        <v>1500000</v>
      </c>
    </row>
    <row r="167" spans="2:10" ht="75">
      <c r="B167" s="464" t="s">
        <v>536</v>
      </c>
      <c r="C167" s="464" t="s">
        <v>403</v>
      </c>
      <c r="D167" s="464" t="s">
        <v>401</v>
      </c>
      <c r="E167" s="79" t="s">
        <v>404</v>
      </c>
      <c r="F167" s="139" t="s">
        <v>12</v>
      </c>
      <c r="G167" s="71"/>
      <c r="H167" s="71"/>
      <c r="I167" s="71"/>
      <c r="J167" s="137">
        <v>1430000</v>
      </c>
    </row>
    <row r="168" spans="2:10" ht="75">
      <c r="B168" s="464" t="s">
        <v>536</v>
      </c>
      <c r="C168" s="464" t="s">
        <v>403</v>
      </c>
      <c r="D168" s="464" t="s">
        <v>401</v>
      </c>
      <c r="E168" s="79" t="s">
        <v>404</v>
      </c>
      <c r="F168" s="139" t="s">
        <v>14</v>
      </c>
      <c r="G168" s="71"/>
      <c r="H168" s="71"/>
      <c r="I168" s="71"/>
      <c r="J168" s="137">
        <v>1480000</v>
      </c>
    </row>
    <row r="169" spans="2:10" ht="75">
      <c r="B169" s="464" t="s">
        <v>536</v>
      </c>
      <c r="C169" s="464" t="s">
        <v>403</v>
      </c>
      <c r="D169" s="464" t="s">
        <v>401</v>
      </c>
      <c r="E169" s="79" t="s">
        <v>404</v>
      </c>
      <c r="F169" s="139" t="s">
        <v>13</v>
      </c>
      <c r="G169" s="71"/>
      <c r="H169" s="71"/>
      <c r="I169" s="71"/>
      <c r="J169" s="137">
        <v>1465000</v>
      </c>
    </row>
    <row r="170" spans="2:10" ht="75">
      <c r="B170" s="464" t="s">
        <v>536</v>
      </c>
      <c r="C170" s="464" t="s">
        <v>403</v>
      </c>
      <c r="D170" s="464" t="s">
        <v>401</v>
      </c>
      <c r="E170" s="79" t="s">
        <v>404</v>
      </c>
      <c r="F170" s="139" t="s">
        <v>618</v>
      </c>
      <c r="G170" s="71"/>
      <c r="H170" s="71"/>
      <c r="I170" s="71"/>
      <c r="J170" s="137">
        <v>1170000</v>
      </c>
    </row>
    <row r="171" spans="2:10" ht="90">
      <c r="B171" s="464" t="s">
        <v>536</v>
      </c>
      <c r="C171" s="464" t="s">
        <v>403</v>
      </c>
      <c r="D171" s="464" t="s">
        <v>401</v>
      </c>
      <c r="E171" s="79" t="s">
        <v>404</v>
      </c>
      <c r="F171" s="139" t="s">
        <v>619</v>
      </c>
      <c r="G171" s="140"/>
      <c r="H171" s="140"/>
      <c r="I171" s="140"/>
      <c r="J171" s="137">
        <v>1480000</v>
      </c>
    </row>
    <row r="172" spans="2:10" ht="75">
      <c r="B172" s="464" t="s">
        <v>536</v>
      </c>
      <c r="C172" s="464" t="s">
        <v>403</v>
      </c>
      <c r="D172" s="464" t="s">
        <v>401</v>
      </c>
      <c r="E172" s="79" t="s">
        <v>404</v>
      </c>
      <c r="F172" s="139" t="s">
        <v>15</v>
      </c>
      <c r="G172" s="140"/>
      <c r="H172" s="140"/>
      <c r="I172" s="140"/>
      <c r="J172" s="137">
        <v>1420000</v>
      </c>
    </row>
    <row r="173" spans="2:10" ht="66.75" customHeight="1">
      <c r="B173" s="464" t="s">
        <v>536</v>
      </c>
      <c r="C173" s="464" t="s">
        <v>403</v>
      </c>
      <c r="D173" s="464" t="s">
        <v>401</v>
      </c>
      <c r="E173" s="79" t="s">
        <v>404</v>
      </c>
      <c r="F173" s="139" t="s">
        <v>930</v>
      </c>
      <c r="G173" s="140"/>
      <c r="H173" s="140"/>
      <c r="I173" s="140"/>
      <c r="J173" s="137">
        <v>2500000</v>
      </c>
    </row>
    <row r="174" spans="2:10" ht="75">
      <c r="B174" s="464" t="s">
        <v>536</v>
      </c>
      <c r="C174" s="464" t="s">
        <v>403</v>
      </c>
      <c r="D174" s="464" t="s">
        <v>401</v>
      </c>
      <c r="E174" s="79" t="s">
        <v>404</v>
      </c>
      <c r="F174" s="144" t="s">
        <v>34</v>
      </c>
      <c r="G174" s="140"/>
      <c r="H174" s="140"/>
      <c r="I174" s="140"/>
      <c r="J174" s="137">
        <f>1413120-627625</f>
        <v>785495</v>
      </c>
    </row>
    <row r="175" spans="2:10" ht="105">
      <c r="B175" s="464" t="s">
        <v>536</v>
      </c>
      <c r="C175" s="464" t="s">
        <v>403</v>
      </c>
      <c r="D175" s="464" t="s">
        <v>401</v>
      </c>
      <c r="E175" s="79" t="s">
        <v>404</v>
      </c>
      <c r="F175" s="141" t="s">
        <v>11</v>
      </c>
      <c r="G175" s="140"/>
      <c r="H175" s="140"/>
      <c r="I175" s="140"/>
      <c r="J175" s="137">
        <v>1960000</v>
      </c>
    </row>
    <row r="176" spans="2:10" ht="120">
      <c r="B176" s="464" t="s">
        <v>536</v>
      </c>
      <c r="C176" s="464" t="s">
        <v>403</v>
      </c>
      <c r="D176" s="464" t="s">
        <v>401</v>
      </c>
      <c r="E176" s="79" t="s">
        <v>404</v>
      </c>
      <c r="F176" s="141" t="s">
        <v>878</v>
      </c>
      <c r="G176" s="140"/>
      <c r="H176" s="140"/>
      <c r="I176" s="140"/>
      <c r="J176" s="137">
        <v>425000</v>
      </c>
    </row>
    <row r="177" spans="2:10" ht="120">
      <c r="B177" s="464" t="s">
        <v>536</v>
      </c>
      <c r="C177" s="464" t="s">
        <v>403</v>
      </c>
      <c r="D177" s="464" t="s">
        <v>401</v>
      </c>
      <c r="E177" s="79" t="s">
        <v>404</v>
      </c>
      <c r="F177" s="141" t="s">
        <v>898</v>
      </c>
      <c r="G177" s="140"/>
      <c r="H177" s="140"/>
      <c r="I177" s="140"/>
      <c r="J177" s="137">
        <v>310000</v>
      </c>
    </row>
    <row r="178" spans="2:10" ht="120">
      <c r="B178" s="464" t="s">
        <v>536</v>
      </c>
      <c r="C178" s="464" t="s">
        <v>403</v>
      </c>
      <c r="D178" s="464" t="s">
        <v>401</v>
      </c>
      <c r="E178" s="79" t="s">
        <v>404</v>
      </c>
      <c r="F178" s="141" t="s">
        <v>910</v>
      </c>
      <c r="G178" s="140"/>
      <c r="H178" s="140"/>
      <c r="I178" s="140"/>
      <c r="J178" s="137">
        <v>365000</v>
      </c>
    </row>
    <row r="179" spans="2:10" ht="105">
      <c r="B179" s="464" t="s">
        <v>536</v>
      </c>
      <c r="C179" s="464" t="s">
        <v>403</v>
      </c>
      <c r="D179" s="464" t="s">
        <v>401</v>
      </c>
      <c r="E179" s="79" t="s">
        <v>404</v>
      </c>
      <c r="F179" s="141" t="s">
        <v>901</v>
      </c>
      <c r="G179" s="140"/>
      <c r="H179" s="140"/>
      <c r="I179" s="140"/>
      <c r="J179" s="137">
        <v>500000</v>
      </c>
    </row>
    <row r="180" spans="2:10" ht="45">
      <c r="B180" s="464" t="s">
        <v>536</v>
      </c>
      <c r="C180" s="464" t="s">
        <v>403</v>
      </c>
      <c r="D180" s="464" t="s">
        <v>401</v>
      </c>
      <c r="E180" s="79" t="s">
        <v>404</v>
      </c>
      <c r="F180" s="141" t="s">
        <v>620</v>
      </c>
      <c r="G180" s="140"/>
      <c r="H180" s="140"/>
      <c r="I180" s="140"/>
      <c r="J180" s="137">
        <v>34800000</v>
      </c>
    </row>
    <row r="181" spans="2:10" ht="129" customHeight="1">
      <c r="B181" s="464" t="s">
        <v>536</v>
      </c>
      <c r="C181" s="464" t="s">
        <v>403</v>
      </c>
      <c r="D181" s="464" t="s">
        <v>401</v>
      </c>
      <c r="E181" s="79" t="s">
        <v>404</v>
      </c>
      <c r="F181" s="351" t="s">
        <v>911</v>
      </c>
      <c r="G181" s="140"/>
      <c r="H181" s="140"/>
      <c r="I181" s="140"/>
      <c r="J181" s="137">
        <f>499547+200000</f>
        <v>699547</v>
      </c>
    </row>
    <row r="182" spans="2:10" ht="105">
      <c r="B182" s="464" t="s">
        <v>536</v>
      </c>
      <c r="C182" s="464" t="s">
        <v>403</v>
      </c>
      <c r="D182" s="464" t="s">
        <v>401</v>
      </c>
      <c r="E182" s="79" t="s">
        <v>404</v>
      </c>
      <c r="F182" s="141" t="s">
        <v>879</v>
      </c>
      <c r="G182" s="140"/>
      <c r="H182" s="140"/>
      <c r="I182" s="140"/>
      <c r="J182" s="137">
        <v>610350</v>
      </c>
    </row>
    <row r="183" spans="2:10" ht="90">
      <c r="B183" s="468" t="s">
        <v>536</v>
      </c>
      <c r="C183" s="468" t="s">
        <v>403</v>
      </c>
      <c r="D183" s="468" t="s">
        <v>401</v>
      </c>
      <c r="E183" s="79" t="s">
        <v>404</v>
      </c>
      <c r="F183" s="141" t="s">
        <v>951</v>
      </c>
      <c r="G183" s="140"/>
      <c r="H183" s="140"/>
      <c r="I183" s="140"/>
      <c r="J183" s="137">
        <v>18000</v>
      </c>
    </row>
    <row r="184" spans="2:10" ht="60">
      <c r="B184" s="464" t="s">
        <v>536</v>
      </c>
      <c r="C184" s="464" t="s">
        <v>403</v>
      </c>
      <c r="D184" s="464" t="s">
        <v>401</v>
      </c>
      <c r="E184" s="79" t="s">
        <v>404</v>
      </c>
      <c r="F184" s="141" t="s">
        <v>36</v>
      </c>
      <c r="G184" s="140"/>
      <c r="H184" s="140"/>
      <c r="I184" s="140"/>
      <c r="J184" s="137">
        <v>21638</v>
      </c>
    </row>
    <row r="185" spans="2:10" ht="45">
      <c r="B185" s="464" t="s">
        <v>536</v>
      </c>
      <c r="C185" s="464" t="s">
        <v>403</v>
      </c>
      <c r="D185" s="464" t="s">
        <v>401</v>
      </c>
      <c r="E185" s="79" t="s">
        <v>404</v>
      </c>
      <c r="F185" s="141" t="s">
        <v>37</v>
      </c>
      <c r="G185" s="140"/>
      <c r="H185" s="140"/>
      <c r="I185" s="140"/>
      <c r="J185" s="137">
        <v>32457</v>
      </c>
    </row>
    <row r="186" spans="2:10" ht="75">
      <c r="B186" s="464" t="s">
        <v>536</v>
      </c>
      <c r="C186" s="464" t="s">
        <v>403</v>
      </c>
      <c r="D186" s="464" t="s">
        <v>401</v>
      </c>
      <c r="E186" s="79" t="s">
        <v>404</v>
      </c>
      <c r="F186" s="141" t="s">
        <v>894</v>
      </c>
      <c r="G186" s="140"/>
      <c r="H186" s="140"/>
      <c r="I186" s="140"/>
      <c r="J186" s="137">
        <v>555000</v>
      </c>
    </row>
    <row r="187" spans="2:10" ht="79.5" customHeight="1">
      <c r="B187" s="464" t="s">
        <v>536</v>
      </c>
      <c r="C187" s="464" t="s">
        <v>403</v>
      </c>
      <c r="D187" s="464" t="s">
        <v>401</v>
      </c>
      <c r="E187" s="79" t="s">
        <v>404</v>
      </c>
      <c r="F187" s="141" t="s">
        <v>922</v>
      </c>
      <c r="G187" s="140"/>
      <c r="H187" s="140"/>
      <c r="I187" s="140"/>
      <c r="J187" s="137">
        <v>155000</v>
      </c>
    </row>
    <row r="188" spans="2:10" ht="45">
      <c r="B188" s="464" t="s">
        <v>536</v>
      </c>
      <c r="C188" s="464" t="s">
        <v>403</v>
      </c>
      <c r="D188" s="464" t="s">
        <v>401</v>
      </c>
      <c r="E188" s="79" t="s">
        <v>404</v>
      </c>
      <c r="F188" s="141" t="s">
        <v>38</v>
      </c>
      <c r="G188" s="140"/>
      <c r="H188" s="140"/>
      <c r="I188" s="140"/>
      <c r="J188" s="137">
        <v>21638</v>
      </c>
    </row>
    <row r="189" spans="2:10" ht="88.5" customHeight="1">
      <c r="B189" s="464" t="s">
        <v>536</v>
      </c>
      <c r="C189" s="464" t="s">
        <v>403</v>
      </c>
      <c r="D189" s="464" t="s">
        <v>401</v>
      </c>
      <c r="E189" s="79" t="s">
        <v>404</v>
      </c>
      <c r="F189" s="141" t="s">
        <v>923</v>
      </c>
      <c r="G189" s="140"/>
      <c r="H189" s="140"/>
      <c r="I189" s="140"/>
      <c r="J189" s="137">
        <v>155000</v>
      </c>
    </row>
    <row r="190" spans="2:10" ht="45">
      <c r="B190" s="464" t="s">
        <v>536</v>
      </c>
      <c r="C190" s="464" t="s">
        <v>403</v>
      </c>
      <c r="D190" s="464" t="s">
        <v>401</v>
      </c>
      <c r="E190" s="79" t="s">
        <v>404</v>
      </c>
      <c r="F190" s="141" t="s">
        <v>39</v>
      </c>
      <c r="G190" s="140"/>
      <c r="H190" s="140"/>
      <c r="I190" s="140"/>
      <c r="J190" s="137">
        <v>21638</v>
      </c>
    </row>
    <row r="191" spans="2:10" ht="90">
      <c r="B191" s="464" t="s">
        <v>536</v>
      </c>
      <c r="C191" s="464" t="s">
        <v>403</v>
      </c>
      <c r="D191" s="464" t="s">
        <v>401</v>
      </c>
      <c r="E191" s="79" t="s">
        <v>404</v>
      </c>
      <c r="F191" s="141" t="s">
        <v>893</v>
      </c>
      <c r="G191" s="140"/>
      <c r="H191" s="140"/>
      <c r="I191" s="140"/>
      <c r="J191" s="137">
        <v>125000</v>
      </c>
    </row>
    <row r="192" spans="2:10" ht="80.25" customHeight="1">
      <c r="B192" s="464" t="s">
        <v>536</v>
      </c>
      <c r="C192" s="464" t="s">
        <v>403</v>
      </c>
      <c r="D192" s="464" t="s">
        <v>401</v>
      </c>
      <c r="E192" s="79" t="s">
        <v>404</v>
      </c>
      <c r="F192" s="141" t="s">
        <v>924</v>
      </c>
      <c r="G192" s="140"/>
      <c r="H192" s="140"/>
      <c r="I192" s="140"/>
      <c r="J192" s="137">
        <v>155000</v>
      </c>
    </row>
    <row r="193" spans="2:10" ht="45">
      <c r="B193" s="464" t="s">
        <v>536</v>
      </c>
      <c r="C193" s="464" t="s">
        <v>403</v>
      </c>
      <c r="D193" s="464" t="s">
        <v>401</v>
      </c>
      <c r="E193" s="79" t="s">
        <v>404</v>
      </c>
      <c r="F193" s="141" t="s">
        <v>40</v>
      </c>
      <c r="G193" s="140"/>
      <c r="H193" s="140"/>
      <c r="I193" s="140"/>
      <c r="J193" s="137">
        <v>21638</v>
      </c>
    </row>
    <row r="194" spans="2:10" ht="83.25" customHeight="1">
      <c r="B194" s="464" t="s">
        <v>536</v>
      </c>
      <c r="C194" s="464" t="s">
        <v>403</v>
      </c>
      <c r="D194" s="464" t="s">
        <v>401</v>
      </c>
      <c r="E194" s="79" t="s">
        <v>404</v>
      </c>
      <c r="F194" s="141" t="s">
        <v>925</v>
      </c>
      <c r="G194" s="140"/>
      <c r="H194" s="140"/>
      <c r="I194" s="140"/>
      <c r="J194" s="137">
        <v>155000</v>
      </c>
    </row>
    <row r="195" spans="2:10" ht="45">
      <c r="B195" s="464" t="s">
        <v>536</v>
      </c>
      <c r="C195" s="464" t="s">
        <v>403</v>
      </c>
      <c r="D195" s="464" t="s">
        <v>401</v>
      </c>
      <c r="E195" s="79" t="s">
        <v>404</v>
      </c>
      <c r="F195" s="141" t="s">
        <v>41</v>
      </c>
      <c r="G195" s="140"/>
      <c r="H195" s="140"/>
      <c r="I195" s="140"/>
      <c r="J195" s="137">
        <v>32457</v>
      </c>
    </row>
    <row r="196" spans="2:10" ht="79.5" customHeight="1">
      <c r="B196" s="464" t="s">
        <v>536</v>
      </c>
      <c r="C196" s="464" t="s">
        <v>403</v>
      </c>
      <c r="D196" s="464" t="s">
        <v>401</v>
      </c>
      <c r="E196" s="79" t="s">
        <v>404</v>
      </c>
      <c r="F196" s="141" t="s">
        <v>926</v>
      </c>
      <c r="G196" s="140"/>
      <c r="H196" s="140"/>
      <c r="I196" s="140"/>
      <c r="J196" s="137">
        <v>155000</v>
      </c>
    </row>
    <row r="197" spans="2:10" ht="45">
      <c r="B197" s="464" t="s">
        <v>536</v>
      </c>
      <c r="C197" s="464" t="s">
        <v>403</v>
      </c>
      <c r="D197" s="464" t="s">
        <v>401</v>
      </c>
      <c r="E197" s="79" t="s">
        <v>404</v>
      </c>
      <c r="F197" s="141" t="s">
        <v>42</v>
      </c>
      <c r="G197" s="140"/>
      <c r="H197" s="140"/>
      <c r="I197" s="140"/>
      <c r="J197" s="137">
        <v>32457</v>
      </c>
    </row>
    <row r="198" spans="2:10" ht="78" customHeight="1">
      <c r="B198" s="464" t="s">
        <v>536</v>
      </c>
      <c r="C198" s="464" t="s">
        <v>403</v>
      </c>
      <c r="D198" s="464" t="s">
        <v>401</v>
      </c>
      <c r="E198" s="79" t="s">
        <v>404</v>
      </c>
      <c r="F198" s="141" t="s">
        <v>927</v>
      </c>
      <c r="G198" s="140"/>
      <c r="H198" s="140"/>
      <c r="I198" s="140"/>
      <c r="J198" s="137">
        <v>155000</v>
      </c>
    </row>
    <row r="199" spans="2:10" ht="45">
      <c r="B199" s="464" t="s">
        <v>536</v>
      </c>
      <c r="C199" s="464" t="s">
        <v>403</v>
      </c>
      <c r="D199" s="464" t="s">
        <v>401</v>
      </c>
      <c r="E199" s="79" t="s">
        <v>404</v>
      </c>
      <c r="F199" s="141" t="s">
        <v>43</v>
      </c>
      <c r="G199" s="140"/>
      <c r="H199" s="140"/>
      <c r="I199" s="140"/>
      <c r="J199" s="137">
        <v>21638</v>
      </c>
    </row>
    <row r="200" spans="2:10" ht="15">
      <c r="B200" s="357" t="s">
        <v>905</v>
      </c>
      <c r="C200" s="357" t="s">
        <v>79</v>
      </c>
      <c r="D200" s="357" t="s">
        <v>465</v>
      </c>
      <c r="E200" s="357" t="s">
        <v>51</v>
      </c>
      <c r="F200" s="60" t="s">
        <v>576</v>
      </c>
      <c r="G200" s="140"/>
      <c r="H200" s="140"/>
      <c r="I200" s="140"/>
      <c r="J200" s="362">
        <v>99500</v>
      </c>
    </row>
    <row r="201" spans="2:10" ht="75">
      <c r="B201" s="415" t="s">
        <v>333</v>
      </c>
      <c r="C201" s="415"/>
      <c r="D201" s="415"/>
      <c r="E201" s="415" t="s">
        <v>335</v>
      </c>
      <c r="F201" s="434"/>
      <c r="G201" s="434"/>
      <c r="H201" s="434"/>
      <c r="I201" s="434"/>
      <c r="J201" s="424">
        <f>J202</f>
        <v>83972275</v>
      </c>
    </row>
    <row r="202" spans="2:10" ht="71.25">
      <c r="B202" s="419" t="s">
        <v>334</v>
      </c>
      <c r="C202" s="419"/>
      <c r="D202" s="419"/>
      <c r="E202" s="419" t="s">
        <v>557</v>
      </c>
      <c r="F202" s="434"/>
      <c r="G202" s="434"/>
      <c r="H202" s="434"/>
      <c r="I202" s="434"/>
      <c r="J202" s="427">
        <f>SUM(J203:J242)-J236</f>
        <v>83972275</v>
      </c>
    </row>
    <row r="203" spans="2:10" ht="30">
      <c r="B203" s="56" t="s">
        <v>399</v>
      </c>
      <c r="C203" s="56" t="s">
        <v>400</v>
      </c>
      <c r="D203" s="56" t="s">
        <v>401</v>
      </c>
      <c r="E203" s="56" t="s">
        <v>398</v>
      </c>
      <c r="F203" s="65" t="s">
        <v>405</v>
      </c>
      <c r="G203" s="60">
        <v>4780700</v>
      </c>
      <c r="H203" s="148">
        <v>100</v>
      </c>
      <c r="I203" s="60">
        <v>0</v>
      </c>
      <c r="J203" s="343">
        <f>2080700+1783700</f>
        <v>3864400</v>
      </c>
    </row>
    <row r="204" spans="2:10" ht="90">
      <c r="B204" s="56" t="s">
        <v>399</v>
      </c>
      <c r="C204" s="56" t="s">
        <v>400</v>
      </c>
      <c r="D204" s="56" t="s">
        <v>401</v>
      </c>
      <c r="E204" s="56" t="s">
        <v>398</v>
      </c>
      <c r="F204" s="65" t="s">
        <v>579</v>
      </c>
      <c r="G204" s="60">
        <v>1600000</v>
      </c>
      <c r="H204" s="148">
        <v>100</v>
      </c>
      <c r="I204" s="60">
        <v>0</v>
      </c>
      <c r="J204" s="343">
        <f>500000+500000+600000-100000</f>
        <v>1500000</v>
      </c>
    </row>
    <row r="205" spans="2:10" ht="75">
      <c r="B205" s="56" t="s">
        <v>399</v>
      </c>
      <c r="C205" s="56" t="s">
        <v>400</v>
      </c>
      <c r="D205" s="56" t="s">
        <v>401</v>
      </c>
      <c r="E205" s="56" t="s">
        <v>398</v>
      </c>
      <c r="F205" s="66" t="s">
        <v>933</v>
      </c>
      <c r="G205" s="60">
        <v>2203048</v>
      </c>
      <c r="H205" s="148">
        <v>100</v>
      </c>
      <c r="I205" s="60">
        <v>0</v>
      </c>
      <c r="J205" s="343">
        <f>500000+1623050</f>
        <v>2123050</v>
      </c>
    </row>
    <row r="206" spans="2:10" ht="45">
      <c r="B206" s="56" t="s">
        <v>399</v>
      </c>
      <c r="C206" s="56" t="s">
        <v>400</v>
      </c>
      <c r="D206" s="56" t="s">
        <v>401</v>
      </c>
      <c r="E206" s="56" t="s">
        <v>398</v>
      </c>
      <c r="F206" s="67" t="s">
        <v>406</v>
      </c>
      <c r="G206" s="60">
        <v>20497900</v>
      </c>
      <c r="H206" s="148">
        <v>100</v>
      </c>
      <c r="I206" s="60">
        <v>0</v>
      </c>
      <c r="J206" s="343">
        <f>1538300-983874</f>
        <v>554426</v>
      </c>
    </row>
    <row r="207" spans="2:10" ht="60">
      <c r="B207" s="56" t="s">
        <v>399</v>
      </c>
      <c r="C207" s="56" t="s">
        <v>400</v>
      </c>
      <c r="D207" s="56" t="s">
        <v>401</v>
      </c>
      <c r="E207" s="56" t="s">
        <v>398</v>
      </c>
      <c r="F207" s="66" t="s">
        <v>407</v>
      </c>
      <c r="G207" s="60">
        <v>1198300</v>
      </c>
      <c r="H207" s="148">
        <v>100</v>
      </c>
      <c r="I207" s="60">
        <v>0</v>
      </c>
      <c r="J207" s="343">
        <f>400000+226000+63100-66951</f>
        <v>622149</v>
      </c>
    </row>
    <row r="208" spans="2:10" ht="60">
      <c r="B208" s="56" t="s">
        <v>399</v>
      </c>
      <c r="C208" s="56" t="s">
        <v>400</v>
      </c>
      <c r="D208" s="56" t="s">
        <v>401</v>
      </c>
      <c r="E208" s="56" t="s">
        <v>398</v>
      </c>
      <c r="F208" s="66" t="s">
        <v>408</v>
      </c>
      <c r="G208" s="60">
        <v>16227530</v>
      </c>
      <c r="H208" s="148">
        <v>86</v>
      </c>
      <c r="I208" s="60">
        <v>2328530</v>
      </c>
      <c r="J208" s="343">
        <f>1500000+5000000+2000000-103120+3957520</f>
        <v>12354400</v>
      </c>
    </row>
    <row r="209" spans="2:10" ht="60">
      <c r="B209" s="341" t="s">
        <v>399</v>
      </c>
      <c r="C209" s="341" t="s">
        <v>400</v>
      </c>
      <c r="D209" s="341" t="s">
        <v>401</v>
      </c>
      <c r="E209" s="341" t="s">
        <v>398</v>
      </c>
      <c r="F209" s="142" t="s">
        <v>27</v>
      </c>
      <c r="G209" s="71">
        <v>24955463</v>
      </c>
      <c r="H209" s="149">
        <v>22</v>
      </c>
      <c r="I209" s="71">
        <v>19497200</v>
      </c>
      <c r="J209" s="343">
        <f>3000000+2000000+42100-3100000</f>
        <v>1942100</v>
      </c>
    </row>
    <row r="210" spans="2:10" ht="75">
      <c r="B210" s="341" t="s">
        <v>399</v>
      </c>
      <c r="C210" s="341" t="s">
        <v>400</v>
      </c>
      <c r="D210" s="341" t="s">
        <v>401</v>
      </c>
      <c r="E210" s="341" t="s">
        <v>398</v>
      </c>
      <c r="F210" s="142" t="s">
        <v>28</v>
      </c>
      <c r="G210" s="71">
        <v>6639195</v>
      </c>
      <c r="H210" s="149">
        <v>70</v>
      </c>
      <c r="I210" s="71">
        <v>2000000</v>
      </c>
      <c r="J210" s="343">
        <f>2000000+2454500</f>
        <v>4454500</v>
      </c>
    </row>
    <row r="211" spans="2:10" ht="75">
      <c r="B211" s="341" t="s">
        <v>399</v>
      </c>
      <c r="C211" s="341" t="s">
        <v>400</v>
      </c>
      <c r="D211" s="341" t="s">
        <v>401</v>
      </c>
      <c r="E211" s="341" t="s">
        <v>398</v>
      </c>
      <c r="F211" s="142" t="s">
        <v>641</v>
      </c>
      <c r="G211" s="71">
        <v>15302238</v>
      </c>
      <c r="H211" s="149">
        <v>40</v>
      </c>
      <c r="I211" s="71">
        <v>9229200</v>
      </c>
      <c r="J211" s="343">
        <f>100000+1700000-1000000</f>
        <v>800000</v>
      </c>
    </row>
    <row r="212" spans="2:10" ht="60">
      <c r="B212" s="341" t="s">
        <v>399</v>
      </c>
      <c r="C212" s="341" t="s">
        <v>400</v>
      </c>
      <c r="D212" s="341" t="s">
        <v>401</v>
      </c>
      <c r="E212" s="341" t="s">
        <v>398</v>
      </c>
      <c r="F212" s="142" t="s">
        <v>409</v>
      </c>
      <c r="G212" s="71">
        <v>16874496</v>
      </c>
      <c r="H212" s="149">
        <v>47</v>
      </c>
      <c r="I212" s="71">
        <v>8859900</v>
      </c>
      <c r="J212" s="343">
        <f>2000000+2000000</f>
        <v>4000000</v>
      </c>
    </row>
    <row r="213" spans="2:10" ht="63" customHeight="1">
      <c r="B213" s="341" t="s">
        <v>399</v>
      </c>
      <c r="C213" s="341" t="s">
        <v>400</v>
      </c>
      <c r="D213" s="341" t="s">
        <v>401</v>
      </c>
      <c r="E213" s="341" t="s">
        <v>398</v>
      </c>
      <c r="F213" s="142" t="s">
        <v>410</v>
      </c>
      <c r="G213" s="71">
        <v>170100</v>
      </c>
      <c r="H213" s="71">
        <v>100</v>
      </c>
      <c r="I213" s="71">
        <v>0</v>
      </c>
      <c r="J213" s="343">
        <f>120000+50100</f>
        <v>170100</v>
      </c>
    </row>
    <row r="214" spans="2:10" ht="66" customHeight="1">
      <c r="B214" s="464" t="s">
        <v>399</v>
      </c>
      <c r="C214" s="464" t="s">
        <v>400</v>
      </c>
      <c r="D214" s="464" t="s">
        <v>401</v>
      </c>
      <c r="E214" s="464" t="s">
        <v>398</v>
      </c>
      <c r="F214" s="347" t="s">
        <v>411</v>
      </c>
      <c r="G214" s="71">
        <v>107107060</v>
      </c>
      <c r="H214" s="149">
        <v>33</v>
      </c>
      <c r="I214" s="71">
        <v>71982360</v>
      </c>
      <c r="J214" s="465">
        <f>20000000+15000000-15000000+5000000+5000000</f>
        <v>30000000</v>
      </c>
    </row>
    <row r="215" spans="2:10" ht="138" customHeight="1">
      <c r="B215" s="464" t="s">
        <v>399</v>
      </c>
      <c r="C215" s="464" t="s">
        <v>400</v>
      </c>
      <c r="D215" s="464" t="s">
        <v>401</v>
      </c>
      <c r="E215" s="464" t="s">
        <v>398</v>
      </c>
      <c r="F215" s="143" t="s">
        <v>915</v>
      </c>
      <c r="G215" s="71"/>
      <c r="H215" s="149"/>
      <c r="I215" s="71"/>
      <c r="J215" s="465">
        <v>5000000</v>
      </c>
    </row>
    <row r="216" spans="2:10" ht="45">
      <c r="B216" s="464" t="s">
        <v>399</v>
      </c>
      <c r="C216" s="464" t="s">
        <v>400</v>
      </c>
      <c r="D216" s="464" t="s">
        <v>401</v>
      </c>
      <c r="E216" s="464" t="s">
        <v>398</v>
      </c>
      <c r="F216" s="142" t="s">
        <v>424</v>
      </c>
      <c r="G216" s="71">
        <v>18108000</v>
      </c>
      <c r="H216" s="149">
        <v>23</v>
      </c>
      <c r="I216" s="71">
        <v>13916100</v>
      </c>
      <c r="J216" s="465">
        <f>3000000+2000000-2000000-98479-222673-2000000</f>
        <v>678848</v>
      </c>
    </row>
    <row r="217" spans="2:10" ht="75">
      <c r="B217" s="464" t="s">
        <v>399</v>
      </c>
      <c r="C217" s="464" t="s">
        <v>400</v>
      </c>
      <c r="D217" s="464" t="s">
        <v>401</v>
      </c>
      <c r="E217" s="464" t="s">
        <v>398</v>
      </c>
      <c r="F217" s="142" t="s">
        <v>425</v>
      </c>
      <c r="G217" s="71">
        <v>3865730</v>
      </c>
      <c r="H217" s="149">
        <v>100</v>
      </c>
      <c r="I217" s="71">
        <v>0</v>
      </c>
      <c r="J217" s="465">
        <f>2928800+741830+200000</f>
        <v>3870630</v>
      </c>
    </row>
    <row r="218" spans="2:10" ht="45">
      <c r="B218" s="464" t="s">
        <v>399</v>
      </c>
      <c r="C218" s="464" t="s">
        <v>400</v>
      </c>
      <c r="D218" s="464" t="s">
        <v>401</v>
      </c>
      <c r="E218" s="464" t="s">
        <v>398</v>
      </c>
      <c r="F218" s="142" t="s">
        <v>426</v>
      </c>
      <c r="G218" s="71">
        <v>649200</v>
      </c>
      <c r="H218" s="149">
        <v>100</v>
      </c>
      <c r="I218" s="71">
        <v>0</v>
      </c>
      <c r="J218" s="465">
        <f>300000+100000</f>
        <v>400000</v>
      </c>
    </row>
    <row r="219" spans="2:10" ht="60">
      <c r="B219" s="464" t="s">
        <v>399</v>
      </c>
      <c r="C219" s="464" t="s">
        <v>400</v>
      </c>
      <c r="D219" s="464" t="s">
        <v>401</v>
      </c>
      <c r="E219" s="464" t="s">
        <v>398</v>
      </c>
      <c r="F219" s="142" t="s">
        <v>635</v>
      </c>
      <c r="G219" s="71">
        <v>200000</v>
      </c>
      <c r="H219" s="149">
        <v>100</v>
      </c>
      <c r="I219" s="71">
        <v>0</v>
      </c>
      <c r="J219" s="465">
        <f>370000-170000</f>
        <v>200000</v>
      </c>
    </row>
    <row r="220" spans="2:10" ht="60">
      <c r="B220" s="464" t="s">
        <v>399</v>
      </c>
      <c r="C220" s="464" t="s">
        <v>400</v>
      </c>
      <c r="D220" s="464" t="s">
        <v>401</v>
      </c>
      <c r="E220" s="464" t="s">
        <v>398</v>
      </c>
      <c r="F220" s="142" t="s">
        <v>427</v>
      </c>
      <c r="G220" s="71">
        <v>530000</v>
      </c>
      <c r="H220" s="149">
        <v>38</v>
      </c>
      <c r="I220" s="71">
        <v>330000</v>
      </c>
      <c r="J220" s="465">
        <f>200000-100000</f>
        <v>100000</v>
      </c>
    </row>
    <row r="221" spans="2:10" ht="60">
      <c r="B221" s="464" t="s">
        <v>399</v>
      </c>
      <c r="C221" s="464" t="s">
        <v>400</v>
      </c>
      <c r="D221" s="464" t="s">
        <v>401</v>
      </c>
      <c r="E221" s="464" t="s">
        <v>398</v>
      </c>
      <c r="F221" s="142" t="s">
        <v>636</v>
      </c>
      <c r="G221" s="71">
        <v>250000</v>
      </c>
      <c r="H221" s="149">
        <v>100</v>
      </c>
      <c r="I221" s="71">
        <v>0</v>
      </c>
      <c r="J221" s="465">
        <f>250000-100000</f>
        <v>150000</v>
      </c>
    </row>
    <row r="222" spans="2:10" ht="75">
      <c r="B222" s="341" t="s">
        <v>399</v>
      </c>
      <c r="C222" s="341" t="s">
        <v>400</v>
      </c>
      <c r="D222" s="341" t="s">
        <v>401</v>
      </c>
      <c r="E222" s="341" t="s">
        <v>398</v>
      </c>
      <c r="F222" s="142" t="s">
        <v>33</v>
      </c>
      <c r="G222" s="71">
        <v>445000</v>
      </c>
      <c r="H222" s="149">
        <v>100</v>
      </c>
      <c r="I222" s="71">
        <v>0</v>
      </c>
      <c r="J222" s="343">
        <f>200000+245000</f>
        <v>445000</v>
      </c>
    </row>
    <row r="223" spans="2:10" ht="60">
      <c r="B223" s="341" t="s">
        <v>399</v>
      </c>
      <c r="C223" s="341" t="s">
        <v>400</v>
      </c>
      <c r="D223" s="341" t="s">
        <v>401</v>
      </c>
      <c r="E223" s="341" t="s">
        <v>398</v>
      </c>
      <c r="F223" s="142" t="s">
        <v>21</v>
      </c>
      <c r="G223" s="71">
        <v>1160000</v>
      </c>
      <c r="H223" s="149">
        <v>60</v>
      </c>
      <c r="I223" s="71">
        <v>460000</v>
      </c>
      <c r="J223" s="343">
        <f>200000+500000</f>
        <v>700000</v>
      </c>
    </row>
    <row r="224" spans="2:10" ht="60">
      <c r="B224" s="341" t="s">
        <v>399</v>
      </c>
      <c r="C224" s="341" t="s">
        <v>400</v>
      </c>
      <c r="D224" s="341" t="s">
        <v>401</v>
      </c>
      <c r="E224" s="341" t="s">
        <v>398</v>
      </c>
      <c r="F224" s="142" t="s">
        <v>633</v>
      </c>
      <c r="G224" s="71">
        <v>630000</v>
      </c>
      <c r="H224" s="149">
        <v>40</v>
      </c>
      <c r="I224" s="71">
        <v>380000</v>
      </c>
      <c r="J224" s="343">
        <v>250000</v>
      </c>
    </row>
    <row r="225" spans="2:10" ht="60">
      <c r="B225" s="341" t="s">
        <v>399</v>
      </c>
      <c r="C225" s="341" t="s">
        <v>400</v>
      </c>
      <c r="D225" s="341" t="s">
        <v>401</v>
      </c>
      <c r="E225" s="341" t="s">
        <v>398</v>
      </c>
      <c r="F225" s="142" t="s">
        <v>428</v>
      </c>
      <c r="G225" s="71"/>
      <c r="H225" s="149"/>
      <c r="I225" s="71"/>
      <c r="J225" s="343">
        <v>500000</v>
      </c>
    </row>
    <row r="226" spans="2:10" ht="105">
      <c r="B226" s="341" t="s">
        <v>399</v>
      </c>
      <c r="C226" s="341" t="s">
        <v>400</v>
      </c>
      <c r="D226" s="341" t="s">
        <v>401</v>
      </c>
      <c r="E226" s="341" t="s">
        <v>398</v>
      </c>
      <c r="F226" s="142" t="s">
        <v>572</v>
      </c>
      <c r="G226" s="71">
        <v>10111120</v>
      </c>
      <c r="H226" s="149">
        <v>32</v>
      </c>
      <c r="I226" s="71">
        <v>6854120</v>
      </c>
      <c r="J226" s="138">
        <f>3000000+257000</f>
        <v>3257000</v>
      </c>
    </row>
    <row r="227" spans="2:10" ht="60">
      <c r="B227" s="341" t="s">
        <v>399</v>
      </c>
      <c r="C227" s="341" t="s">
        <v>400</v>
      </c>
      <c r="D227" s="341" t="s">
        <v>401</v>
      </c>
      <c r="E227" s="341" t="s">
        <v>398</v>
      </c>
      <c r="F227" s="142" t="s">
        <v>429</v>
      </c>
      <c r="G227" s="71">
        <v>968200</v>
      </c>
      <c r="H227" s="149">
        <v>100</v>
      </c>
      <c r="I227" s="71">
        <v>0</v>
      </c>
      <c r="J227" s="138">
        <f>160000-45000</f>
        <v>115000</v>
      </c>
    </row>
    <row r="228" spans="2:10" ht="60">
      <c r="B228" s="341" t="s">
        <v>399</v>
      </c>
      <c r="C228" s="341" t="s">
        <v>400</v>
      </c>
      <c r="D228" s="341" t="s">
        <v>401</v>
      </c>
      <c r="E228" s="341" t="s">
        <v>398</v>
      </c>
      <c r="F228" s="142" t="s">
        <v>20</v>
      </c>
      <c r="G228" s="71">
        <v>2669200</v>
      </c>
      <c r="H228" s="149">
        <v>72</v>
      </c>
      <c r="I228" s="71">
        <v>746100</v>
      </c>
      <c r="J228" s="138">
        <f>700000-63100-636900</f>
        <v>0</v>
      </c>
    </row>
    <row r="229" spans="2:10" ht="75">
      <c r="B229" s="341" t="s">
        <v>399</v>
      </c>
      <c r="C229" s="341" t="s">
        <v>400</v>
      </c>
      <c r="D229" s="341" t="s">
        <v>401</v>
      </c>
      <c r="E229" s="341" t="s">
        <v>398</v>
      </c>
      <c r="F229" s="142" t="s">
        <v>598</v>
      </c>
      <c r="G229" s="71">
        <v>456076</v>
      </c>
      <c r="H229" s="149">
        <v>100</v>
      </c>
      <c r="I229" s="71">
        <v>0</v>
      </c>
      <c r="J229" s="138">
        <f>320000-4735</f>
        <v>315265</v>
      </c>
    </row>
    <row r="230" spans="2:10" ht="45">
      <c r="B230" s="341" t="s">
        <v>399</v>
      </c>
      <c r="C230" s="341" t="s">
        <v>400</v>
      </c>
      <c r="D230" s="341" t="s">
        <v>401</v>
      </c>
      <c r="E230" s="341" t="s">
        <v>398</v>
      </c>
      <c r="F230" s="142" t="s">
        <v>29</v>
      </c>
      <c r="G230" s="71">
        <v>3267600</v>
      </c>
      <c r="H230" s="149">
        <v>100</v>
      </c>
      <c r="I230" s="71"/>
      <c r="J230" s="138">
        <f>600000-400000-19900</f>
        <v>180100</v>
      </c>
    </row>
    <row r="231" spans="2:10" ht="60">
      <c r="B231" s="341" t="s">
        <v>399</v>
      </c>
      <c r="C231" s="341" t="s">
        <v>400</v>
      </c>
      <c r="D231" s="341" t="s">
        <v>401</v>
      </c>
      <c r="E231" s="341" t="s">
        <v>398</v>
      </c>
      <c r="F231" s="142" t="s">
        <v>599</v>
      </c>
      <c r="G231" s="71"/>
      <c r="H231" s="149"/>
      <c r="I231" s="71"/>
      <c r="J231" s="138">
        <f>100000-100000</f>
        <v>0</v>
      </c>
    </row>
    <row r="232" spans="2:10" ht="90">
      <c r="B232" s="341" t="s">
        <v>399</v>
      </c>
      <c r="C232" s="341" t="s">
        <v>400</v>
      </c>
      <c r="D232" s="341" t="s">
        <v>401</v>
      </c>
      <c r="E232" s="341" t="s">
        <v>398</v>
      </c>
      <c r="F232" s="142" t="s">
        <v>600</v>
      </c>
      <c r="G232" s="71"/>
      <c r="H232" s="149"/>
      <c r="I232" s="71"/>
      <c r="J232" s="138">
        <v>365000</v>
      </c>
    </row>
    <row r="233" spans="2:10" ht="66" customHeight="1">
      <c r="B233" s="462" t="s">
        <v>399</v>
      </c>
      <c r="C233" s="462" t="s">
        <v>400</v>
      </c>
      <c r="D233" s="462" t="s">
        <v>401</v>
      </c>
      <c r="E233" s="462" t="s">
        <v>398</v>
      </c>
      <c r="F233" s="142" t="s">
        <v>931</v>
      </c>
      <c r="G233" s="71"/>
      <c r="H233" s="149"/>
      <c r="I233" s="71"/>
      <c r="J233" s="138">
        <v>550568</v>
      </c>
    </row>
    <row r="234" spans="2:10" ht="30">
      <c r="B234" s="341" t="s">
        <v>399</v>
      </c>
      <c r="C234" s="341" t="s">
        <v>400</v>
      </c>
      <c r="D234" s="341" t="s">
        <v>401</v>
      </c>
      <c r="E234" s="341" t="s">
        <v>398</v>
      </c>
      <c r="F234" s="142" t="s">
        <v>858</v>
      </c>
      <c r="G234" s="71">
        <v>29422945</v>
      </c>
      <c r="H234" s="149">
        <v>6</v>
      </c>
      <c r="I234" s="71">
        <v>29259140</v>
      </c>
      <c r="J234" s="138">
        <v>1500000</v>
      </c>
    </row>
    <row r="235" spans="2:10" ht="30">
      <c r="B235" s="56" t="s">
        <v>191</v>
      </c>
      <c r="C235" s="56" t="s">
        <v>192</v>
      </c>
      <c r="D235" s="56"/>
      <c r="E235" s="56" t="s">
        <v>193</v>
      </c>
      <c r="F235" s="68"/>
      <c r="G235" s="60"/>
      <c r="H235" s="148"/>
      <c r="I235" s="60"/>
      <c r="J235" s="111">
        <f>J236</f>
        <v>500000</v>
      </c>
    </row>
    <row r="236" spans="2:10" ht="60">
      <c r="B236" s="55" t="s">
        <v>194</v>
      </c>
      <c r="C236" s="55" t="s">
        <v>195</v>
      </c>
      <c r="D236" s="55" t="s">
        <v>522</v>
      </c>
      <c r="E236" s="55" t="s">
        <v>196</v>
      </c>
      <c r="F236" s="68" t="s">
        <v>573</v>
      </c>
      <c r="G236" s="60"/>
      <c r="H236" s="148"/>
      <c r="I236" s="60"/>
      <c r="J236" s="111">
        <f>7000000-1500000-2000000-3000000</f>
        <v>500000</v>
      </c>
    </row>
    <row r="237" spans="2:10" ht="45">
      <c r="B237" s="341" t="s">
        <v>402</v>
      </c>
      <c r="C237" s="341" t="s">
        <v>403</v>
      </c>
      <c r="D237" s="341" t="s">
        <v>401</v>
      </c>
      <c r="E237" s="341" t="s">
        <v>404</v>
      </c>
      <c r="F237" s="143" t="s">
        <v>539</v>
      </c>
      <c r="G237" s="71"/>
      <c r="H237" s="149"/>
      <c r="I237" s="71"/>
      <c r="J237" s="136">
        <f>1230000-23000</f>
        <v>1207000</v>
      </c>
    </row>
    <row r="238" spans="2:10" ht="60">
      <c r="B238" s="341" t="s">
        <v>402</v>
      </c>
      <c r="C238" s="341" t="s">
        <v>403</v>
      </c>
      <c r="D238" s="341" t="s">
        <v>401</v>
      </c>
      <c r="E238" s="341" t="s">
        <v>404</v>
      </c>
      <c r="F238" s="143" t="s">
        <v>540</v>
      </c>
      <c r="G238" s="71"/>
      <c r="H238" s="149"/>
      <c r="I238" s="71"/>
      <c r="J238" s="136">
        <f>224000+23000-52000</f>
        <v>195000</v>
      </c>
    </row>
    <row r="239" spans="2:10" ht="45">
      <c r="B239" s="341" t="s">
        <v>402</v>
      </c>
      <c r="C239" s="341" t="s">
        <v>403</v>
      </c>
      <c r="D239" s="341" t="s">
        <v>401</v>
      </c>
      <c r="E239" s="341" t="s">
        <v>404</v>
      </c>
      <c r="F239" s="143" t="s">
        <v>541</v>
      </c>
      <c r="G239" s="71"/>
      <c r="H239" s="149"/>
      <c r="I239" s="71"/>
      <c r="J239" s="136">
        <v>29500</v>
      </c>
    </row>
    <row r="240" spans="2:10" ht="45">
      <c r="B240" s="56" t="s">
        <v>402</v>
      </c>
      <c r="C240" s="56" t="s">
        <v>403</v>
      </c>
      <c r="D240" s="56" t="s">
        <v>401</v>
      </c>
      <c r="E240" s="56" t="s">
        <v>404</v>
      </c>
      <c r="F240" s="68" t="s">
        <v>542</v>
      </c>
      <c r="G240" s="60"/>
      <c r="H240" s="148"/>
      <c r="I240" s="60"/>
      <c r="J240" s="111">
        <v>29139</v>
      </c>
    </row>
    <row r="241" spans="2:10" ht="45">
      <c r="B241" s="56" t="s">
        <v>402</v>
      </c>
      <c r="C241" s="56" t="s">
        <v>403</v>
      </c>
      <c r="D241" s="56" t="s">
        <v>401</v>
      </c>
      <c r="E241" s="56" t="s">
        <v>404</v>
      </c>
      <c r="F241" s="68" t="s">
        <v>932</v>
      </c>
      <c r="G241" s="60"/>
      <c r="H241" s="148"/>
      <c r="I241" s="60"/>
      <c r="J241" s="111">
        <v>52000</v>
      </c>
    </row>
    <row r="242" spans="2:10" ht="30">
      <c r="B242" s="341" t="s">
        <v>402</v>
      </c>
      <c r="C242" s="341" t="s">
        <v>403</v>
      </c>
      <c r="D242" s="341" t="s">
        <v>401</v>
      </c>
      <c r="E242" s="341" t="s">
        <v>404</v>
      </c>
      <c r="F242" s="143" t="s">
        <v>31</v>
      </c>
      <c r="G242" s="71"/>
      <c r="H242" s="149"/>
      <c r="I242" s="71"/>
      <c r="J242" s="136">
        <f>997100</f>
        <v>997100</v>
      </c>
    </row>
    <row r="243" spans="2:10" ht="75">
      <c r="B243" s="415" t="s">
        <v>339</v>
      </c>
      <c r="C243" s="415"/>
      <c r="D243" s="415"/>
      <c r="E243" s="415" t="s">
        <v>338</v>
      </c>
      <c r="F243" s="431"/>
      <c r="G243" s="431"/>
      <c r="H243" s="431"/>
      <c r="I243" s="431"/>
      <c r="J243" s="424">
        <f>J244</f>
        <v>1200141</v>
      </c>
    </row>
    <row r="244" spans="2:10" ht="71.25">
      <c r="B244" s="419" t="s">
        <v>340</v>
      </c>
      <c r="C244" s="419"/>
      <c r="D244" s="419"/>
      <c r="E244" s="419" t="s">
        <v>420</v>
      </c>
      <c r="F244" s="431"/>
      <c r="G244" s="431"/>
      <c r="H244" s="431"/>
      <c r="I244" s="431"/>
      <c r="J244" s="427">
        <f>SUM(J245:J248)</f>
        <v>1200141</v>
      </c>
    </row>
    <row r="245" spans="2:10" ht="30">
      <c r="B245" s="56" t="s">
        <v>381</v>
      </c>
      <c r="C245" s="56" t="s">
        <v>382</v>
      </c>
      <c r="D245" s="56" t="s">
        <v>383</v>
      </c>
      <c r="E245" s="56" t="s">
        <v>380</v>
      </c>
      <c r="F245" s="63" t="s">
        <v>384</v>
      </c>
      <c r="G245" s="62"/>
      <c r="H245" s="62"/>
      <c r="I245" s="62"/>
      <c r="J245" s="111">
        <f>90790-3</f>
        <v>90787</v>
      </c>
    </row>
    <row r="246" spans="2:10" ht="30">
      <c r="B246" s="56" t="s">
        <v>381</v>
      </c>
      <c r="C246" s="56" t="s">
        <v>382</v>
      </c>
      <c r="D246" s="56" t="s">
        <v>383</v>
      </c>
      <c r="E246" s="56" t="s">
        <v>380</v>
      </c>
      <c r="F246" s="63" t="s">
        <v>385</v>
      </c>
      <c r="G246" s="62"/>
      <c r="H246" s="62"/>
      <c r="I246" s="62"/>
      <c r="J246" s="111">
        <f>193780+1</f>
        <v>193781</v>
      </c>
    </row>
    <row r="247" spans="2:10" ht="30">
      <c r="B247" s="56" t="s">
        <v>381</v>
      </c>
      <c r="C247" s="56" t="s">
        <v>382</v>
      </c>
      <c r="D247" s="56" t="s">
        <v>383</v>
      </c>
      <c r="E247" s="56" t="s">
        <v>380</v>
      </c>
      <c r="F247" s="63" t="s">
        <v>386</v>
      </c>
      <c r="G247" s="62"/>
      <c r="H247" s="62"/>
      <c r="I247" s="62"/>
      <c r="J247" s="111">
        <f>(581450+2)-144569</f>
        <v>436883</v>
      </c>
    </row>
    <row r="248" spans="2:10" ht="30">
      <c r="B248" s="56" t="s">
        <v>381</v>
      </c>
      <c r="C248" s="56" t="s">
        <v>382</v>
      </c>
      <c r="D248" s="56" t="s">
        <v>383</v>
      </c>
      <c r="E248" s="56" t="s">
        <v>380</v>
      </c>
      <c r="F248" s="61" t="s">
        <v>387</v>
      </c>
      <c r="G248" s="62"/>
      <c r="H248" s="62"/>
      <c r="I248" s="62"/>
      <c r="J248" s="111">
        <v>478690</v>
      </c>
    </row>
    <row r="249" spans="2:10" ht="75">
      <c r="B249" s="415" t="s">
        <v>341</v>
      </c>
      <c r="C249" s="415"/>
      <c r="D249" s="415"/>
      <c r="E249" s="415" t="s">
        <v>336</v>
      </c>
      <c r="F249" s="431"/>
      <c r="G249" s="431"/>
      <c r="H249" s="431"/>
      <c r="I249" s="431"/>
      <c r="J249" s="424">
        <f>J250</f>
        <v>635700</v>
      </c>
    </row>
    <row r="250" spans="2:10" ht="85.5">
      <c r="B250" s="419" t="s">
        <v>342</v>
      </c>
      <c r="C250" s="419"/>
      <c r="D250" s="419"/>
      <c r="E250" s="419" t="s">
        <v>558</v>
      </c>
      <c r="F250" s="431"/>
      <c r="G250" s="431"/>
      <c r="H250" s="431"/>
      <c r="I250" s="431"/>
      <c r="J250" s="427">
        <f>SUM(J251:J258)</f>
        <v>635700</v>
      </c>
    </row>
    <row r="251" spans="2:10" ht="30">
      <c r="B251" s="56" t="s">
        <v>388</v>
      </c>
      <c r="C251" s="56" t="s">
        <v>389</v>
      </c>
      <c r="D251" s="56" t="s">
        <v>390</v>
      </c>
      <c r="E251" s="56" t="s">
        <v>391</v>
      </c>
      <c r="F251" s="63" t="s">
        <v>392</v>
      </c>
      <c r="G251" s="62"/>
      <c r="H251" s="62"/>
      <c r="I251" s="62"/>
      <c r="J251" s="111">
        <f>(90000)-90000</f>
        <v>0</v>
      </c>
    </row>
    <row r="252" spans="2:10" ht="30">
      <c r="B252" s="56" t="s">
        <v>388</v>
      </c>
      <c r="C252" s="56" t="s">
        <v>389</v>
      </c>
      <c r="D252" s="56" t="s">
        <v>390</v>
      </c>
      <c r="E252" s="56" t="s">
        <v>391</v>
      </c>
      <c r="F252" s="63" t="s">
        <v>393</v>
      </c>
      <c r="G252" s="62"/>
      <c r="H252" s="62"/>
      <c r="I252" s="62"/>
      <c r="J252" s="111">
        <f>(50000)-30000</f>
        <v>20000</v>
      </c>
    </row>
    <row r="253" spans="2:10" ht="45">
      <c r="B253" s="56" t="s">
        <v>388</v>
      </c>
      <c r="C253" s="56" t="s">
        <v>389</v>
      </c>
      <c r="D253" s="56" t="s">
        <v>390</v>
      </c>
      <c r="E253" s="56" t="s">
        <v>391</v>
      </c>
      <c r="F253" s="63" t="s">
        <v>394</v>
      </c>
      <c r="G253" s="62"/>
      <c r="H253" s="62"/>
      <c r="I253" s="62"/>
      <c r="J253" s="111">
        <f>(90000)-80000</f>
        <v>10000</v>
      </c>
    </row>
    <row r="254" spans="2:10" ht="45">
      <c r="B254" s="56" t="s">
        <v>388</v>
      </c>
      <c r="C254" s="56" t="s">
        <v>389</v>
      </c>
      <c r="D254" s="56" t="s">
        <v>390</v>
      </c>
      <c r="E254" s="56" t="s">
        <v>391</v>
      </c>
      <c r="F254" s="63" t="s">
        <v>395</v>
      </c>
      <c r="G254" s="62"/>
      <c r="H254" s="62"/>
      <c r="I254" s="62"/>
      <c r="J254" s="111">
        <f>(52000)-41300</f>
        <v>10700</v>
      </c>
    </row>
    <row r="255" spans="2:10" ht="30">
      <c r="B255" s="56" t="s">
        <v>388</v>
      </c>
      <c r="C255" s="56" t="s">
        <v>389</v>
      </c>
      <c r="D255" s="56" t="s">
        <v>390</v>
      </c>
      <c r="E255" s="56" t="s">
        <v>391</v>
      </c>
      <c r="F255" s="63" t="s">
        <v>396</v>
      </c>
      <c r="G255" s="62"/>
      <c r="H255" s="62"/>
      <c r="I255" s="62"/>
      <c r="J255" s="111">
        <v>95000</v>
      </c>
    </row>
    <row r="256" spans="2:10" ht="15">
      <c r="B256" s="56" t="s">
        <v>388</v>
      </c>
      <c r="C256" s="56" t="s">
        <v>389</v>
      </c>
      <c r="D256" s="56" t="s">
        <v>390</v>
      </c>
      <c r="E256" s="56" t="s">
        <v>391</v>
      </c>
      <c r="F256" s="86" t="s">
        <v>637</v>
      </c>
      <c r="G256" s="62"/>
      <c r="H256" s="62"/>
      <c r="I256" s="62"/>
      <c r="J256" s="111">
        <v>300000</v>
      </c>
    </row>
    <row r="257" spans="1:11" ht="45">
      <c r="B257" s="56" t="s">
        <v>388</v>
      </c>
      <c r="C257" s="56" t="s">
        <v>389</v>
      </c>
      <c r="D257" s="56" t="s">
        <v>390</v>
      </c>
      <c r="E257" s="56" t="s">
        <v>391</v>
      </c>
      <c r="F257" s="87" t="s">
        <v>397</v>
      </c>
      <c r="G257" s="62"/>
      <c r="H257" s="62"/>
      <c r="I257" s="62"/>
      <c r="J257" s="111">
        <v>200000</v>
      </c>
    </row>
    <row r="258" spans="1:11" ht="75">
      <c r="B258" s="56" t="s">
        <v>388</v>
      </c>
      <c r="C258" s="56" t="s">
        <v>389</v>
      </c>
      <c r="D258" s="56" t="s">
        <v>390</v>
      </c>
      <c r="E258" s="56" t="s">
        <v>391</v>
      </c>
      <c r="F258" s="87" t="s">
        <v>638</v>
      </c>
      <c r="G258" s="62"/>
      <c r="H258" s="62"/>
      <c r="I258" s="62"/>
      <c r="J258" s="111">
        <f>(123000)-123000</f>
        <v>0</v>
      </c>
    </row>
    <row r="259" spans="1:11" ht="30">
      <c r="B259" s="415" t="s">
        <v>348</v>
      </c>
      <c r="C259" s="415"/>
      <c r="D259" s="415"/>
      <c r="E259" s="415" t="s">
        <v>347</v>
      </c>
      <c r="F259" s="431"/>
      <c r="G259" s="431"/>
      <c r="H259" s="431"/>
      <c r="I259" s="431"/>
      <c r="J259" s="424">
        <f>J260</f>
        <v>203350.1</v>
      </c>
    </row>
    <row r="260" spans="1:11" ht="28.5">
      <c r="B260" s="419" t="s">
        <v>349</v>
      </c>
      <c r="C260" s="419"/>
      <c r="D260" s="419"/>
      <c r="E260" s="419" t="s">
        <v>422</v>
      </c>
      <c r="F260" s="431"/>
      <c r="G260" s="431"/>
      <c r="H260" s="431"/>
      <c r="I260" s="431"/>
      <c r="J260" s="427">
        <f>SUM(J261:J262)</f>
        <v>203350.1</v>
      </c>
    </row>
    <row r="261" spans="1:11" ht="15">
      <c r="B261" s="76" t="s">
        <v>189</v>
      </c>
      <c r="C261" s="76" t="s">
        <v>79</v>
      </c>
      <c r="D261" s="76" t="s">
        <v>465</v>
      </c>
      <c r="E261" s="76" t="s">
        <v>51</v>
      </c>
      <c r="F261" s="60" t="s">
        <v>576</v>
      </c>
      <c r="G261" s="62"/>
      <c r="H261" s="62"/>
      <c r="I261" s="62"/>
      <c r="J261" s="111">
        <v>82667</v>
      </c>
    </row>
    <row r="262" spans="1:11" ht="15">
      <c r="B262" s="76" t="s">
        <v>632</v>
      </c>
      <c r="C262" s="76" t="s">
        <v>628</v>
      </c>
      <c r="D262" s="56" t="s">
        <v>466</v>
      </c>
      <c r="E262" s="80" t="s">
        <v>629</v>
      </c>
      <c r="F262" s="60" t="s">
        <v>576</v>
      </c>
      <c r="G262" s="62"/>
      <c r="H262" s="62"/>
      <c r="I262" s="62"/>
      <c r="J262" s="84">
        <f>120683.1</f>
        <v>120683.1</v>
      </c>
    </row>
    <row r="263" spans="1:11" ht="24.75" customHeight="1">
      <c r="A263" s="116"/>
      <c r="B263" s="446"/>
      <c r="C263" s="446"/>
      <c r="D263" s="447"/>
      <c r="E263" s="448" t="s">
        <v>317</v>
      </c>
      <c r="F263" s="449"/>
      <c r="G263" s="449"/>
      <c r="H263" s="449"/>
      <c r="I263" s="449"/>
      <c r="J263" s="450">
        <f>J6+J22+J36+J50+J59+J78+J91+J201+J243+J249+J259</f>
        <v>503926060.93000007</v>
      </c>
      <c r="K263" s="37" t="b">
        <f>J263='dod3'!O196</f>
        <v>1</v>
      </c>
    </row>
    <row r="265" spans="1:11" ht="42.75" customHeight="1">
      <c r="B265" s="534" t="s">
        <v>847</v>
      </c>
      <c r="C265" s="534"/>
      <c r="D265" s="534"/>
      <c r="E265" s="534"/>
      <c r="F265" s="534"/>
      <c r="G265" s="534"/>
      <c r="H265" s="534"/>
      <c r="I265" s="534"/>
      <c r="J265" s="534"/>
    </row>
  </sheetData>
  <mergeCells count="31">
    <mergeCell ref="B1:J1"/>
    <mergeCell ref="G2:J2"/>
    <mergeCell ref="B3:J3"/>
    <mergeCell ref="G61:G62"/>
    <mergeCell ref="F61:F62"/>
    <mergeCell ref="B61:B62"/>
    <mergeCell ref="C61:C62"/>
    <mergeCell ref="D61:D62"/>
    <mergeCell ref="J61:J62"/>
    <mergeCell ref="H61:H62"/>
    <mergeCell ref="I61:I62"/>
    <mergeCell ref="H63:H65"/>
    <mergeCell ref="I63:I65"/>
    <mergeCell ref="J63:J65"/>
    <mergeCell ref="G63:G65"/>
    <mergeCell ref="B63:B65"/>
    <mergeCell ref="C63:C65"/>
    <mergeCell ref="D63:D65"/>
    <mergeCell ref="F63:F65"/>
    <mergeCell ref="F70:F72"/>
    <mergeCell ref="G70:G72"/>
    <mergeCell ref="H70:H72"/>
    <mergeCell ref="B265:J265"/>
    <mergeCell ref="I70:I72"/>
    <mergeCell ref="J70:J72"/>
    <mergeCell ref="B95:B97"/>
    <mergeCell ref="C95:C97"/>
    <mergeCell ref="D95:D97"/>
    <mergeCell ref="B70:B72"/>
    <mergeCell ref="C70:C72"/>
    <mergeCell ref="D70:D72"/>
  </mergeCells>
  <phoneticPr fontId="16" type="noConversion"/>
  <printOptions horizontalCentered="1"/>
  <pageMargins left="0.82677165354330717" right="0" top="0.31496062992125984" bottom="0.31496062992125984" header="0.23622047244094491" footer="0.19685039370078741"/>
  <pageSetup paperSize="9" scale="70" orientation="landscape" r:id="rId1"/>
  <headerFooter alignWithMargins="0">
    <oddFooter>&amp;R&amp;P</oddFooter>
  </headerFooter>
  <rowBreaks count="4" manualBreakCount="4">
    <brk id="165" min="1" max="9" man="1"/>
    <brk id="174" min="1" max="9" man="1"/>
    <brk id="242" min="1" max="9" man="1"/>
    <brk id="265" max="9" man="1"/>
  </rowBreaks>
</worksheet>
</file>

<file path=xl/worksheets/sheet6.xml><?xml version="1.0" encoding="utf-8"?>
<worksheet xmlns="http://schemas.openxmlformats.org/spreadsheetml/2006/main" xmlns:r="http://schemas.openxmlformats.org/officeDocument/2006/relationships">
  <dimension ref="A1:H42"/>
  <sheetViews>
    <sheetView zoomScale="85" zoomScaleNormal="75" zoomScaleSheetLayoutView="85" workbookViewId="0">
      <selection activeCell="D2" sqref="D2:E2"/>
    </sheetView>
  </sheetViews>
  <sheetFormatPr defaultColWidth="9.140625" defaultRowHeight="12.75"/>
  <cols>
    <col min="1" max="1" width="7" style="260" customWidth="1"/>
    <col min="2" max="2" width="23.5703125" style="260" customWidth="1"/>
    <col min="3" max="3" width="83.5703125" style="260" customWidth="1"/>
    <col min="4" max="4" width="18.28515625" style="260" customWidth="1"/>
    <col min="5" max="5" width="17" style="260" customWidth="1"/>
    <col min="6" max="6" width="14.7109375" style="260" customWidth="1"/>
    <col min="7" max="16384" width="9.140625" style="260"/>
  </cols>
  <sheetData>
    <row r="1" spans="1:8" ht="16.5" customHeight="1">
      <c r="A1" s="259"/>
      <c r="D1" s="469" t="s">
        <v>767</v>
      </c>
      <c r="E1" s="469"/>
    </row>
    <row r="2" spans="1:8" ht="16.5" customHeight="1">
      <c r="A2" s="259"/>
      <c r="D2" s="469" t="s">
        <v>959</v>
      </c>
      <c r="E2" s="560"/>
    </row>
    <row r="3" spans="1:8" ht="12.75" customHeight="1">
      <c r="A3" s="259"/>
      <c r="D3" s="469"/>
      <c r="E3" s="560"/>
    </row>
    <row r="4" spans="1:8" ht="12.75" customHeight="1">
      <c r="A4" s="259"/>
      <c r="D4" s="469"/>
      <c r="E4" s="471"/>
    </row>
    <row r="5" spans="1:8" ht="16.5">
      <c r="C5" s="261" t="s">
        <v>768</v>
      </c>
      <c r="D5" s="261"/>
      <c r="E5" s="261"/>
      <c r="F5" s="261"/>
    </row>
    <row r="6" spans="1:8" ht="16.5">
      <c r="A6" s="561" t="s">
        <v>769</v>
      </c>
      <c r="B6" s="561"/>
      <c r="C6" s="561"/>
      <c r="D6" s="561"/>
    </row>
    <row r="7" spans="1:8" ht="16.5">
      <c r="A7" s="561" t="s">
        <v>770</v>
      </c>
      <c r="B7" s="561"/>
      <c r="C7" s="561"/>
      <c r="D7" s="561"/>
    </row>
    <row r="8" spans="1:8" ht="16.5">
      <c r="D8" s="262" t="s">
        <v>578</v>
      </c>
      <c r="F8" s="261"/>
      <c r="G8" s="261"/>
      <c r="H8" s="263"/>
    </row>
    <row r="9" spans="1:8" s="264" customFormat="1" ht="26.25" customHeight="1">
      <c r="B9" s="265" t="s">
        <v>771</v>
      </c>
      <c r="C9" s="265" t="s">
        <v>772</v>
      </c>
      <c r="D9" s="266" t="s">
        <v>773</v>
      </c>
    </row>
    <row r="10" spans="1:8" s="264" customFormat="1" ht="39.75" customHeight="1">
      <c r="A10" s="267"/>
      <c r="B10" s="268" t="s">
        <v>774</v>
      </c>
      <c r="C10" s="269" t="s">
        <v>775</v>
      </c>
      <c r="D10" s="270">
        <v>200</v>
      </c>
    </row>
    <row r="11" spans="1:8" s="264" customFormat="1" ht="40.5" customHeight="1">
      <c r="B11" s="268" t="s">
        <v>776</v>
      </c>
      <c r="C11" s="269" t="s">
        <v>777</v>
      </c>
      <c r="D11" s="270">
        <f>3000000+200000</f>
        <v>3200000</v>
      </c>
    </row>
    <row r="12" spans="1:8" s="264" customFormat="1" ht="61.5" customHeight="1">
      <c r="B12" s="268" t="s">
        <v>778</v>
      </c>
      <c r="C12" s="269" t="s">
        <v>779</v>
      </c>
      <c r="D12" s="270">
        <v>5000</v>
      </c>
    </row>
    <row r="13" spans="1:8" s="264" customFormat="1" ht="61.5" customHeight="1">
      <c r="B13" s="268" t="s">
        <v>780</v>
      </c>
      <c r="C13" s="269" t="s">
        <v>781</v>
      </c>
      <c r="D13" s="270">
        <v>150000</v>
      </c>
    </row>
    <row r="14" spans="1:8" s="264" customFormat="1" ht="41.25" customHeight="1">
      <c r="B14" s="268" t="s">
        <v>782</v>
      </c>
      <c r="C14" s="269" t="s">
        <v>783</v>
      </c>
      <c r="D14" s="270">
        <v>3600</v>
      </c>
    </row>
    <row r="15" spans="1:8" s="264" customFormat="1" ht="26.25" customHeight="1">
      <c r="B15" s="268"/>
      <c r="C15" s="271" t="s">
        <v>784</v>
      </c>
      <c r="D15" s="272">
        <f>SUM(D10:D14)</f>
        <v>3358800</v>
      </c>
    </row>
    <row r="16" spans="1:8" s="264" customFormat="1" ht="26.25" customHeight="1">
      <c r="B16" s="268"/>
      <c r="C16" s="271" t="s">
        <v>785</v>
      </c>
      <c r="D16" s="272">
        <v>742165.89</v>
      </c>
    </row>
    <row r="17" spans="2:4" s="264" customFormat="1" ht="26.25" customHeight="1">
      <c r="B17" s="455"/>
      <c r="C17" s="456" t="s">
        <v>786</v>
      </c>
      <c r="D17" s="457">
        <f>D15+D16</f>
        <v>4100965.89</v>
      </c>
    </row>
    <row r="18" spans="2:4" s="264" customFormat="1" ht="30.75" customHeight="1">
      <c r="B18" s="268"/>
      <c r="C18" s="273" t="s">
        <v>787</v>
      </c>
      <c r="D18" s="274"/>
    </row>
    <row r="19" spans="2:4" s="264" customFormat="1" ht="43.5" customHeight="1">
      <c r="B19" s="268" t="s">
        <v>788</v>
      </c>
      <c r="C19" s="269" t="s">
        <v>789</v>
      </c>
      <c r="D19" s="270">
        <v>106500</v>
      </c>
    </row>
    <row r="20" spans="2:4" s="264" customFormat="1" ht="44.25" customHeight="1">
      <c r="B20" s="268" t="s">
        <v>790</v>
      </c>
      <c r="C20" s="269" t="s">
        <v>791</v>
      </c>
      <c r="D20" s="270">
        <v>121100</v>
      </c>
    </row>
    <row r="21" spans="2:4" s="264" customFormat="1" ht="61.5" customHeight="1">
      <c r="B21" s="268" t="s">
        <v>792</v>
      </c>
      <c r="C21" s="269" t="s">
        <v>793</v>
      </c>
      <c r="D21" s="270">
        <v>120000</v>
      </c>
    </row>
    <row r="22" spans="2:4" s="264" customFormat="1" ht="44.25" customHeight="1">
      <c r="B22" s="268" t="s">
        <v>794</v>
      </c>
      <c r="C22" s="269" t="s">
        <v>795</v>
      </c>
      <c r="D22" s="270">
        <v>140000</v>
      </c>
    </row>
    <row r="23" spans="2:4" s="264" customFormat="1" ht="32.25" customHeight="1">
      <c r="B23" s="268" t="s">
        <v>796</v>
      </c>
      <c r="C23" s="269" t="s">
        <v>797</v>
      </c>
      <c r="D23" s="270">
        <f>(134200)+2000</f>
        <v>136200</v>
      </c>
    </row>
    <row r="24" spans="2:4" s="264" customFormat="1" ht="40.5" customHeight="1">
      <c r="B24" s="268" t="s">
        <v>798</v>
      </c>
      <c r="C24" s="269" t="s">
        <v>799</v>
      </c>
      <c r="D24" s="270">
        <f>(535800)+35400</f>
        <v>571200</v>
      </c>
    </row>
    <row r="25" spans="2:4" s="264" customFormat="1" ht="82.5">
      <c r="B25" s="268" t="s">
        <v>800</v>
      </c>
      <c r="C25" s="269" t="s">
        <v>801</v>
      </c>
      <c r="D25" s="270">
        <f>(542165.89)+107379</f>
        <v>649544.89</v>
      </c>
    </row>
    <row r="26" spans="2:4" s="264" customFormat="1" ht="44.25" customHeight="1">
      <c r="B26" s="268" t="s">
        <v>802</v>
      </c>
      <c r="C26" s="275" t="s">
        <v>803</v>
      </c>
      <c r="D26" s="270">
        <v>20000</v>
      </c>
    </row>
    <row r="27" spans="2:4" s="264" customFormat="1" ht="76.5" customHeight="1">
      <c r="B27" s="268" t="s">
        <v>804</v>
      </c>
      <c r="C27" s="275" t="s">
        <v>805</v>
      </c>
      <c r="D27" s="270">
        <v>150000</v>
      </c>
    </row>
    <row r="28" spans="2:4" s="264" customFormat="1" ht="45.75" customHeight="1">
      <c r="B28" s="268" t="s">
        <v>806</v>
      </c>
      <c r="C28" s="269" t="s">
        <v>807</v>
      </c>
      <c r="D28" s="270">
        <f>((1761200+70000+200000)+162600)-107379</f>
        <v>2086421</v>
      </c>
    </row>
    <row r="29" spans="2:4" s="264" customFormat="1" ht="27.75" customHeight="1">
      <c r="B29" s="452"/>
      <c r="C29" s="453" t="s">
        <v>786</v>
      </c>
      <c r="D29" s="454">
        <f>D19+D20+D21+D22+D23+D24+D26+D27+D28+D25</f>
        <v>4100965.89</v>
      </c>
    </row>
    <row r="32" spans="2:4" ht="18.75">
      <c r="B32" s="558" t="s">
        <v>808</v>
      </c>
      <c r="C32" s="558"/>
      <c r="D32" s="276" t="s">
        <v>809</v>
      </c>
    </row>
    <row r="38" spans="2:5" ht="16.5">
      <c r="B38" s="559"/>
      <c r="C38" s="277"/>
      <c r="D38" s="278"/>
      <c r="E38" s="279"/>
    </row>
    <row r="39" spans="2:5" ht="16.5">
      <c r="B39" s="559"/>
      <c r="C39" s="280"/>
      <c r="D39" s="278"/>
      <c r="E39" s="279"/>
    </row>
    <row r="40" spans="2:5" ht="16.5">
      <c r="B40" s="559"/>
      <c r="C40" s="281"/>
      <c r="D40" s="278"/>
      <c r="E40" s="279"/>
    </row>
    <row r="41" spans="2:5" ht="16.5">
      <c r="B41" s="559"/>
      <c r="C41" s="277"/>
      <c r="D41" s="278"/>
      <c r="E41" s="279"/>
    </row>
    <row r="42" spans="2:5" ht="16.5">
      <c r="B42" s="559"/>
      <c r="C42" s="277"/>
      <c r="D42" s="278"/>
      <c r="E42" s="279"/>
    </row>
  </sheetData>
  <mergeCells count="8">
    <mergeCell ref="B32:C32"/>
    <mergeCell ref="B38:B42"/>
    <mergeCell ref="D1:E1"/>
    <mergeCell ref="D2:E2"/>
    <mergeCell ref="D3:E3"/>
    <mergeCell ref="D4:E4"/>
    <mergeCell ref="A6:D6"/>
    <mergeCell ref="A7:D7"/>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dimension ref="A1:F24"/>
  <sheetViews>
    <sheetView zoomScale="85" zoomScaleNormal="85" workbookViewId="0">
      <selection activeCell="F3" sqref="F3"/>
    </sheetView>
  </sheetViews>
  <sheetFormatPr defaultRowHeight="12.75"/>
  <cols>
    <col min="1" max="1" width="6.85546875" customWidth="1"/>
    <col min="2" max="2" width="15.140625" customWidth="1"/>
    <col min="3" max="3" width="15.28515625" customWidth="1"/>
    <col min="4" max="4" width="10.85546875" customWidth="1"/>
    <col min="5" max="5" width="58.140625" customWidth="1"/>
    <col min="6" max="6" width="15.85546875" style="6" customWidth="1"/>
  </cols>
  <sheetData>
    <row r="1" spans="1:6">
      <c r="A1" s="282"/>
      <c r="B1" s="282"/>
      <c r="C1" s="282"/>
      <c r="D1" s="282"/>
      <c r="E1" s="282"/>
      <c r="F1" s="283" t="s">
        <v>810</v>
      </c>
    </row>
    <row r="2" spans="1:6">
      <c r="A2" s="282"/>
      <c r="B2" s="282"/>
      <c r="C2" s="282"/>
      <c r="D2" s="282"/>
      <c r="E2" s="282"/>
      <c r="F2" s="283" t="s">
        <v>960</v>
      </c>
    </row>
    <row r="3" spans="1:6">
      <c r="A3" s="282"/>
      <c r="B3" s="282"/>
      <c r="C3" s="282"/>
      <c r="D3" s="282"/>
      <c r="E3" s="282"/>
      <c r="F3" s="283" t="s">
        <v>961</v>
      </c>
    </row>
    <row r="4" spans="1:6" ht="15.75">
      <c r="A4" s="562" t="s">
        <v>811</v>
      </c>
      <c r="B4" s="563"/>
      <c r="C4" s="563"/>
      <c r="D4" s="563"/>
      <c r="E4" s="563"/>
      <c r="F4" s="563"/>
    </row>
    <row r="5" spans="1:6" ht="15.75">
      <c r="A5" s="562" t="s">
        <v>812</v>
      </c>
      <c r="B5" s="563"/>
      <c r="C5" s="563"/>
      <c r="D5" s="563"/>
      <c r="E5" s="563"/>
      <c r="F5" s="563"/>
    </row>
    <row r="6" spans="1:6" ht="15.75">
      <c r="A6" s="564" t="s">
        <v>813</v>
      </c>
      <c r="B6" s="565"/>
      <c r="C6" s="565"/>
      <c r="D6" s="565"/>
      <c r="E6" s="565"/>
      <c r="F6" s="565"/>
    </row>
    <row r="7" spans="1:6" ht="59.25" customHeight="1">
      <c r="A7" s="284" t="s">
        <v>814</v>
      </c>
      <c r="B7" s="285" t="s">
        <v>946</v>
      </c>
      <c r="C7" s="285" t="s">
        <v>319</v>
      </c>
      <c r="D7" s="285" t="s">
        <v>225</v>
      </c>
      <c r="E7" s="284" t="s">
        <v>815</v>
      </c>
      <c r="F7" s="286" t="s">
        <v>816</v>
      </c>
    </row>
    <row r="8" spans="1:6" ht="33" customHeight="1">
      <c r="A8" s="287">
        <v>1</v>
      </c>
      <c r="B8" s="288" t="s">
        <v>544</v>
      </c>
      <c r="C8" s="288" t="s">
        <v>545</v>
      </c>
      <c r="D8" s="288" t="s">
        <v>546</v>
      </c>
      <c r="E8" s="289" t="s">
        <v>817</v>
      </c>
      <c r="F8" s="290">
        <v>197000</v>
      </c>
    </row>
    <row r="9" spans="1:6" ht="73.5" customHeight="1">
      <c r="A9" s="287">
        <v>2</v>
      </c>
      <c r="B9" s="288" t="s">
        <v>544</v>
      </c>
      <c r="C9" s="288" t="s">
        <v>545</v>
      </c>
      <c r="D9" s="288" t="s">
        <v>546</v>
      </c>
      <c r="E9" s="289" t="s">
        <v>818</v>
      </c>
      <c r="F9" s="290">
        <v>120000</v>
      </c>
    </row>
    <row r="10" spans="1:6" ht="71.25" customHeight="1">
      <c r="A10" s="287">
        <v>3</v>
      </c>
      <c r="B10" s="288" t="s">
        <v>544</v>
      </c>
      <c r="C10" s="288" t="s">
        <v>545</v>
      </c>
      <c r="D10" s="288" t="s">
        <v>546</v>
      </c>
      <c r="E10" s="291" t="s">
        <v>819</v>
      </c>
      <c r="F10" s="290">
        <v>140000</v>
      </c>
    </row>
    <row r="11" spans="1:6" ht="69.75" customHeight="1">
      <c r="A11" s="287">
        <v>4</v>
      </c>
      <c r="B11" s="288" t="s">
        <v>544</v>
      </c>
      <c r="C11" s="288" t="s">
        <v>545</v>
      </c>
      <c r="D11" s="288" t="s">
        <v>546</v>
      </c>
      <c r="E11" s="291" t="s">
        <v>820</v>
      </c>
      <c r="F11" s="290">
        <v>15036.32</v>
      </c>
    </row>
    <row r="12" spans="1:6" ht="43.5" customHeight="1">
      <c r="A12" s="287">
        <v>5</v>
      </c>
      <c r="B12" s="288" t="s">
        <v>544</v>
      </c>
      <c r="C12" s="288" t="s">
        <v>545</v>
      </c>
      <c r="D12" s="288" t="s">
        <v>546</v>
      </c>
      <c r="E12" s="289" t="s">
        <v>821</v>
      </c>
      <c r="F12" s="290">
        <v>15000</v>
      </c>
    </row>
    <row r="13" spans="1:6" ht="43.5" customHeight="1">
      <c r="A13" s="287">
        <v>6</v>
      </c>
      <c r="B13" s="288" t="s">
        <v>544</v>
      </c>
      <c r="C13" s="288" t="s">
        <v>545</v>
      </c>
      <c r="D13" s="288" t="s">
        <v>546</v>
      </c>
      <c r="E13" s="289" t="s">
        <v>821</v>
      </c>
      <c r="F13" s="290">
        <v>40000</v>
      </c>
    </row>
    <row r="14" spans="1:6" ht="27" customHeight="1">
      <c r="A14" s="287">
        <v>7</v>
      </c>
      <c r="B14" s="288" t="s">
        <v>544</v>
      </c>
      <c r="C14" s="288" t="s">
        <v>545</v>
      </c>
      <c r="D14" s="288" t="s">
        <v>546</v>
      </c>
      <c r="E14" s="292" t="s">
        <v>822</v>
      </c>
      <c r="F14" s="290">
        <v>90000</v>
      </c>
    </row>
    <row r="15" spans="1:6" ht="45.75" customHeight="1">
      <c r="A15" s="287">
        <v>8</v>
      </c>
      <c r="B15" s="288" t="s">
        <v>544</v>
      </c>
      <c r="C15" s="288" t="s">
        <v>545</v>
      </c>
      <c r="D15" s="288" t="s">
        <v>546</v>
      </c>
      <c r="E15" s="292" t="s">
        <v>823</v>
      </c>
      <c r="F15" s="290">
        <v>283000</v>
      </c>
    </row>
    <row r="16" spans="1:6" ht="67.5" customHeight="1">
      <c r="A16" s="287">
        <v>9</v>
      </c>
      <c r="B16" s="288" t="s">
        <v>548</v>
      </c>
      <c r="C16" s="288" t="s">
        <v>549</v>
      </c>
      <c r="D16" s="288" t="s">
        <v>550</v>
      </c>
      <c r="E16" s="289" t="s">
        <v>824</v>
      </c>
      <c r="F16" s="290">
        <v>50000</v>
      </c>
    </row>
    <row r="17" spans="1:6" ht="78.75" customHeight="1">
      <c r="A17" s="287">
        <v>10</v>
      </c>
      <c r="B17" s="288" t="s">
        <v>548</v>
      </c>
      <c r="C17" s="288" t="s">
        <v>549</v>
      </c>
      <c r="D17" s="288" t="s">
        <v>550</v>
      </c>
      <c r="E17" s="289" t="s">
        <v>825</v>
      </c>
      <c r="F17" s="290">
        <v>33000</v>
      </c>
    </row>
    <row r="18" spans="1:6" ht="84.75" customHeight="1">
      <c r="A18" s="287">
        <v>11</v>
      </c>
      <c r="B18" s="293" t="s">
        <v>551</v>
      </c>
      <c r="C18" s="293" t="s">
        <v>552</v>
      </c>
      <c r="D18" s="293" t="s">
        <v>553</v>
      </c>
      <c r="E18" s="289" t="s">
        <v>826</v>
      </c>
      <c r="F18" s="290">
        <v>65000</v>
      </c>
    </row>
    <row r="19" spans="1:6" ht="72" customHeight="1">
      <c r="A19" s="287">
        <v>12</v>
      </c>
      <c r="B19" s="293" t="s">
        <v>551</v>
      </c>
      <c r="C19" s="293" t="s">
        <v>552</v>
      </c>
      <c r="D19" s="293" t="s">
        <v>553</v>
      </c>
      <c r="E19" s="289" t="s">
        <v>827</v>
      </c>
      <c r="F19" s="290">
        <v>95000</v>
      </c>
    </row>
    <row r="20" spans="1:6" ht="83.25" customHeight="1">
      <c r="A20" s="287">
        <v>13</v>
      </c>
      <c r="B20" s="288" t="s">
        <v>554</v>
      </c>
      <c r="C20" s="288" t="s">
        <v>555</v>
      </c>
      <c r="D20" s="288" t="s">
        <v>556</v>
      </c>
      <c r="E20" s="289" t="s">
        <v>945</v>
      </c>
      <c r="F20" s="290">
        <v>80000</v>
      </c>
    </row>
    <row r="21" spans="1:6" ht="105.75" customHeight="1">
      <c r="A21" s="287">
        <v>14</v>
      </c>
      <c r="B21" s="288" t="s">
        <v>554</v>
      </c>
      <c r="C21" s="288" t="s">
        <v>555</v>
      </c>
      <c r="D21" s="288" t="s">
        <v>556</v>
      </c>
      <c r="E21" s="294" t="s">
        <v>828</v>
      </c>
      <c r="F21" s="295">
        <v>40000</v>
      </c>
    </row>
    <row r="22" spans="1:6" ht="15.75">
      <c r="A22" s="566" t="s">
        <v>829</v>
      </c>
      <c r="B22" s="566"/>
      <c r="C22" s="566"/>
      <c r="D22" s="566"/>
      <c r="E22" s="566"/>
      <c r="F22" s="458">
        <f>SUM(F8:F21)</f>
        <v>1263036.32</v>
      </c>
    </row>
    <row r="23" spans="1:6" ht="15.75">
      <c r="A23" s="296"/>
      <c r="B23" s="467" t="s">
        <v>732</v>
      </c>
      <c r="C23" s="296"/>
      <c r="D23" s="296"/>
      <c r="E23" s="296"/>
      <c r="F23" s="297" t="s">
        <v>947</v>
      </c>
    </row>
    <row r="24" spans="1:6" ht="15.75">
      <c r="A24" s="567"/>
      <c r="B24" s="567"/>
      <c r="C24" s="567"/>
      <c r="D24" s="567"/>
      <c r="E24" s="567"/>
      <c r="F24" s="298"/>
    </row>
  </sheetData>
  <mergeCells count="5">
    <mergeCell ref="A4:F4"/>
    <mergeCell ref="A5:F5"/>
    <mergeCell ref="A6:F6"/>
    <mergeCell ref="A22:E22"/>
    <mergeCell ref="A24:E24"/>
  </mergeCells>
  <pageMargins left="0.75" right="0.75" top="1" bottom="1" header="0.5" footer="0.5"/>
  <pageSetup paperSize="9" scale="66"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N185"/>
  <sheetViews>
    <sheetView tabSelected="1" view="pageBreakPreview" topLeftCell="B1" zoomScale="70" zoomScaleNormal="70" zoomScaleSheetLayoutView="70" zoomScalePageLayoutView="70" workbookViewId="0">
      <selection activeCell="F13" sqref="F13"/>
    </sheetView>
  </sheetViews>
  <sheetFormatPr defaultColWidth="7.85546875" defaultRowHeight="12.75"/>
  <cols>
    <col min="1" max="1" width="3.28515625" style="36" hidden="1" customWidth="1"/>
    <col min="2" max="2" width="14.140625" style="36" customWidth="1"/>
    <col min="3" max="3" width="13.28515625" style="36" customWidth="1"/>
    <col min="4" max="4" width="15.28515625" style="36" customWidth="1"/>
    <col min="5" max="5" width="46.28515625" style="36" customWidth="1"/>
    <col min="6" max="6" width="38.5703125" style="36" customWidth="1"/>
    <col min="7" max="9" width="18.140625" style="36" customWidth="1"/>
    <col min="10" max="10" width="3.7109375" style="37" customWidth="1"/>
    <col min="11" max="16384" width="7.85546875" style="37"/>
  </cols>
  <sheetData>
    <row r="1" spans="1:9" ht="31.5" customHeight="1">
      <c r="G1" s="519" t="s">
        <v>953</v>
      </c>
      <c r="H1" s="519"/>
      <c r="I1" s="519"/>
    </row>
    <row r="2" spans="1:9" ht="46.5" customHeight="1">
      <c r="B2" s="549" t="s">
        <v>322</v>
      </c>
      <c r="C2" s="550"/>
      <c r="D2" s="550"/>
      <c r="E2" s="550"/>
      <c r="F2" s="550"/>
      <c r="G2" s="550"/>
      <c r="H2" s="550"/>
      <c r="I2" s="550"/>
    </row>
    <row r="3" spans="1:9" ht="9" customHeight="1">
      <c r="B3" s="38"/>
      <c r="C3" s="39"/>
      <c r="D3" s="39"/>
      <c r="E3" s="39"/>
      <c r="F3" s="40"/>
      <c r="G3" s="40"/>
      <c r="H3" s="41"/>
      <c r="I3" s="42" t="s">
        <v>578</v>
      </c>
    </row>
    <row r="4" spans="1:9" ht="107.25" customHeight="1">
      <c r="A4" s="43"/>
      <c r="B4" s="53" t="s">
        <v>222</v>
      </c>
      <c r="C4" s="53" t="s">
        <v>319</v>
      </c>
      <c r="D4" s="44" t="s">
        <v>225</v>
      </c>
      <c r="E4" s="52" t="s">
        <v>313</v>
      </c>
      <c r="F4" s="46" t="s">
        <v>321</v>
      </c>
      <c r="G4" s="51" t="s">
        <v>212</v>
      </c>
      <c r="H4" s="46" t="s">
        <v>559</v>
      </c>
      <c r="I4" s="46" t="s">
        <v>320</v>
      </c>
    </row>
    <row r="5" spans="1:9" s="48" customFormat="1" ht="45">
      <c r="A5" s="47"/>
      <c r="B5" s="415" t="s">
        <v>223</v>
      </c>
      <c r="C5" s="415"/>
      <c r="D5" s="415"/>
      <c r="E5" s="416" t="s">
        <v>324</v>
      </c>
      <c r="F5" s="435"/>
      <c r="G5" s="424">
        <f>G6</f>
        <v>5049855.87</v>
      </c>
      <c r="H5" s="424">
        <f>H6</f>
        <v>7631278.1299999999</v>
      </c>
      <c r="I5" s="424">
        <f t="shared" ref="I5:I23" si="0">G5+H5</f>
        <v>12681134</v>
      </c>
    </row>
    <row r="6" spans="1:9" ht="42.75">
      <c r="B6" s="419" t="s">
        <v>226</v>
      </c>
      <c r="C6" s="419"/>
      <c r="D6" s="419"/>
      <c r="E6" s="420" t="s">
        <v>354</v>
      </c>
      <c r="F6" s="436"/>
      <c r="G6" s="427">
        <f>G7+G9+G13+G15+G16+G17+G18+G19+G20+G12+G21+G22+G23</f>
        <v>5049855.87</v>
      </c>
      <c r="H6" s="427">
        <f>H7+H9+H15+H16+H17+H18+H19+H20+H12+H21+H22+H14+H23</f>
        <v>7631278.1299999999</v>
      </c>
      <c r="I6" s="427">
        <f t="shared" si="0"/>
        <v>12681134</v>
      </c>
    </row>
    <row r="7" spans="1:9" ht="45">
      <c r="B7" s="76" t="s">
        <v>69</v>
      </c>
      <c r="C7" s="76" t="s">
        <v>70</v>
      </c>
      <c r="D7" s="76"/>
      <c r="E7" s="76" t="s">
        <v>71</v>
      </c>
      <c r="F7" s="68" t="s">
        <v>84</v>
      </c>
      <c r="G7" s="126">
        <f>G8</f>
        <v>1294622.3999999999</v>
      </c>
      <c r="H7" s="126">
        <f>H8</f>
        <v>263260.59999999998</v>
      </c>
      <c r="I7" s="126">
        <f t="shared" si="0"/>
        <v>1557883</v>
      </c>
    </row>
    <row r="8" spans="1:9" ht="60">
      <c r="B8" s="77" t="s">
        <v>72</v>
      </c>
      <c r="C8" s="77" t="s">
        <v>73</v>
      </c>
      <c r="D8" s="77" t="s">
        <v>74</v>
      </c>
      <c r="E8" s="77" t="s">
        <v>214</v>
      </c>
      <c r="F8" s="115" t="s">
        <v>84</v>
      </c>
      <c r="G8" s="110">
        <f>'dod3'!E17</f>
        <v>1294622.3999999999</v>
      </c>
      <c r="H8" s="110">
        <f>'dod3'!J17</f>
        <v>263260.59999999998</v>
      </c>
      <c r="I8" s="130">
        <f t="shared" si="0"/>
        <v>1557883</v>
      </c>
    </row>
    <row r="9" spans="1:9" ht="15">
      <c r="B9" s="76" t="s">
        <v>59</v>
      </c>
      <c r="C9" s="76" t="s">
        <v>60</v>
      </c>
      <c r="D9" s="76"/>
      <c r="E9" s="76" t="s">
        <v>61</v>
      </c>
      <c r="F9" s="115"/>
      <c r="G9" s="78">
        <f>G10+G11</f>
        <v>2489610</v>
      </c>
      <c r="H9" s="132"/>
      <c r="I9" s="336">
        <f t="shared" si="0"/>
        <v>2489610</v>
      </c>
    </row>
    <row r="10" spans="1:9" ht="60">
      <c r="B10" s="77" t="s">
        <v>62</v>
      </c>
      <c r="C10" s="77" t="s">
        <v>63</v>
      </c>
      <c r="D10" s="77" t="s">
        <v>64</v>
      </c>
      <c r="E10" s="77" t="s">
        <v>65</v>
      </c>
      <c r="F10" s="115" t="s">
        <v>204</v>
      </c>
      <c r="G10" s="78">
        <f>'dod3'!E19</f>
        <v>1581300</v>
      </c>
      <c r="H10" s="132">
        <f>'dod3'!J19</f>
        <v>0</v>
      </c>
      <c r="I10" s="132">
        <f t="shared" si="0"/>
        <v>1581300</v>
      </c>
    </row>
    <row r="11" spans="1:9" ht="62.25" customHeight="1">
      <c r="B11" s="77" t="s">
        <v>66</v>
      </c>
      <c r="C11" s="77" t="s">
        <v>67</v>
      </c>
      <c r="D11" s="77" t="s">
        <v>64</v>
      </c>
      <c r="E11" s="77" t="s">
        <v>68</v>
      </c>
      <c r="F11" s="115" t="s">
        <v>589</v>
      </c>
      <c r="G11" s="78">
        <f>'dod3'!E20</f>
        <v>908310</v>
      </c>
      <c r="H11" s="132">
        <f>'dod3'!J20</f>
        <v>0</v>
      </c>
      <c r="I11" s="132">
        <f t="shared" si="0"/>
        <v>908310</v>
      </c>
    </row>
    <row r="12" spans="1:9" ht="75" customHeight="1">
      <c r="B12" s="76" t="s">
        <v>54</v>
      </c>
      <c r="C12" s="76" t="s">
        <v>57</v>
      </c>
      <c r="D12" s="76" t="s">
        <v>58</v>
      </c>
      <c r="E12" s="76" t="s">
        <v>16</v>
      </c>
      <c r="F12" s="68" t="s">
        <v>84</v>
      </c>
      <c r="G12" s="78"/>
      <c r="H12" s="132">
        <v>200000</v>
      </c>
      <c r="I12" s="336">
        <f t="shared" si="0"/>
        <v>200000</v>
      </c>
    </row>
    <row r="13" spans="1:9" ht="75">
      <c r="B13" s="76" t="s">
        <v>54</v>
      </c>
      <c r="C13" s="76" t="s">
        <v>57</v>
      </c>
      <c r="D13" s="76" t="s">
        <v>58</v>
      </c>
      <c r="E13" s="76" t="s">
        <v>16</v>
      </c>
      <c r="F13" s="68" t="s">
        <v>227</v>
      </c>
      <c r="G13" s="84">
        <v>70501</v>
      </c>
      <c r="H13" s="136"/>
      <c r="I13" s="336">
        <f t="shared" si="0"/>
        <v>70501</v>
      </c>
    </row>
    <row r="14" spans="1:9" ht="45">
      <c r="B14" s="77" t="s">
        <v>852</v>
      </c>
      <c r="C14" s="356" t="s">
        <v>403</v>
      </c>
      <c r="D14" s="77" t="s">
        <v>401</v>
      </c>
      <c r="E14" s="79" t="s">
        <v>404</v>
      </c>
      <c r="F14" s="68" t="s">
        <v>596</v>
      </c>
      <c r="G14" s="84"/>
      <c r="H14" s="136">
        <f>'dod3'!O21</f>
        <v>795000</v>
      </c>
      <c r="I14" s="336">
        <f t="shared" si="0"/>
        <v>795000</v>
      </c>
    </row>
    <row r="15" spans="1:9" ht="120">
      <c r="B15" s="56" t="s">
        <v>621</v>
      </c>
      <c r="C15" s="56" t="s">
        <v>622</v>
      </c>
      <c r="D15" s="56" t="s">
        <v>466</v>
      </c>
      <c r="E15" s="80" t="s">
        <v>623</v>
      </c>
      <c r="F15" s="54" t="s">
        <v>0</v>
      </c>
      <c r="G15" s="84">
        <v>40907.47</v>
      </c>
      <c r="H15" s="136">
        <v>79092.53</v>
      </c>
      <c r="I15" s="336">
        <f t="shared" si="0"/>
        <v>120000</v>
      </c>
    </row>
    <row r="16" spans="1:9" ht="75">
      <c r="B16" s="56" t="s">
        <v>621</v>
      </c>
      <c r="C16" s="56" t="s">
        <v>622</v>
      </c>
      <c r="D16" s="56" t="s">
        <v>466</v>
      </c>
      <c r="E16" s="80" t="s">
        <v>623</v>
      </c>
      <c r="F16" s="54" t="s">
        <v>1</v>
      </c>
      <c r="G16" s="84">
        <v>189170</v>
      </c>
      <c r="H16" s="136">
        <f>(461140-400000+250000-50000)+500000-189170</f>
        <v>571970</v>
      </c>
      <c r="I16" s="336">
        <f t="shared" si="0"/>
        <v>761140</v>
      </c>
    </row>
    <row r="17" spans="2:9" ht="45">
      <c r="B17" s="56" t="s">
        <v>621</v>
      </c>
      <c r="C17" s="56" t="s">
        <v>622</v>
      </c>
      <c r="D17" s="56" t="s">
        <v>466</v>
      </c>
      <c r="E17" s="80" t="s">
        <v>623</v>
      </c>
      <c r="F17" s="54" t="s">
        <v>2</v>
      </c>
      <c r="G17" s="84"/>
      <c r="H17" s="136">
        <v>480000</v>
      </c>
      <c r="I17" s="336">
        <f t="shared" si="0"/>
        <v>480000</v>
      </c>
    </row>
    <row r="18" spans="2:9" ht="105">
      <c r="B18" s="56" t="s">
        <v>621</v>
      </c>
      <c r="C18" s="56" t="s">
        <v>622</v>
      </c>
      <c r="D18" s="56" t="s">
        <v>466</v>
      </c>
      <c r="E18" s="80" t="s">
        <v>623</v>
      </c>
      <c r="F18" s="68" t="s">
        <v>35</v>
      </c>
      <c r="G18" s="84"/>
      <c r="H18" s="136">
        <v>500000</v>
      </c>
      <c r="I18" s="336">
        <f t="shared" si="0"/>
        <v>500000</v>
      </c>
    </row>
    <row r="19" spans="2:9" ht="75">
      <c r="B19" s="56" t="s">
        <v>621</v>
      </c>
      <c r="C19" s="56" t="s">
        <v>622</v>
      </c>
      <c r="D19" s="56" t="s">
        <v>466</v>
      </c>
      <c r="E19" s="80" t="s">
        <v>623</v>
      </c>
      <c r="F19" s="68" t="s">
        <v>3</v>
      </c>
      <c r="G19" s="84">
        <f>(290145)+570000</f>
        <v>860145</v>
      </c>
      <c r="H19" s="136">
        <f>((744855)+100000)+500000+87000</f>
        <v>1431855</v>
      </c>
      <c r="I19" s="336">
        <f t="shared" si="0"/>
        <v>2292000</v>
      </c>
    </row>
    <row r="20" spans="2:9" ht="90">
      <c r="B20" s="56" t="s">
        <v>621</v>
      </c>
      <c r="C20" s="56" t="s">
        <v>622</v>
      </c>
      <c r="D20" s="56" t="s">
        <v>466</v>
      </c>
      <c r="E20" s="80" t="s">
        <v>623</v>
      </c>
      <c r="F20" s="68" t="s">
        <v>44</v>
      </c>
      <c r="G20" s="84">
        <f>(4900)+30000</f>
        <v>34900</v>
      </c>
      <c r="H20" s="136">
        <v>55100</v>
      </c>
      <c r="I20" s="336">
        <f t="shared" si="0"/>
        <v>90000</v>
      </c>
    </row>
    <row r="21" spans="2:9" ht="75">
      <c r="B21" s="353" t="s">
        <v>54</v>
      </c>
      <c r="C21" s="353" t="s">
        <v>57</v>
      </c>
      <c r="D21" s="353" t="s">
        <v>58</v>
      </c>
      <c r="E21" s="353" t="s">
        <v>16</v>
      </c>
      <c r="F21" s="68" t="s">
        <v>897</v>
      </c>
      <c r="G21" s="84"/>
      <c r="H21" s="136">
        <v>200000</v>
      </c>
      <c r="I21" s="336">
        <f t="shared" si="0"/>
        <v>200000</v>
      </c>
    </row>
    <row r="22" spans="2:9" ht="75">
      <c r="B22" s="56" t="s">
        <v>621</v>
      </c>
      <c r="C22" s="56" t="s">
        <v>622</v>
      </c>
      <c r="D22" s="56" t="s">
        <v>466</v>
      </c>
      <c r="E22" s="80" t="s">
        <v>623</v>
      </c>
      <c r="F22" s="68" t="s">
        <v>854</v>
      </c>
      <c r="G22" s="84">
        <v>70000</v>
      </c>
      <c r="H22" s="136"/>
      <c r="I22" s="336">
        <f t="shared" si="0"/>
        <v>70000</v>
      </c>
    </row>
    <row r="23" spans="2:9" ht="105">
      <c r="B23" s="56" t="s">
        <v>621</v>
      </c>
      <c r="C23" s="56" t="s">
        <v>622</v>
      </c>
      <c r="D23" s="56" t="s">
        <v>466</v>
      </c>
      <c r="E23" s="80" t="s">
        <v>623</v>
      </c>
      <c r="F23" s="143" t="s">
        <v>917</v>
      </c>
      <c r="G23" s="84"/>
      <c r="H23" s="136">
        <v>3055000</v>
      </c>
      <c r="I23" s="336">
        <f t="shared" si="0"/>
        <v>3055000</v>
      </c>
    </row>
    <row r="24" spans="2:9" ht="45">
      <c r="B24" s="415" t="s">
        <v>230</v>
      </c>
      <c r="C24" s="415"/>
      <c r="D24" s="415"/>
      <c r="E24" s="416" t="s">
        <v>30</v>
      </c>
      <c r="F24" s="437"/>
      <c r="G24" s="424">
        <f>G25</f>
        <v>713933152</v>
      </c>
      <c r="H24" s="424">
        <f>H25</f>
        <v>91531581</v>
      </c>
      <c r="I24" s="424">
        <f t="shared" ref="I24:I87" si="1">G24+H24</f>
        <v>805464733</v>
      </c>
    </row>
    <row r="25" spans="2:9" ht="42.75">
      <c r="B25" s="419" t="s">
        <v>231</v>
      </c>
      <c r="C25" s="419"/>
      <c r="D25" s="419"/>
      <c r="E25" s="420" t="s">
        <v>23</v>
      </c>
      <c r="F25" s="437"/>
      <c r="G25" s="427">
        <f>SUM(G26:G40)</f>
        <v>713933152</v>
      </c>
      <c r="H25" s="427">
        <f>SUM(H26:H40)</f>
        <v>91531581</v>
      </c>
      <c r="I25" s="427">
        <f t="shared" si="1"/>
        <v>805464733</v>
      </c>
    </row>
    <row r="26" spans="2:9" ht="45">
      <c r="B26" s="54" t="s">
        <v>232</v>
      </c>
      <c r="C26" s="54" t="s">
        <v>233</v>
      </c>
      <c r="D26" s="54" t="s">
        <v>234</v>
      </c>
      <c r="E26" s="54" t="s">
        <v>235</v>
      </c>
      <c r="F26" s="68" t="s">
        <v>227</v>
      </c>
      <c r="G26" s="136"/>
      <c r="H26" s="136">
        <v>99000</v>
      </c>
      <c r="I26" s="336">
        <f t="shared" si="1"/>
        <v>99000</v>
      </c>
    </row>
    <row r="27" spans="2:9" ht="30">
      <c r="B27" s="54" t="s">
        <v>232</v>
      </c>
      <c r="C27" s="54" t="s">
        <v>233</v>
      </c>
      <c r="D27" s="54" t="s">
        <v>234</v>
      </c>
      <c r="E27" s="54" t="s">
        <v>235</v>
      </c>
      <c r="F27" s="68" t="s">
        <v>199</v>
      </c>
      <c r="G27" s="136"/>
      <c r="H27" s="136">
        <v>100000</v>
      </c>
      <c r="I27" s="336">
        <f t="shared" si="1"/>
        <v>100000</v>
      </c>
    </row>
    <row r="28" spans="2:9" ht="75">
      <c r="B28" s="56" t="s">
        <v>236</v>
      </c>
      <c r="C28" s="56" t="s">
        <v>237</v>
      </c>
      <c r="D28" s="56" t="s">
        <v>238</v>
      </c>
      <c r="E28" s="56" t="s">
        <v>239</v>
      </c>
      <c r="F28" s="68" t="s">
        <v>593</v>
      </c>
      <c r="G28" s="136">
        <v>4020500</v>
      </c>
      <c r="H28" s="136"/>
      <c r="I28" s="336">
        <f t="shared" si="1"/>
        <v>4020500</v>
      </c>
    </row>
    <row r="29" spans="2:9" ht="75">
      <c r="B29" s="56" t="s">
        <v>236</v>
      </c>
      <c r="C29" s="56" t="s">
        <v>237</v>
      </c>
      <c r="D29" s="56" t="s">
        <v>238</v>
      </c>
      <c r="E29" s="56" t="s">
        <v>239</v>
      </c>
      <c r="F29" s="68" t="s">
        <v>198</v>
      </c>
      <c r="G29" s="136">
        <v>86500</v>
      </c>
      <c r="H29" s="136">
        <f>272640-86500-3225</f>
        <v>182915</v>
      </c>
      <c r="I29" s="336">
        <f t="shared" si="1"/>
        <v>269415</v>
      </c>
    </row>
    <row r="30" spans="2:9" ht="30">
      <c r="B30" s="56" t="s">
        <v>240</v>
      </c>
      <c r="C30" s="56" t="s">
        <v>241</v>
      </c>
      <c r="D30" s="56" t="s">
        <v>238</v>
      </c>
      <c r="E30" s="56" t="s">
        <v>242</v>
      </c>
      <c r="F30" s="68" t="s">
        <v>593</v>
      </c>
      <c r="G30" s="136">
        <v>1500</v>
      </c>
      <c r="H30" s="136"/>
      <c r="I30" s="336">
        <f t="shared" si="1"/>
        <v>1500</v>
      </c>
    </row>
    <row r="31" spans="2:9" ht="75">
      <c r="B31" s="56" t="s">
        <v>243</v>
      </c>
      <c r="C31" s="56" t="s">
        <v>244</v>
      </c>
      <c r="D31" s="56" t="s">
        <v>245</v>
      </c>
      <c r="E31" s="56" t="s">
        <v>246</v>
      </c>
      <c r="F31" s="68" t="s">
        <v>593</v>
      </c>
      <c r="G31" s="136">
        <v>22000</v>
      </c>
      <c r="H31" s="136"/>
      <c r="I31" s="336">
        <f t="shared" si="1"/>
        <v>22000</v>
      </c>
    </row>
    <row r="32" spans="2:9" ht="30">
      <c r="B32" s="56" t="s">
        <v>261</v>
      </c>
      <c r="C32" s="56" t="s">
        <v>262</v>
      </c>
      <c r="D32" s="56" t="s">
        <v>256</v>
      </c>
      <c r="E32" s="56" t="s">
        <v>263</v>
      </c>
      <c r="F32" s="68" t="s">
        <v>590</v>
      </c>
      <c r="G32" s="78">
        <f>'dod3'!E37</f>
        <v>1760400</v>
      </c>
      <c r="H32" s="136">
        <f>'dod3'!J37</f>
        <v>0</v>
      </c>
      <c r="I32" s="336">
        <f t="shared" si="1"/>
        <v>1760400</v>
      </c>
    </row>
    <row r="33" spans="2:9" ht="30">
      <c r="B33" s="56" t="s">
        <v>264</v>
      </c>
      <c r="C33" s="56" t="s">
        <v>265</v>
      </c>
      <c r="D33" s="56" t="s">
        <v>256</v>
      </c>
      <c r="E33" s="56" t="s">
        <v>266</v>
      </c>
      <c r="F33" s="68" t="s">
        <v>590</v>
      </c>
      <c r="G33" s="136">
        <f>'dod3'!E38</f>
        <v>6002804</v>
      </c>
      <c r="H33" s="136">
        <f>'dod3'!J38</f>
        <v>582260</v>
      </c>
      <c r="I33" s="336">
        <f t="shared" si="1"/>
        <v>6585064</v>
      </c>
    </row>
    <row r="34" spans="2:9" ht="30">
      <c r="B34" s="54" t="s">
        <v>232</v>
      </c>
      <c r="C34" s="54" t="s">
        <v>233</v>
      </c>
      <c r="D34" s="54" t="s">
        <v>234</v>
      </c>
      <c r="E34" s="54" t="s">
        <v>235</v>
      </c>
      <c r="F34" s="68" t="s">
        <v>590</v>
      </c>
      <c r="G34" s="136">
        <f>'dod3'!E29</f>
        <v>208302485</v>
      </c>
      <c r="H34" s="136">
        <f>'dod3'!J29</f>
        <v>45480413</v>
      </c>
      <c r="I34" s="336">
        <f t="shared" si="1"/>
        <v>253782898</v>
      </c>
    </row>
    <row r="35" spans="2:9" ht="75">
      <c r="B35" s="56" t="s">
        <v>236</v>
      </c>
      <c r="C35" s="56" t="s">
        <v>237</v>
      </c>
      <c r="D35" s="56" t="s">
        <v>238</v>
      </c>
      <c r="E35" s="56" t="s">
        <v>239</v>
      </c>
      <c r="F35" s="68" t="s">
        <v>590</v>
      </c>
      <c r="G35" s="136">
        <f>'dod3'!E30-G29-G28</f>
        <v>385722751</v>
      </c>
      <c r="H35" s="136">
        <f>'dod3'!J30-H29-H28</f>
        <v>36549178</v>
      </c>
      <c r="I35" s="336">
        <f t="shared" si="1"/>
        <v>422271929</v>
      </c>
    </row>
    <row r="36" spans="2:9" ht="30">
      <c r="B36" s="56" t="s">
        <v>240</v>
      </c>
      <c r="C36" s="56" t="s">
        <v>241</v>
      </c>
      <c r="D36" s="56" t="s">
        <v>238</v>
      </c>
      <c r="E36" s="56" t="s">
        <v>242</v>
      </c>
      <c r="F36" s="68" t="s">
        <v>590</v>
      </c>
      <c r="G36" s="136">
        <f>'dod3'!E31</f>
        <v>2174020</v>
      </c>
      <c r="H36" s="136"/>
      <c r="I36" s="336">
        <f t="shared" si="1"/>
        <v>2174020</v>
      </c>
    </row>
    <row r="37" spans="2:9" ht="75">
      <c r="B37" s="56" t="s">
        <v>243</v>
      </c>
      <c r="C37" s="56" t="s">
        <v>244</v>
      </c>
      <c r="D37" s="56" t="s">
        <v>245</v>
      </c>
      <c r="E37" s="56" t="s">
        <v>246</v>
      </c>
      <c r="F37" s="68" t="s">
        <v>590</v>
      </c>
      <c r="G37" s="136">
        <f>'dod3'!E32</f>
        <v>12093098</v>
      </c>
      <c r="H37" s="136">
        <f>'dod3'!J32</f>
        <v>81250</v>
      </c>
      <c r="I37" s="336">
        <f t="shared" si="1"/>
        <v>12174348</v>
      </c>
    </row>
    <row r="38" spans="2:9" ht="45">
      <c r="B38" s="56" t="s">
        <v>251</v>
      </c>
      <c r="C38" s="56" t="s">
        <v>252</v>
      </c>
      <c r="D38" s="56" t="s">
        <v>253</v>
      </c>
      <c r="E38" s="56" t="s">
        <v>378</v>
      </c>
      <c r="F38" s="68" t="s">
        <v>590</v>
      </c>
      <c r="G38" s="84">
        <f>'dod3'!E34</f>
        <v>86596245</v>
      </c>
      <c r="H38" s="136">
        <f>'dod3'!J34</f>
        <v>8285440</v>
      </c>
      <c r="I38" s="336">
        <f t="shared" si="1"/>
        <v>94881685</v>
      </c>
    </row>
    <row r="39" spans="2:9" ht="30">
      <c r="B39" s="333" t="s">
        <v>254</v>
      </c>
      <c r="C39" s="333" t="s">
        <v>255</v>
      </c>
      <c r="D39" s="333" t="s">
        <v>256</v>
      </c>
      <c r="E39" s="333" t="s">
        <v>257</v>
      </c>
      <c r="F39" s="68" t="s">
        <v>590</v>
      </c>
      <c r="G39" s="84">
        <f>'dod3'!E35</f>
        <v>3304936</v>
      </c>
      <c r="H39" s="136">
        <f>'dod3'!J35</f>
        <v>113125</v>
      </c>
      <c r="I39" s="336">
        <f t="shared" si="1"/>
        <v>3418061</v>
      </c>
    </row>
    <row r="40" spans="2:9" ht="30">
      <c r="B40" s="56" t="s">
        <v>258</v>
      </c>
      <c r="C40" s="56" t="s">
        <v>259</v>
      </c>
      <c r="D40" s="56" t="s">
        <v>256</v>
      </c>
      <c r="E40" s="56" t="s">
        <v>260</v>
      </c>
      <c r="F40" s="68" t="s">
        <v>590</v>
      </c>
      <c r="G40" s="84">
        <f>'dod3'!E36</f>
        <v>3845913</v>
      </c>
      <c r="H40" s="136">
        <f>'dod3'!J36</f>
        <v>58000</v>
      </c>
      <c r="I40" s="336">
        <f t="shared" si="1"/>
        <v>3903913</v>
      </c>
    </row>
    <row r="41" spans="2:9" ht="30">
      <c r="B41" s="415" t="s">
        <v>325</v>
      </c>
      <c r="C41" s="415"/>
      <c r="D41" s="415"/>
      <c r="E41" s="415" t="s">
        <v>326</v>
      </c>
      <c r="F41" s="437"/>
      <c r="G41" s="424">
        <f>G42</f>
        <v>30545902</v>
      </c>
      <c r="H41" s="424">
        <f>H42</f>
        <v>11325956.92</v>
      </c>
      <c r="I41" s="424">
        <f t="shared" si="1"/>
        <v>41871858.920000002</v>
      </c>
    </row>
    <row r="42" spans="2:9" ht="42.75">
      <c r="B42" s="419" t="s">
        <v>323</v>
      </c>
      <c r="C42" s="419"/>
      <c r="D42" s="419"/>
      <c r="E42" s="419" t="s">
        <v>413</v>
      </c>
      <c r="F42" s="437"/>
      <c r="G42" s="427">
        <f>G43+G45+G48+G51+G53+G56+G59+G60+G63</f>
        <v>30545902</v>
      </c>
      <c r="H42" s="427">
        <f>H43+H45+H48+H51+H53+H56+H58+H60+H63+H59</f>
        <v>11325956.92</v>
      </c>
      <c r="I42" s="427">
        <f>G42+H42</f>
        <v>41871858.920000002</v>
      </c>
    </row>
    <row r="43" spans="2:9" ht="45">
      <c r="B43" s="56" t="s">
        <v>491</v>
      </c>
      <c r="C43" s="56" t="s">
        <v>492</v>
      </c>
      <c r="D43" s="56"/>
      <c r="E43" s="56" t="s">
        <v>493</v>
      </c>
      <c r="F43" s="68" t="s">
        <v>639</v>
      </c>
      <c r="G43" s="136">
        <f>G44</f>
        <v>2023700</v>
      </c>
      <c r="H43" s="136">
        <f>H44</f>
        <v>0</v>
      </c>
      <c r="I43" s="336">
        <f t="shared" si="1"/>
        <v>2023700</v>
      </c>
    </row>
    <row r="44" spans="2:9" ht="57.75" customHeight="1">
      <c r="B44" s="55" t="s">
        <v>489</v>
      </c>
      <c r="C44" s="55" t="s">
        <v>490</v>
      </c>
      <c r="D44" s="55" t="s">
        <v>494</v>
      </c>
      <c r="E44" s="55" t="s">
        <v>495</v>
      </c>
      <c r="F44" s="115" t="s">
        <v>639</v>
      </c>
      <c r="G44" s="132">
        <f>'dod3'!E45</f>
        <v>2023700</v>
      </c>
      <c r="H44" s="132">
        <f>'dod3'!J45</f>
        <v>0</v>
      </c>
      <c r="I44" s="132">
        <f t="shared" si="1"/>
        <v>2023700</v>
      </c>
    </row>
    <row r="45" spans="2:9" ht="45">
      <c r="B45" s="56" t="s">
        <v>496</v>
      </c>
      <c r="C45" s="56" t="s">
        <v>497</v>
      </c>
      <c r="D45" s="56" t="s">
        <v>494</v>
      </c>
      <c r="E45" s="56" t="s">
        <v>357</v>
      </c>
      <c r="F45" s="68" t="s">
        <v>639</v>
      </c>
      <c r="G45" s="136">
        <f>G46+G47</f>
        <v>2806200</v>
      </c>
      <c r="H45" s="136">
        <f>H46+H47</f>
        <v>320000</v>
      </c>
      <c r="I45" s="336">
        <f t="shared" si="1"/>
        <v>3126200</v>
      </c>
    </row>
    <row r="46" spans="2:9" ht="45">
      <c r="B46" s="55" t="s">
        <v>358</v>
      </c>
      <c r="C46" s="55" t="s">
        <v>359</v>
      </c>
      <c r="D46" s="55" t="s">
        <v>494</v>
      </c>
      <c r="E46" s="55" t="s">
        <v>360</v>
      </c>
      <c r="F46" s="68" t="s">
        <v>639</v>
      </c>
      <c r="G46" s="136">
        <f>'dod3'!E47</f>
        <v>496000</v>
      </c>
      <c r="H46" s="136">
        <f>'dod3'!J47</f>
        <v>0</v>
      </c>
      <c r="I46" s="132">
        <f t="shared" si="1"/>
        <v>496000</v>
      </c>
    </row>
    <row r="47" spans="2:9" ht="45">
      <c r="B47" s="55" t="s">
        <v>362</v>
      </c>
      <c r="C47" s="55" t="s">
        <v>363</v>
      </c>
      <c r="D47" s="55" t="s">
        <v>494</v>
      </c>
      <c r="E47" s="55" t="s">
        <v>361</v>
      </c>
      <c r="F47" s="68" t="s">
        <v>639</v>
      </c>
      <c r="G47" s="136">
        <f>'dod3'!E48</f>
        <v>2310200</v>
      </c>
      <c r="H47" s="136">
        <f>'dod3'!J48</f>
        <v>320000</v>
      </c>
      <c r="I47" s="132">
        <f t="shared" si="1"/>
        <v>2630200</v>
      </c>
    </row>
    <row r="48" spans="2:9" ht="45">
      <c r="B48" s="56" t="s">
        <v>500</v>
      </c>
      <c r="C48" s="56" t="s">
        <v>501</v>
      </c>
      <c r="D48" s="56"/>
      <c r="E48" s="56" t="s">
        <v>502</v>
      </c>
      <c r="F48" s="68" t="s">
        <v>639</v>
      </c>
      <c r="G48" s="136">
        <f>G49+G50</f>
        <v>7934641</v>
      </c>
      <c r="H48" s="136">
        <f>H49+H50</f>
        <v>0</v>
      </c>
      <c r="I48" s="336">
        <f t="shared" si="1"/>
        <v>7934641</v>
      </c>
    </row>
    <row r="49" spans="2:9" ht="59.25" customHeight="1">
      <c r="B49" s="55" t="s">
        <v>503</v>
      </c>
      <c r="C49" s="55" t="s">
        <v>505</v>
      </c>
      <c r="D49" s="55" t="s">
        <v>506</v>
      </c>
      <c r="E49" s="55" t="s">
        <v>504</v>
      </c>
      <c r="F49" s="115" t="s">
        <v>639</v>
      </c>
      <c r="G49" s="132">
        <f>'dod3'!E51</f>
        <v>6596101</v>
      </c>
      <c r="H49" s="132">
        <f>'dod3'!J51</f>
        <v>0</v>
      </c>
      <c r="I49" s="132">
        <f t="shared" si="1"/>
        <v>6596101</v>
      </c>
    </row>
    <row r="50" spans="2:9" ht="63" customHeight="1">
      <c r="B50" s="55" t="s">
        <v>507</v>
      </c>
      <c r="C50" s="55" t="s">
        <v>508</v>
      </c>
      <c r="D50" s="55" t="s">
        <v>506</v>
      </c>
      <c r="E50" s="55" t="s">
        <v>53</v>
      </c>
      <c r="F50" s="115" t="s">
        <v>639</v>
      </c>
      <c r="G50" s="132">
        <f>'dod3'!E52</f>
        <v>1338540</v>
      </c>
      <c r="H50" s="132">
        <f>'dod3'!J52</f>
        <v>0</v>
      </c>
      <c r="I50" s="132">
        <f t="shared" si="1"/>
        <v>1338540</v>
      </c>
    </row>
    <row r="51" spans="2:9" ht="45">
      <c r="B51" s="90">
        <v>1115020</v>
      </c>
      <c r="C51" s="90">
        <v>5020</v>
      </c>
      <c r="D51" s="90"/>
      <c r="E51" s="56" t="s">
        <v>516</v>
      </c>
      <c r="F51" s="68" t="s">
        <v>639</v>
      </c>
      <c r="G51" s="136">
        <f>G52</f>
        <v>11500</v>
      </c>
      <c r="H51" s="136">
        <f>H52</f>
        <v>0</v>
      </c>
      <c r="I51" s="336">
        <f t="shared" si="1"/>
        <v>11500</v>
      </c>
    </row>
    <row r="52" spans="2:9" ht="63" customHeight="1">
      <c r="B52" s="91">
        <v>1115022</v>
      </c>
      <c r="C52" s="91">
        <v>5022</v>
      </c>
      <c r="D52" s="55" t="s">
        <v>506</v>
      </c>
      <c r="E52" s="55" t="s">
        <v>52</v>
      </c>
      <c r="F52" s="115" t="s">
        <v>639</v>
      </c>
      <c r="G52" s="132">
        <f>'dod3'!E54</f>
        <v>11500</v>
      </c>
      <c r="H52" s="132">
        <f>'dod3'!J54</f>
        <v>0</v>
      </c>
      <c r="I52" s="132">
        <f t="shared" si="1"/>
        <v>11500</v>
      </c>
    </row>
    <row r="53" spans="2:9" ht="45">
      <c r="B53" s="56" t="s">
        <v>365</v>
      </c>
      <c r="C53" s="56" t="s">
        <v>366</v>
      </c>
      <c r="D53" s="56"/>
      <c r="E53" s="56" t="s">
        <v>367</v>
      </c>
      <c r="F53" s="68" t="s">
        <v>639</v>
      </c>
      <c r="G53" s="136">
        <f>G54+G55</f>
        <v>15691991</v>
      </c>
      <c r="H53" s="136">
        <f>H54+H55</f>
        <v>9880400</v>
      </c>
      <c r="I53" s="336">
        <f t="shared" si="1"/>
        <v>25572391</v>
      </c>
    </row>
    <row r="54" spans="2:9" ht="66.75" customHeight="1">
      <c r="B54" s="55" t="s">
        <v>364</v>
      </c>
      <c r="C54" s="55" t="s">
        <v>368</v>
      </c>
      <c r="D54" s="55" t="s">
        <v>506</v>
      </c>
      <c r="E54" s="55" t="s">
        <v>514</v>
      </c>
      <c r="F54" s="115" t="s">
        <v>639</v>
      </c>
      <c r="G54" s="132">
        <f>'dod3'!E56</f>
        <v>13024291</v>
      </c>
      <c r="H54" s="132">
        <f>'dod3'!J56</f>
        <v>9880400</v>
      </c>
      <c r="I54" s="132">
        <f t="shared" si="1"/>
        <v>22904691</v>
      </c>
    </row>
    <row r="55" spans="2:9" ht="61.5" customHeight="1">
      <c r="B55" s="55" t="s">
        <v>369</v>
      </c>
      <c r="C55" s="55" t="s">
        <v>370</v>
      </c>
      <c r="D55" s="55" t="s">
        <v>506</v>
      </c>
      <c r="E55" s="55" t="s">
        <v>515</v>
      </c>
      <c r="F55" s="115" t="s">
        <v>591</v>
      </c>
      <c r="G55" s="132">
        <f>'dod3'!E57</f>
        <v>2667700</v>
      </c>
      <c r="H55" s="132">
        <f>'dod3'!J57</f>
        <v>0</v>
      </c>
      <c r="I55" s="132">
        <f t="shared" si="1"/>
        <v>2667700</v>
      </c>
    </row>
    <row r="56" spans="2:9" ht="45">
      <c r="B56" s="56" t="s">
        <v>517</v>
      </c>
      <c r="C56" s="56" t="s">
        <v>518</v>
      </c>
      <c r="D56" s="56"/>
      <c r="E56" s="56" t="s">
        <v>371</v>
      </c>
      <c r="F56" s="68" t="s">
        <v>639</v>
      </c>
      <c r="G56" s="132">
        <f>G57+G58</f>
        <v>696700</v>
      </c>
      <c r="H56" s="132">
        <f>H57+H58</f>
        <v>37500</v>
      </c>
      <c r="I56" s="336">
        <f t="shared" si="1"/>
        <v>734200</v>
      </c>
    </row>
    <row r="57" spans="2:9" ht="63.75" customHeight="1">
      <c r="B57" s="118" t="s">
        <v>372</v>
      </c>
      <c r="C57" s="118" t="s">
        <v>373</v>
      </c>
      <c r="D57" s="118" t="s">
        <v>506</v>
      </c>
      <c r="E57" s="55" t="s">
        <v>374</v>
      </c>
      <c r="F57" s="115" t="s">
        <v>639</v>
      </c>
      <c r="G57" s="132">
        <f>'dod3'!E59</f>
        <v>272300</v>
      </c>
      <c r="H57" s="132">
        <f>'dod3'!J59</f>
        <v>0</v>
      </c>
      <c r="I57" s="132">
        <f t="shared" si="1"/>
        <v>272300</v>
      </c>
    </row>
    <row r="58" spans="2:9" ht="58.5" customHeight="1">
      <c r="B58" s="118" t="s">
        <v>375</v>
      </c>
      <c r="C58" s="118" t="s">
        <v>376</v>
      </c>
      <c r="D58" s="118" t="s">
        <v>506</v>
      </c>
      <c r="E58" s="55" t="s">
        <v>377</v>
      </c>
      <c r="F58" s="115" t="s">
        <v>639</v>
      </c>
      <c r="G58" s="132">
        <f>'dod3'!E60</f>
        <v>424400</v>
      </c>
      <c r="H58" s="132">
        <f>'dod3'!J60</f>
        <v>37500</v>
      </c>
      <c r="I58" s="132">
        <f t="shared" si="1"/>
        <v>461900</v>
      </c>
    </row>
    <row r="59" spans="2:9" ht="45">
      <c r="B59" s="56" t="s">
        <v>498</v>
      </c>
      <c r="C59" s="56" t="s">
        <v>499</v>
      </c>
      <c r="D59" s="56" t="s">
        <v>494</v>
      </c>
      <c r="E59" s="56" t="s">
        <v>51</v>
      </c>
      <c r="F59" s="68" t="s">
        <v>639</v>
      </c>
      <c r="G59" s="136">
        <f>'dod3'!E49</f>
        <v>1055800</v>
      </c>
      <c r="H59" s="132">
        <f>'dod3'!J49</f>
        <v>20900</v>
      </c>
      <c r="I59" s="336">
        <f t="shared" si="1"/>
        <v>1076700</v>
      </c>
    </row>
    <row r="60" spans="2:9" ht="45">
      <c r="B60" s="56" t="s">
        <v>523</v>
      </c>
      <c r="C60" s="56" t="s">
        <v>520</v>
      </c>
      <c r="D60" s="56"/>
      <c r="E60" s="50" t="s">
        <v>521</v>
      </c>
      <c r="F60" s="68" t="s">
        <v>639</v>
      </c>
      <c r="G60" s="136">
        <f>G61+G62</f>
        <v>325370</v>
      </c>
      <c r="H60" s="136">
        <f>H61+H62</f>
        <v>122900.92</v>
      </c>
      <c r="I60" s="336">
        <f t="shared" si="1"/>
        <v>448270.92</v>
      </c>
    </row>
    <row r="61" spans="2:9" ht="60" customHeight="1">
      <c r="B61" s="55" t="s">
        <v>524</v>
      </c>
      <c r="C61" s="55" t="s">
        <v>525</v>
      </c>
      <c r="D61" s="55" t="s">
        <v>522</v>
      </c>
      <c r="E61" s="73" t="s">
        <v>566</v>
      </c>
      <c r="F61" s="115" t="s">
        <v>639</v>
      </c>
      <c r="G61" s="132">
        <f>'dod4'!F12</f>
        <v>300000</v>
      </c>
      <c r="H61" s="132">
        <f>'dod4'!G12</f>
        <v>122900.92</v>
      </c>
      <c r="I61" s="132">
        <f t="shared" si="1"/>
        <v>422900.92</v>
      </c>
    </row>
    <row r="62" spans="2:9" ht="61.5" customHeight="1">
      <c r="B62" s="118" t="s">
        <v>625</v>
      </c>
      <c r="C62" s="118" t="s">
        <v>626</v>
      </c>
      <c r="D62" s="118" t="s">
        <v>522</v>
      </c>
      <c r="E62" s="55" t="s">
        <v>627</v>
      </c>
      <c r="F62" s="115" t="s">
        <v>639</v>
      </c>
      <c r="G62" s="132">
        <f>'dod3'!E63</f>
        <v>25370</v>
      </c>
      <c r="H62" s="132"/>
      <c r="I62" s="132">
        <f t="shared" si="1"/>
        <v>25370</v>
      </c>
    </row>
    <row r="63" spans="2:9" ht="59.25" customHeight="1">
      <c r="B63" s="129" t="s">
        <v>624</v>
      </c>
      <c r="C63" s="129" t="s">
        <v>403</v>
      </c>
      <c r="D63" s="129" t="s">
        <v>401</v>
      </c>
      <c r="E63" s="56" t="s">
        <v>404</v>
      </c>
      <c r="F63" s="115" t="s">
        <v>639</v>
      </c>
      <c r="G63" s="136"/>
      <c r="H63" s="136">
        <f>'dod3'!J61</f>
        <v>906756</v>
      </c>
      <c r="I63" s="336">
        <f t="shared" ref="I63:I70" si="2">G63+H63</f>
        <v>906756</v>
      </c>
    </row>
    <row r="64" spans="2:9" ht="30">
      <c r="B64" s="438" t="s">
        <v>288</v>
      </c>
      <c r="C64" s="439"/>
      <c r="D64" s="439"/>
      <c r="E64" s="416" t="s">
        <v>286</v>
      </c>
      <c r="F64" s="440"/>
      <c r="G64" s="435">
        <f>G65</f>
        <v>69064100</v>
      </c>
      <c r="H64" s="435">
        <f>H65</f>
        <v>3186336</v>
      </c>
      <c r="I64" s="435">
        <f t="shared" si="2"/>
        <v>72250436</v>
      </c>
    </row>
    <row r="65" spans="2:9" ht="42.75">
      <c r="B65" s="415" t="s">
        <v>289</v>
      </c>
      <c r="C65" s="415"/>
      <c r="D65" s="415"/>
      <c r="E65" s="420" t="s">
        <v>287</v>
      </c>
      <c r="F65" s="437"/>
      <c r="G65" s="436">
        <f>G66+G68+G69+G70+G67</f>
        <v>69064100</v>
      </c>
      <c r="H65" s="436">
        <f>H66+H68+H69+H70+H67</f>
        <v>3186336</v>
      </c>
      <c r="I65" s="436">
        <f t="shared" si="2"/>
        <v>72250436</v>
      </c>
    </row>
    <row r="66" spans="2:9" ht="30">
      <c r="B66" s="56" t="s">
        <v>290</v>
      </c>
      <c r="C66" s="56" t="s">
        <v>291</v>
      </c>
      <c r="D66" s="56" t="s">
        <v>292</v>
      </c>
      <c r="E66" s="56" t="s">
        <v>293</v>
      </c>
      <c r="F66" s="68" t="s">
        <v>592</v>
      </c>
      <c r="G66" s="60">
        <v>23026700</v>
      </c>
      <c r="H66" s="60">
        <v>1362300</v>
      </c>
      <c r="I66" s="89">
        <f t="shared" si="2"/>
        <v>24389000</v>
      </c>
    </row>
    <row r="67" spans="2:9" ht="45">
      <c r="B67" s="56" t="s">
        <v>290</v>
      </c>
      <c r="C67" s="56" t="s">
        <v>291</v>
      </c>
      <c r="D67" s="56" t="s">
        <v>292</v>
      </c>
      <c r="E67" s="56" t="s">
        <v>293</v>
      </c>
      <c r="F67" s="68" t="s">
        <v>227</v>
      </c>
      <c r="G67" s="60"/>
      <c r="H67" s="60">
        <v>342076</v>
      </c>
      <c r="I67" s="89">
        <f t="shared" si="2"/>
        <v>342076</v>
      </c>
    </row>
    <row r="68" spans="2:9" ht="45">
      <c r="B68" s="56" t="s">
        <v>302</v>
      </c>
      <c r="C68" s="56" t="s">
        <v>303</v>
      </c>
      <c r="D68" s="56" t="s">
        <v>304</v>
      </c>
      <c r="E68" s="56" t="s">
        <v>305</v>
      </c>
      <c r="F68" s="68" t="s">
        <v>218</v>
      </c>
      <c r="G68" s="60">
        <f>750000+500000</f>
        <v>1250000</v>
      </c>
      <c r="H68" s="60"/>
      <c r="I68" s="89">
        <f t="shared" si="2"/>
        <v>1250000</v>
      </c>
    </row>
    <row r="69" spans="2:9" ht="30">
      <c r="B69" s="56" t="s">
        <v>294</v>
      </c>
      <c r="C69" s="56" t="s">
        <v>295</v>
      </c>
      <c r="D69" s="56" t="s">
        <v>296</v>
      </c>
      <c r="E69" s="56" t="s">
        <v>297</v>
      </c>
      <c r="F69" s="68" t="s">
        <v>592</v>
      </c>
      <c r="G69" s="58">
        <f>'dod3'!E67</f>
        <v>44587400</v>
      </c>
      <c r="H69" s="60">
        <f>'dod3'!J67</f>
        <v>1481960</v>
      </c>
      <c r="I69" s="89">
        <f t="shared" si="2"/>
        <v>46069360</v>
      </c>
    </row>
    <row r="70" spans="2:9" ht="60">
      <c r="B70" s="76" t="s">
        <v>310</v>
      </c>
      <c r="C70" s="76" t="s">
        <v>311</v>
      </c>
      <c r="D70" s="76" t="s">
        <v>312</v>
      </c>
      <c r="E70" s="76" t="s">
        <v>577</v>
      </c>
      <c r="F70" s="68" t="s">
        <v>592</v>
      </c>
      <c r="G70" s="60">
        <v>200000</v>
      </c>
      <c r="H70" s="60"/>
      <c r="I70" s="89">
        <f t="shared" si="2"/>
        <v>200000</v>
      </c>
    </row>
    <row r="71" spans="2:9" ht="45">
      <c r="B71" s="415" t="s">
        <v>331</v>
      </c>
      <c r="C71" s="415"/>
      <c r="D71" s="415"/>
      <c r="E71" s="416" t="s">
        <v>415</v>
      </c>
      <c r="F71" s="440"/>
      <c r="G71" s="424">
        <f>G72</f>
        <v>808911697.42999995</v>
      </c>
      <c r="H71" s="424">
        <f>H72</f>
        <v>4867384.04</v>
      </c>
      <c r="I71" s="424">
        <f t="shared" si="1"/>
        <v>813779081.46999991</v>
      </c>
    </row>
    <row r="72" spans="2:9" ht="42.75">
      <c r="B72" s="419" t="s">
        <v>332</v>
      </c>
      <c r="C72" s="419"/>
      <c r="D72" s="419"/>
      <c r="E72" s="420" t="s">
        <v>416</v>
      </c>
      <c r="F72" s="437"/>
      <c r="G72" s="427">
        <f>G73+G74+G75+G89+G93+G103+G104+G105+G109+G119+G120+G121+G124+G125</f>
        <v>808911697.42999995</v>
      </c>
      <c r="H72" s="427">
        <f>H73+H74+H75+H89+H93+H103+H104+H105+H109+H119+H120+H121+H124+H125+H127</f>
        <v>4867384.04</v>
      </c>
      <c r="I72" s="427">
        <f t="shared" si="1"/>
        <v>813779081.46999991</v>
      </c>
    </row>
    <row r="73" spans="2:9" ht="30">
      <c r="B73" s="76" t="s">
        <v>88</v>
      </c>
      <c r="C73" s="76" t="s">
        <v>89</v>
      </c>
      <c r="D73" s="76" t="s">
        <v>248</v>
      </c>
      <c r="E73" s="76" t="s">
        <v>90</v>
      </c>
      <c r="F73" s="143" t="s">
        <v>593</v>
      </c>
      <c r="G73" s="136">
        <f>'dod3'!E131-G74</f>
        <v>17886650</v>
      </c>
      <c r="H73" s="136">
        <f>'dod3'!J131-H74</f>
        <v>150000</v>
      </c>
      <c r="I73" s="336">
        <f t="shared" si="1"/>
        <v>18036650</v>
      </c>
    </row>
    <row r="74" spans="2:9" ht="45">
      <c r="B74" s="76" t="s">
        <v>88</v>
      </c>
      <c r="C74" s="76" t="s">
        <v>89</v>
      </c>
      <c r="D74" s="76" t="s">
        <v>248</v>
      </c>
      <c r="E74" s="76" t="s">
        <v>90</v>
      </c>
      <c r="F74" s="143" t="s">
        <v>218</v>
      </c>
      <c r="G74" s="136">
        <f>10950+508600+1000000+730000+100000+180000</f>
        <v>2529550</v>
      </c>
      <c r="H74" s="136">
        <f>140000+37352</f>
        <v>177352</v>
      </c>
      <c r="I74" s="336">
        <f t="shared" si="1"/>
        <v>2706902</v>
      </c>
    </row>
    <row r="75" spans="2:9" ht="75">
      <c r="B75" s="92" t="s">
        <v>100</v>
      </c>
      <c r="C75" s="92" t="s">
        <v>101</v>
      </c>
      <c r="D75" s="92"/>
      <c r="E75" s="93" t="s">
        <v>102</v>
      </c>
      <c r="F75" s="68" t="s">
        <v>593</v>
      </c>
      <c r="G75" s="136">
        <f>G76+G79+G86+G87+G88</f>
        <v>405946266.62</v>
      </c>
      <c r="H75" s="136">
        <f>H76+H79+H86+H87+H88</f>
        <v>0</v>
      </c>
      <c r="I75" s="336">
        <f t="shared" si="1"/>
        <v>405946266.62</v>
      </c>
    </row>
    <row r="76" spans="2:9" ht="102" customHeight="1">
      <c r="B76" s="577" t="s">
        <v>103</v>
      </c>
      <c r="C76" s="577" t="s">
        <v>104</v>
      </c>
      <c r="D76" s="577" t="s">
        <v>241</v>
      </c>
      <c r="E76" s="94" t="s">
        <v>105</v>
      </c>
      <c r="F76" s="572" t="s">
        <v>593</v>
      </c>
      <c r="G76" s="571">
        <v>37915860.689999998</v>
      </c>
      <c r="H76" s="571"/>
      <c r="I76" s="580">
        <f t="shared" si="1"/>
        <v>37915860.689999998</v>
      </c>
    </row>
    <row r="77" spans="2:9" ht="89.25" customHeight="1">
      <c r="B77" s="578"/>
      <c r="C77" s="575"/>
      <c r="D77" s="575"/>
      <c r="E77" s="95" t="s">
        <v>215</v>
      </c>
      <c r="F77" s="573"/>
      <c r="G77" s="544"/>
      <c r="H77" s="544"/>
      <c r="I77" s="581"/>
    </row>
    <row r="78" spans="2:9" ht="60.75" customHeight="1">
      <c r="B78" s="579"/>
      <c r="C78" s="576"/>
      <c r="D78" s="576"/>
      <c r="E78" s="96" t="s">
        <v>216</v>
      </c>
      <c r="F78" s="574"/>
      <c r="G78" s="545"/>
      <c r="H78" s="545"/>
      <c r="I78" s="582"/>
    </row>
    <row r="79" spans="2:9" ht="84.75" customHeight="1">
      <c r="B79" s="591" t="s">
        <v>106</v>
      </c>
      <c r="C79" s="577" t="s">
        <v>107</v>
      </c>
      <c r="D79" s="577" t="s">
        <v>241</v>
      </c>
      <c r="E79" s="97" t="s">
        <v>205</v>
      </c>
      <c r="F79" s="572" t="s">
        <v>594</v>
      </c>
      <c r="G79" s="571">
        <v>11286371.800000001</v>
      </c>
      <c r="H79" s="571"/>
      <c r="I79" s="568">
        <f>G79+H79</f>
        <v>11286371.800000001</v>
      </c>
    </row>
    <row r="80" spans="2:9" ht="109.5" customHeight="1">
      <c r="B80" s="591"/>
      <c r="C80" s="578"/>
      <c r="D80" s="578"/>
      <c r="E80" s="98" t="s">
        <v>560</v>
      </c>
      <c r="F80" s="575"/>
      <c r="G80" s="544"/>
      <c r="H80" s="544"/>
      <c r="I80" s="569"/>
    </row>
    <row r="81" spans="2:9" ht="90">
      <c r="B81" s="591"/>
      <c r="C81" s="578"/>
      <c r="D81" s="578"/>
      <c r="E81" s="98" t="s">
        <v>580</v>
      </c>
      <c r="F81" s="575"/>
      <c r="G81" s="544"/>
      <c r="H81" s="544"/>
      <c r="I81" s="569"/>
    </row>
    <row r="82" spans="2:9" ht="89.25" customHeight="1">
      <c r="B82" s="591"/>
      <c r="C82" s="578"/>
      <c r="D82" s="578"/>
      <c r="E82" s="98" t="s">
        <v>581</v>
      </c>
      <c r="F82" s="575"/>
      <c r="G82" s="544"/>
      <c r="H82" s="544"/>
      <c r="I82" s="569"/>
    </row>
    <row r="83" spans="2:9" ht="85.5" customHeight="1">
      <c r="B83" s="591"/>
      <c r="C83" s="578"/>
      <c r="D83" s="578"/>
      <c r="E83" s="98" t="s">
        <v>586</v>
      </c>
      <c r="F83" s="575"/>
      <c r="G83" s="544"/>
      <c r="H83" s="544"/>
      <c r="I83" s="569"/>
    </row>
    <row r="84" spans="2:9" ht="91.5" customHeight="1">
      <c r="B84" s="591"/>
      <c r="C84" s="578"/>
      <c r="D84" s="578"/>
      <c r="E84" s="98" t="s">
        <v>587</v>
      </c>
      <c r="F84" s="575"/>
      <c r="G84" s="544"/>
      <c r="H84" s="544"/>
      <c r="I84" s="569"/>
    </row>
    <row r="85" spans="2:9" ht="89.25" customHeight="1">
      <c r="B85" s="591"/>
      <c r="C85" s="579"/>
      <c r="D85" s="579"/>
      <c r="E85" s="99" t="s">
        <v>379</v>
      </c>
      <c r="F85" s="576"/>
      <c r="G85" s="545"/>
      <c r="H85" s="545"/>
      <c r="I85" s="570"/>
    </row>
    <row r="86" spans="2:9" ht="105">
      <c r="B86" s="55" t="s">
        <v>108</v>
      </c>
      <c r="C86" s="100" t="s">
        <v>109</v>
      </c>
      <c r="D86" s="100" t="s">
        <v>244</v>
      </c>
      <c r="E86" s="100" t="s">
        <v>110</v>
      </c>
      <c r="F86" s="115" t="s">
        <v>593</v>
      </c>
      <c r="G86" s="132">
        <f>'dod3'!E88</f>
        <v>2403834.41</v>
      </c>
      <c r="H86" s="132">
        <f>'dod3'!J88</f>
        <v>0</v>
      </c>
      <c r="I86" s="131">
        <f t="shared" si="1"/>
        <v>2403834.41</v>
      </c>
    </row>
    <row r="87" spans="2:9" ht="45">
      <c r="B87" s="55" t="s">
        <v>111</v>
      </c>
      <c r="C87" s="55" t="s">
        <v>112</v>
      </c>
      <c r="D87" s="55" t="s">
        <v>244</v>
      </c>
      <c r="E87" s="55" t="s">
        <v>113</v>
      </c>
      <c r="F87" s="115" t="s">
        <v>593</v>
      </c>
      <c r="G87" s="132">
        <f>'dod3'!E89</f>
        <v>3564841.81</v>
      </c>
      <c r="H87" s="132">
        <f>'dod3'!J89</f>
        <v>0</v>
      </c>
      <c r="I87" s="131">
        <f t="shared" si="1"/>
        <v>3564841.81</v>
      </c>
    </row>
    <row r="88" spans="2:9" ht="45">
      <c r="B88" s="55" t="s">
        <v>114</v>
      </c>
      <c r="C88" s="55" t="s">
        <v>115</v>
      </c>
      <c r="D88" s="55" t="s">
        <v>522</v>
      </c>
      <c r="E88" s="55" t="s">
        <v>116</v>
      </c>
      <c r="F88" s="115" t="s">
        <v>593</v>
      </c>
      <c r="G88" s="132">
        <f>'dod3'!E90</f>
        <v>350775357.91000003</v>
      </c>
      <c r="H88" s="132">
        <f>'dod3'!J90</f>
        <v>0</v>
      </c>
      <c r="I88" s="131">
        <f>G88+H88</f>
        <v>350775357.91000003</v>
      </c>
    </row>
    <row r="89" spans="2:9" ht="45">
      <c r="B89" s="56" t="s">
        <v>118</v>
      </c>
      <c r="C89" s="56" t="s">
        <v>119</v>
      </c>
      <c r="D89" s="55"/>
      <c r="E89" s="76" t="s">
        <v>120</v>
      </c>
      <c r="F89" s="68" t="s">
        <v>593</v>
      </c>
      <c r="G89" s="136">
        <f>G90+G92</f>
        <v>42284.810000000005</v>
      </c>
      <c r="H89" s="136">
        <f>H90+H92</f>
        <v>0</v>
      </c>
      <c r="I89" s="336">
        <f>G89+H89</f>
        <v>42284.810000000005</v>
      </c>
    </row>
    <row r="90" spans="2:9" ht="105">
      <c r="B90" s="535" t="s">
        <v>117</v>
      </c>
      <c r="C90" s="535" t="s">
        <v>121</v>
      </c>
      <c r="D90" s="535" t="s">
        <v>241</v>
      </c>
      <c r="E90" s="101" t="s">
        <v>122</v>
      </c>
      <c r="F90" s="572" t="s">
        <v>593</v>
      </c>
      <c r="G90" s="571">
        <f>1509.87+273.78</f>
        <v>1783.6499999999999</v>
      </c>
      <c r="H90" s="571"/>
      <c r="I90" s="571">
        <f>G90+H90</f>
        <v>1783.6499999999999</v>
      </c>
    </row>
    <row r="91" spans="2:9" ht="111" customHeight="1">
      <c r="B91" s="537"/>
      <c r="C91" s="537"/>
      <c r="D91" s="537"/>
      <c r="E91" s="101" t="s">
        <v>123</v>
      </c>
      <c r="F91" s="576"/>
      <c r="G91" s="545"/>
      <c r="H91" s="545"/>
      <c r="I91" s="545"/>
    </row>
    <row r="92" spans="2:9" ht="60">
      <c r="B92" s="102">
        <v>1513026</v>
      </c>
      <c r="C92" s="102">
        <v>3026</v>
      </c>
      <c r="D92" s="102">
        <v>1060</v>
      </c>
      <c r="E92" s="82" t="s">
        <v>190</v>
      </c>
      <c r="F92" s="115" t="s">
        <v>593</v>
      </c>
      <c r="G92" s="132">
        <f>'dod3'!E94</f>
        <v>40501.160000000003</v>
      </c>
      <c r="H92" s="132"/>
      <c r="I92" s="131">
        <f t="shared" ref="I92:I109" si="3">G92+H92</f>
        <v>40501.160000000003</v>
      </c>
    </row>
    <row r="93" spans="2:9" ht="60">
      <c r="B93" s="76" t="s">
        <v>97</v>
      </c>
      <c r="C93" s="76" t="s">
        <v>98</v>
      </c>
      <c r="D93" s="76"/>
      <c r="E93" s="76" t="s">
        <v>99</v>
      </c>
      <c r="F93" s="68" t="s">
        <v>593</v>
      </c>
      <c r="G93" s="136">
        <f>SUM(G94:G102)</f>
        <v>294748067.12</v>
      </c>
      <c r="H93" s="136">
        <f>SUM(H94:H102)</f>
        <v>0</v>
      </c>
      <c r="I93" s="336">
        <f t="shared" si="3"/>
        <v>294748067.12</v>
      </c>
    </row>
    <row r="94" spans="2:9" ht="45">
      <c r="B94" s="77" t="s">
        <v>136</v>
      </c>
      <c r="C94" s="77" t="s">
        <v>137</v>
      </c>
      <c r="D94" s="77" t="s">
        <v>494</v>
      </c>
      <c r="E94" s="77" t="s">
        <v>138</v>
      </c>
      <c r="F94" s="115" t="s">
        <v>593</v>
      </c>
      <c r="G94" s="132">
        <f>'dod3'!E106</f>
        <v>2713274.94</v>
      </c>
      <c r="H94" s="132"/>
      <c r="I94" s="131">
        <f t="shared" si="3"/>
        <v>2713274.94</v>
      </c>
    </row>
    <row r="95" spans="2:9" ht="45">
      <c r="B95" s="77" t="s">
        <v>139</v>
      </c>
      <c r="C95" s="77" t="s">
        <v>140</v>
      </c>
      <c r="D95" s="77" t="s">
        <v>494</v>
      </c>
      <c r="E95" s="77" t="s">
        <v>18</v>
      </c>
      <c r="F95" s="115" t="s">
        <v>593</v>
      </c>
      <c r="G95" s="132">
        <f>'dod3'!E107</f>
        <v>695184.44</v>
      </c>
      <c r="H95" s="132"/>
      <c r="I95" s="131">
        <f t="shared" si="3"/>
        <v>695184.44</v>
      </c>
    </row>
    <row r="96" spans="2:9" ht="45">
      <c r="B96" s="77" t="s">
        <v>141</v>
      </c>
      <c r="C96" s="77" t="s">
        <v>142</v>
      </c>
      <c r="D96" s="77" t="s">
        <v>494</v>
      </c>
      <c r="E96" s="77" t="s">
        <v>143</v>
      </c>
      <c r="F96" s="115" t="s">
        <v>593</v>
      </c>
      <c r="G96" s="132">
        <f>'dod3'!E108</f>
        <v>155538301.24000001</v>
      </c>
      <c r="H96" s="132"/>
      <c r="I96" s="131">
        <f t="shared" si="3"/>
        <v>155538301.24000001</v>
      </c>
    </row>
    <row r="97" spans="2:9" ht="45">
      <c r="B97" s="77" t="s">
        <v>144</v>
      </c>
      <c r="C97" s="77" t="s">
        <v>145</v>
      </c>
      <c r="D97" s="77" t="s">
        <v>494</v>
      </c>
      <c r="E97" s="77" t="s">
        <v>146</v>
      </c>
      <c r="F97" s="115" t="s">
        <v>593</v>
      </c>
      <c r="G97" s="132">
        <f>'dod3'!E109</f>
        <v>4389745.76</v>
      </c>
      <c r="H97" s="132"/>
      <c r="I97" s="131">
        <f t="shared" si="3"/>
        <v>4389745.76</v>
      </c>
    </row>
    <row r="98" spans="2:9" ht="45">
      <c r="B98" s="77" t="s">
        <v>147</v>
      </c>
      <c r="C98" s="77" t="s">
        <v>148</v>
      </c>
      <c r="D98" s="77" t="s">
        <v>494</v>
      </c>
      <c r="E98" s="77" t="s">
        <v>149</v>
      </c>
      <c r="F98" s="115" t="s">
        <v>593</v>
      </c>
      <c r="G98" s="132">
        <f>'dod3'!E110</f>
        <v>24756057.579999998</v>
      </c>
      <c r="H98" s="132"/>
      <c r="I98" s="131">
        <f t="shared" si="3"/>
        <v>24756057.579999998</v>
      </c>
    </row>
    <row r="99" spans="2:9" ht="45">
      <c r="B99" s="77" t="s">
        <v>150</v>
      </c>
      <c r="C99" s="77" t="s">
        <v>151</v>
      </c>
      <c r="D99" s="77" t="s">
        <v>494</v>
      </c>
      <c r="E99" s="77" t="s">
        <v>152</v>
      </c>
      <c r="F99" s="115" t="s">
        <v>593</v>
      </c>
      <c r="G99" s="132">
        <f>'dod3'!E111</f>
        <v>3273739.54</v>
      </c>
      <c r="H99" s="132"/>
      <c r="I99" s="131">
        <f t="shared" si="3"/>
        <v>3273739.54</v>
      </c>
    </row>
    <row r="100" spans="2:9" ht="45">
      <c r="B100" s="77" t="s">
        <v>153</v>
      </c>
      <c r="C100" s="77" t="s">
        <v>154</v>
      </c>
      <c r="D100" s="77" t="s">
        <v>494</v>
      </c>
      <c r="E100" s="77" t="s">
        <v>155</v>
      </c>
      <c r="F100" s="115" t="s">
        <v>595</v>
      </c>
      <c r="G100" s="132">
        <f>'dod3'!E112</f>
        <v>353176</v>
      </c>
      <c r="H100" s="132"/>
      <c r="I100" s="131">
        <f t="shared" si="3"/>
        <v>353176</v>
      </c>
    </row>
    <row r="101" spans="2:9" ht="45">
      <c r="B101" s="77" t="s">
        <v>156</v>
      </c>
      <c r="C101" s="77" t="s">
        <v>157</v>
      </c>
      <c r="D101" s="77" t="s">
        <v>494</v>
      </c>
      <c r="E101" s="77" t="s">
        <v>158</v>
      </c>
      <c r="F101" s="115" t="s">
        <v>593</v>
      </c>
      <c r="G101" s="132">
        <f>'dod3'!E113</f>
        <v>40866903.450000003</v>
      </c>
      <c r="H101" s="132"/>
      <c r="I101" s="131">
        <f t="shared" si="3"/>
        <v>40866903.450000003</v>
      </c>
    </row>
    <row r="102" spans="2:9" ht="45">
      <c r="B102" s="77" t="s">
        <v>159</v>
      </c>
      <c r="C102" s="77" t="s">
        <v>160</v>
      </c>
      <c r="D102" s="77" t="s">
        <v>233</v>
      </c>
      <c r="E102" s="77" t="s">
        <v>161</v>
      </c>
      <c r="F102" s="115" t="s">
        <v>593</v>
      </c>
      <c r="G102" s="132">
        <f>'dod3'!E114</f>
        <v>62161684.170000002</v>
      </c>
      <c r="H102" s="132"/>
      <c r="I102" s="131">
        <f t="shared" si="3"/>
        <v>62161684.170000002</v>
      </c>
    </row>
    <row r="103" spans="2:9" ht="30">
      <c r="B103" s="76" t="s">
        <v>162</v>
      </c>
      <c r="C103" s="76" t="s">
        <v>163</v>
      </c>
      <c r="D103" s="76" t="s">
        <v>233</v>
      </c>
      <c r="E103" s="76" t="s">
        <v>19</v>
      </c>
      <c r="F103" s="68" t="s">
        <v>593</v>
      </c>
      <c r="G103" s="136">
        <f>'dod3'!E116</f>
        <v>11743432.880000001</v>
      </c>
      <c r="H103" s="136"/>
      <c r="I103" s="336">
        <f t="shared" si="3"/>
        <v>11743432.880000001</v>
      </c>
    </row>
    <row r="104" spans="2:9" ht="60">
      <c r="B104" s="76" t="s">
        <v>164</v>
      </c>
      <c r="C104" s="76" t="s">
        <v>522</v>
      </c>
      <c r="D104" s="76" t="s">
        <v>234</v>
      </c>
      <c r="E104" s="103" t="s">
        <v>165</v>
      </c>
      <c r="F104" s="68" t="s">
        <v>593</v>
      </c>
      <c r="G104" s="136">
        <f>'dod3'!E76</f>
        <v>873280</v>
      </c>
      <c r="H104" s="136"/>
      <c r="I104" s="336">
        <f t="shared" si="3"/>
        <v>873280</v>
      </c>
    </row>
    <row r="105" spans="2:9" ht="90">
      <c r="B105" s="76" t="s">
        <v>91</v>
      </c>
      <c r="C105" s="76" t="s">
        <v>92</v>
      </c>
      <c r="D105" s="76"/>
      <c r="E105" s="76" t="s">
        <v>93</v>
      </c>
      <c r="F105" s="68" t="s">
        <v>593</v>
      </c>
      <c r="G105" s="136">
        <f>G106+G107+G108</f>
        <v>1592690</v>
      </c>
      <c r="H105" s="136">
        <f>H106+H107+H108</f>
        <v>0</v>
      </c>
      <c r="I105" s="336">
        <f t="shared" si="3"/>
        <v>1592690</v>
      </c>
    </row>
    <row r="106" spans="2:9" ht="75">
      <c r="B106" s="77" t="s">
        <v>94</v>
      </c>
      <c r="C106" s="77" t="s">
        <v>95</v>
      </c>
      <c r="D106" s="77" t="s">
        <v>233</v>
      </c>
      <c r="E106" s="77" t="s">
        <v>96</v>
      </c>
      <c r="F106" s="115" t="s">
        <v>593</v>
      </c>
      <c r="G106" s="132">
        <f>'dod3'!E122</f>
        <v>1375600</v>
      </c>
      <c r="H106" s="132"/>
      <c r="I106" s="131">
        <f t="shared" si="3"/>
        <v>1375600</v>
      </c>
    </row>
    <row r="107" spans="2:9" ht="60">
      <c r="B107" s="77" t="s">
        <v>127</v>
      </c>
      <c r="C107" s="77" t="s">
        <v>128</v>
      </c>
      <c r="D107" s="77" t="s">
        <v>233</v>
      </c>
      <c r="E107" s="77" t="s">
        <v>129</v>
      </c>
      <c r="F107" s="115" t="s">
        <v>593</v>
      </c>
      <c r="G107" s="132">
        <f>'dod3'!E123</f>
        <v>216502</v>
      </c>
      <c r="H107" s="132"/>
      <c r="I107" s="131">
        <f t="shared" si="3"/>
        <v>216502</v>
      </c>
    </row>
    <row r="108" spans="2:9" ht="30">
      <c r="B108" s="77" t="s">
        <v>130</v>
      </c>
      <c r="C108" s="77" t="s">
        <v>131</v>
      </c>
      <c r="D108" s="77" t="s">
        <v>233</v>
      </c>
      <c r="E108" s="77" t="s">
        <v>132</v>
      </c>
      <c r="F108" s="68" t="s">
        <v>593</v>
      </c>
      <c r="G108" s="132">
        <f>'dod3'!E124</f>
        <v>588</v>
      </c>
      <c r="H108" s="132"/>
      <c r="I108" s="131">
        <f t="shared" si="3"/>
        <v>588</v>
      </c>
    </row>
    <row r="109" spans="2:9">
      <c r="B109" s="555" t="s">
        <v>166</v>
      </c>
      <c r="C109" s="555" t="s">
        <v>167</v>
      </c>
      <c r="D109" s="555"/>
      <c r="E109" s="104" t="s">
        <v>168</v>
      </c>
      <c r="F109" s="589" t="s">
        <v>593</v>
      </c>
      <c r="G109" s="583">
        <f>SUM(G111:G118)</f>
        <v>55734948</v>
      </c>
      <c r="H109" s="583">
        <f>SUM(H111:H118)</f>
        <v>50000</v>
      </c>
      <c r="I109" s="583">
        <f t="shared" si="3"/>
        <v>55784948</v>
      </c>
    </row>
    <row r="110" spans="2:9" ht="90" customHeight="1">
      <c r="B110" s="588"/>
      <c r="C110" s="588"/>
      <c r="D110" s="588"/>
      <c r="E110" s="105" t="s">
        <v>169</v>
      </c>
      <c r="F110" s="590"/>
      <c r="G110" s="584"/>
      <c r="H110" s="584"/>
      <c r="I110" s="584"/>
    </row>
    <row r="111" spans="2:9" ht="92.25" customHeight="1">
      <c r="B111" s="535" t="s">
        <v>170</v>
      </c>
      <c r="C111" s="535" t="s">
        <v>171</v>
      </c>
      <c r="D111" s="535" t="s">
        <v>241</v>
      </c>
      <c r="E111" s="106" t="s">
        <v>172</v>
      </c>
      <c r="F111" s="572" t="s">
        <v>593</v>
      </c>
      <c r="G111" s="587">
        <v>200000</v>
      </c>
      <c r="H111" s="587">
        <v>50000</v>
      </c>
      <c r="I111" s="587">
        <f>G111+H111</f>
        <v>250000</v>
      </c>
    </row>
    <row r="112" spans="2:9" ht="91.5" customHeight="1">
      <c r="B112" s="585"/>
      <c r="C112" s="585"/>
      <c r="D112" s="585"/>
      <c r="E112" s="107" t="s">
        <v>173</v>
      </c>
      <c r="F112" s="575"/>
      <c r="G112" s="581"/>
      <c r="H112" s="581"/>
      <c r="I112" s="581"/>
    </row>
    <row r="113" spans="2:9" ht="49.5" customHeight="1">
      <c r="B113" s="586"/>
      <c r="C113" s="586"/>
      <c r="D113" s="586"/>
      <c r="E113" s="108" t="s">
        <v>174</v>
      </c>
      <c r="F113" s="576"/>
      <c r="G113" s="582"/>
      <c r="H113" s="582"/>
      <c r="I113" s="582"/>
    </row>
    <row r="114" spans="2:9" ht="90">
      <c r="B114" s="55" t="s">
        <v>176</v>
      </c>
      <c r="C114" s="55" t="s">
        <v>177</v>
      </c>
      <c r="D114" s="55" t="s">
        <v>244</v>
      </c>
      <c r="E114" s="91" t="s">
        <v>175</v>
      </c>
      <c r="F114" s="338" t="s">
        <v>593</v>
      </c>
      <c r="G114" s="132">
        <f>'dod3'!E100</f>
        <v>25000</v>
      </c>
      <c r="H114" s="132"/>
      <c r="I114" s="131">
        <f t="shared" ref="I114:I168" si="4">G114+H114</f>
        <v>25000</v>
      </c>
    </row>
    <row r="115" spans="2:9" ht="45">
      <c r="B115" s="77" t="s">
        <v>178</v>
      </c>
      <c r="C115" s="77" t="s">
        <v>179</v>
      </c>
      <c r="D115" s="77" t="s">
        <v>244</v>
      </c>
      <c r="E115" s="77" t="s">
        <v>180</v>
      </c>
      <c r="F115" s="338" t="s">
        <v>593</v>
      </c>
      <c r="G115" s="132">
        <f>'dod3'!E101</f>
        <v>1881783</v>
      </c>
      <c r="H115" s="132"/>
      <c r="I115" s="131">
        <f t="shared" si="4"/>
        <v>1881783</v>
      </c>
    </row>
    <row r="116" spans="2:9" ht="45">
      <c r="B116" s="109" t="s">
        <v>181</v>
      </c>
      <c r="C116" s="109" t="s">
        <v>182</v>
      </c>
      <c r="D116" s="109" t="s">
        <v>244</v>
      </c>
      <c r="E116" s="109" t="s">
        <v>183</v>
      </c>
      <c r="F116" s="338" t="s">
        <v>593</v>
      </c>
      <c r="G116" s="132">
        <f>'dod3'!E102</f>
        <v>5000000</v>
      </c>
      <c r="H116" s="132"/>
      <c r="I116" s="131">
        <f t="shared" si="4"/>
        <v>5000000</v>
      </c>
    </row>
    <row r="117" spans="2:9" ht="45">
      <c r="B117" s="109" t="s">
        <v>184</v>
      </c>
      <c r="C117" s="109" t="s">
        <v>185</v>
      </c>
      <c r="D117" s="109" t="s">
        <v>244</v>
      </c>
      <c r="E117" s="109" t="s">
        <v>186</v>
      </c>
      <c r="F117" s="338" t="s">
        <v>593</v>
      </c>
      <c r="G117" s="132">
        <f>'dod3'!E103</f>
        <v>400000</v>
      </c>
      <c r="H117" s="132"/>
      <c r="I117" s="131">
        <f t="shared" si="4"/>
        <v>400000</v>
      </c>
    </row>
    <row r="118" spans="2:9" ht="45">
      <c r="B118" s="109" t="s">
        <v>187</v>
      </c>
      <c r="C118" s="109" t="s">
        <v>188</v>
      </c>
      <c r="D118" s="109" t="s">
        <v>244</v>
      </c>
      <c r="E118" s="109" t="s">
        <v>202</v>
      </c>
      <c r="F118" s="338" t="s">
        <v>593</v>
      </c>
      <c r="G118" s="132">
        <f>'dod3'!E104</f>
        <v>48228165</v>
      </c>
      <c r="H118" s="132"/>
      <c r="I118" s="131">
        <f t="shared" si="4"/>
        <v>48228165</v>
      </c>
    </row>
    <row r="119" spans="2:9" ht="50.25" customHeight="1">
      <c r="B119" s="76" t="s">
        <v>134</v>
      </c>
      <c r="C119" s="76" t="s">
        <v>135</v>
      </c>
      <c r="D119" s="76" t="s">
        <v>241</v>
      </c>
      <c r="E119" s="76" t="s">
        <v>133</v>
      </c>
      <c r="F119" s="68" t="s">
        <v>593</v>
      </c>
      <c r="G119" s="136">
        <f>'dod3'!E117</f>
        <v>241110</v>
      </c>
      <c r="H119" s="136"/>
      <c r="I119" s="336">
        <f t="shared" si="4"/>
        <v>241110</v>
      </c>
    </row>
    <row r="120" spans="2:9" ht="30">
      <c r="B120" s="76" t="s">
        <v>85</v>
      </c>
      <c r="C120" s="76" t="s">
        <v>86</v>
      </c>
      <c r="D120" s="76" t="s">
        <v>248</v>
      </c>
      <c r="E120" s="76" t="s">
        <v>87</v>
      </c>
      <c r="F120" s="68" t="s">
        <v>593</v>
      </c>
      <c r="G120" s="71">
        <f>'dod3'!E130</f>
        <v>4275812</v>
      </c>
      <c r="H120" s="71">
        <f>'dod3'!J130</f>
        <v>1726346</v>
      </c>
      <c r="I120" s="339">
        <f t="shared" si="4"/>
        <v>6002158</v>
      </c>
    </row>
    <row r="121" spans="2:9" ht="60">
      <c r="B121" s="76" t="s">
        <v>276</v>
      </c>
      <c r="C121" s="76" t="s">
        <v>277</v>
      </c>
      <c r="D121" s="76"/>
      <c r="E121" s="76" t="s">
        <v>278</v>
      </c>
      <c r="F121" s="68" t="s">
        <v>594</v>
      </c>
      <c r="G121" s="71">
        <f>G122+G123</f>
        <v>12640001</v>
      </c>
      <c r="H121" s="71">
        <f>H122+H123</f>
        <v>763686.04</v>
      </c>
      <c r="I121" s="339">
        <f t="shared" si="4"/>
        <v>13403687.039999999</v>
      </c>
    </row>
    <row r="122" spans="2:9" ht="60">
      <c r="B122" s="77" t="s">
        <v>282</v>
      </c>
      <c r="C122" s="77" t="s">
        <v>283</v>
      </c>
      <c r="D122" s="77" t="s">
        <v>237</v>
      </c>
      <c r="E122" s="77" t="s">
        <v>284</v>
      </c>
      <c r="F122" s="115" t="s">
        <v>593</v>
      </c>
      <c r="G122" s="140">
        <f>'dod3'!E119</f>
        <v>10804850</v>
      </c>
      <c r="H122" s="140">
        <f>'dod3'!J119</f>
        <v>659386.04</v>
      </c>
      <c r="I122" s="337">
        <f t="shared" si="4"/>
        <v>11464236.039999999</v>
      </c>
    </row>
    <row r="123" spans="2:9" ht="45">
      <c r="B123" s="77" t="s">
        <v>280</v>
      </c>
      <c r="C123" s="77" t="s">
        <v>281</v>
      </c>
      <c r="D123" s="77" t="s">
        <v>233</v>
      </c>
      <c r="E123" s="77" t="s">
        <v>279</v>
      </c>
      <c r="F123" s="115" t="s">
        <v>593</v>
      </c>
      <c r="G123" s="140">
        <f>'dod3'!E120</f>
        <v>1835151</v>
      </c>
      <c r="H123" s="140">
        <f>'dod3'!J120</f>
        <v>104300</v>
      </c>
      <c r="I123" s="337">
        <f t="shared" si="4"/>
        <v>1939451</v>
      </c>
    </row>
    <row r="124" spans="2:9" ht="45">
      <c r="B124" s="76" t="s">
        <v>124</v>
      </c>
      <c r="C124" s="76" t="s">
        <v>125</v>
      </c>
      <c r="D124" s="76" t="s">
        <v>244</v>
      </c>
      <c r="E124" s="76" t="s">
        <v>126</v>
      </c>
      <c r="F124" s="68" t="s">
        <v>593</v>
      </c>
      <c r="G124" s="140">
        <f>'dod3'!E115</f>
        <v>162155</v>
      </c>
      <c r="H124" s="140">
        <f>'dod3'!J115</f>
        <v>0</v>
      </c>
      <c r="I124" s="337">
        <f t="shared" si="4"/>
        <v>162155</v>
      </c>
    </row>
    <row r="125" spans="2:9" ht="30">
      <c r="B125" s="76" t="s">
        <v>271</v>
      </c>
      <c r="C125" s="76" t="s">
        <v>272</v>
      </c>
      <c r="D125" s="76"/>
      <c r="E125" s="79" t="s">
        <v>274</v>
      </c>
      <c r="F125" s="68" t="s">
        <v>593</v>
      </c>
      <c r="G125" s="140">
        <f>G126</f>
        <v>495450</v>
      </c>
      <c r="H125" s="140">
        <f>H126</f>
        <v>0</v>
      </c>
      <c r="I125" s="339">
        <f t="shared" si="4"/>
        <v>495450</v>
      </c>
    </row>
    <row r="126" spans="2:9" ht="45">
      <c r="B126" s="77" t="s">
        <v>270</v>
      </c>
      <c r="C126" s="77" t="s">
        <v>273</v>
      </c>
      <c r="D126" s="77" t="s">
        <v>241</v>
      </c>
      <c r="E126" s="77" t="s">
        <v>275</v>
      </c>
      <c r="F126" s="115" t="s">
        <v>593</v>
      </c>
      <c r="G126" s="140">
        <f>'dod3'!E126</f>
        <v>495450</v>
      </c>
      <c r="H126" s="140"/>
      <c r="I126" s="337">
        <f t="shared" si="4"/>
        <v>495450</v>
      </c>
    </row>
    <row r="127" spans="2:9" ht="45">
      <c r="B127" s="357" t="s">
        <v>902</v>
      </c>
      <c r="C127" s="357" t="s">
        <v>192</v>
      </c>
      <c r="D127" s="357"/>
      <c r="E127" s="357" t="s">
        <v>193</v>
      </c>
      <c r="F127" s="143" t="s">
        <v>218</v>
      </c>
      <c r="G127" s="140"/>
      <c r="H127" s="140">
        <f>H128</f>
        <v>2000000</v>
      </c>
      <c r="I127" s="339">
        <f t="shared" si="4"/>
        <v>2000000</v>
      </c>
    </row>
    <row r="128" spans="2:9" ht="45">
      <c r="B128" s="357" t="s">
        <v>903</v>
      </c>
      <c r="C128" s="77" t="s">
        <v>195</v>
      </c>
      <c r="D128" s="77" t="s">
        <v>522</v>
      </c>
      <c r="E128" s="77" t="s">
        <v>196</v>
      </c>
      <c r="F128" s="338" t="s">
        <v>218</v>
      </c>
      <c r="G128" s="140"/>
      <c r="H128" s="140">
        <v>2000000</v>
      </c>
      <c r="I128" s="337">
        <f t="shared" si="4"/>
        <v>2000000</v>
      </c>
    </row>
    <row r="129" spans="2:9" ht="45">
      <c r="B129" s="432">
        <v>2400000</v>
      </c>
      <c r="C129" s="432"/>
      <c r="D129" s="432"/>
      <c r="E129" s="415" t="s">
        <v>330</v>
      </c>
      <c r="F129" s="428"/>
      <c r="G129" s="435">
        <f>G130</f>
        <v>57478869</v>
      </c>
      <c r="H129" s="435">
        <f>H130</f>
        <v>12179041</v>
      </c>
      <c r="I129" s="435">
        <f t="shared" si="4"/>
        <v>69657910</v>
      </c>
    </row>
    <row r="130" spans="2:9" ht="42.75">
      <c r="B130" s="433">
        <v>24100000</v>
      </c>
      <c r="C130" s="433"/>
      <c r="D130" s="433"/>
      <c r="E130" s="419" t="s">
        <v>417</v>
      </c>
      <c r="F130" s="428"/>
      <c r="G130" s="436">
        <f>SUM(G131:G138)</f>
        <v>57478869</v>
      </c>
      <c r="H130" s="436">
        <f>SUM(H131:H138)</f>
        <v>12179041</v>
      </c>
      <c r="I130" s="436">
        <f t="shared" si="4"/>
        <v>69657910</v>
      </c>
    </row>
    <row r="131" spans="2:9" ht="60">
      <c r="B131" s="56" t="s">
        <v>474</v>
      </c>
      <c r="C131" s="56" t="s">
        <v>475</v>
      </c>
      <c r="D131" s="56" t="s">
        <v>476</v>
      </c>
      <c r="E131" s="56" t="s">
        <v>477</v>
      </c>
      <c r="F131" s="68" t="s">
        <v>197</v>
      </c>
      <c r="G131" s="140">
        <f>'dod3'!E139</f>
        <v>4167900</v>
      </c>
      <c r="H131" s="140">
        <f>'dod3'!J139</f>
        <v>3307620</v>
      </c>
      <c r="I131" s="337">
        <f t="shared" si="4"/>
        <v>7475520</v>
      </c>
    </row>
    <row r="132" spans="2:9" ht="60">
      <c r="B132" s="56" t="s">
        <v>471</v>
      </c>
      <c r="C132" s="56" t="s">
        <v>472</v>
      </c>
      <c r="D132" s="56" t="s">
        <v>469</v>
      </c>
      <c r="E132" s="56" t="s">
        <v>473</v>
      </c>
      <c r="F132" s="68" t="s">
        <v>197</v>
      </c>
      <c r="G132" s="140">
        <f>'dod3'!E138</f>
        <v>815300</v>
      </c>
      <c r="H132" s="140">
        <f>'dod3'!J138</f>
        <v>2601793</v>
      </c>
      <c r="I132" s="337">
        <f t="shared" si="4"/>
        <v>3417093</v>
      </c>
    </row>
    <row r="133" spans="2:9" ht="60">
      <c r="B133" s="56" t="s">
        <v>200</v>
      </c>
      <c r="C133" s="56" t="s">
        <v>487</v>
      </c>
      <c r="D133" s="56" t="s">
        <v>249</v>
      </c>
      <c r="E133" s="56" t="s">
        <v>478</v>
      </c>
      <c r="F133" s="68" t="s">
        <v>197</v>
      </c>
      <c r="G133" s="140">
        <f>'dod3'!E140</f>
        <v>34672249</v>
      </c>
      <c r="H133" s="140">
        <f>'dod3'!J140</f>
        <v>5262948</v>
      </c>
      <c r="I133" s="337">
        <f t="shared" si="4"/>
        <v>39935197</v>
      </c>
    </row>
    <row r="134" spans="2:9" ht="60">
      <c r="B134" s="56" t="s">
        <v>467</v>
      </c>
      <c r="C134" s="56" t="s">
        <v>468</v>
      </c>
      <c r="D134" s="56" t="s">
        <v>469</v>
      </c>
      <c r="E134" s="56" t="s">
        <v>470</v>
      </c>
      <c r="F134" s="68" t="s">
        <v>197</v>
      </c>
      <c r="G134" s="140">
        <f>'dod3'!E137-G135</f>
        <v>5705000</v>
      </c>
      <c r="H134" s="140">
        <f>'dod3'!J137-H135</f>
        <v>794100</v>
      </c>
      <c r="I134" s="337">
        <f t="shared" si="4"/>
        <v>6499100</v>
      </c>
    </row>
    <row r="135" spans="2:9" ht="45">
      <c r="B135" s="56" t="s">
        <v>467</v>
      </c>
      <c r="C135" s="56" t="s">
        <v>468</v>
      </c>
      <c r="D135" s="56" t="s">
        <v>469</v>
      </c>
      <c r="E135" s="56" t="s">
        <v>470</v>
      </c>
      <c r="F135" s="68" t="s">
        <v>227</v>
      </c>
      <c r="G135" s="140">
        <v>79020</v>
      </c>
      <c r="H135" s="140">
        <v>116180</v>
      </c>
      <c r="I135" s="337">
        <f>G135+H135</f>
        <v>195200</v>
      </c>
    </row>
    <row r="136" spans="2:9" ht="60">
      <c r="B136" s="56" t="s">
        <v>479</v>
      </c>
      <c r="C136" s="56" t="s">
        <v>480</v>
      </c>
      <c r="D136" s="56" t="s">
        <v>481</v>
      </c>
      <c r="E136" s="56" t="s">
        <v>482</v>
      </c>
      <c r="F136" s="68" t="s">
        <v>197</v>
      </c>
      <c r="G136" s="140">
        <f>'dod3'!E142-G137-G138</f>
        <v>9214400</v>
      </c>
      <c r="H136" s="140">
        <f>'dod3'!J142</f>
        <v>96400</v>
      </c>
      <c r="I136" s="337">
        <f t="shared" si="4"/>
        <v>9310800</v>
      </c>
    </row>
    <row r="137" spans="2:9" ht="30">
      <c r="B137" s="56" t="s">
        <v>479</v>
      </c>
      <c r="C137" s="56" t="s">
        <v>480</v>
      </c>
      <c r="D137" s="56" t="s">
        <v>481</v>
      </c>
      <c r="E137" s="56" t="s">
        <v>482</v>
      </c>
      <c r="F137" s="68" t="s">
        <v>356</v>
      </c>
      <c r="G137" s="140">
        <v>439000</v>
      </c>
      <c r="H137" s="140"/>
      <c r="I137" s="337">
        <f t="shared" si="4"/>
        <v>439000</v>
      </c>
    </row>
    <row r="138" spans="2:9" ht="45">
      <c r="B138" s="56" t="s">
        <v>479</v>
      </c>
      <c r="C138" s="56" t="s">
        <v>480</v>
      </c>
      <c r="D138" s="56" t="s">
        <v>481</v>
      </c>
      <c r="E138" s="56" t="s">
        <v>482</v>
      </c>
      <c r="F138" s="68" t="s">
        <v>597</v>
      </c>
      <c r="G138" s="140">
        <v>2386000</v>
      </c>
      <c r="H138" s="140"/>
      <c r="I138" s="337">
        <f t="shared" si="4"/>
        <v>2386000</v>
      </c>
    </row>
    <row r="139" spans="2:9" ht="45.75" customHeight="1">
      <c r="B139" s="415" t="s">
        <v>328</v>
      </c>
      <c r="C139" s="415"/>
      <c r="D139" s="415"/>
      <c r="E139" s="415" t="s">
        <v>327</v>
      </c>
      <c r="F139" s="441"/>
      <c r="G139" s="424">
        <f>G140</f>
        <v>137011273</v>
      </c>
      <c r="H139" s="424">
        <f>H140</f>
        <v>317225996.38999999</v>
      </c>
      <c r="I139" s="424">
        <f>I140</f>
        <v>454237269.38999999</v>
      </c>
    </row>
    <row r="140" spans="2:9" ht="44.25" customHeight="1">
      <c r="B140" s="415" t="s">
        <v>329</v>
      </c>
      <c r="C140" s="415"/>
      <c r="D140" s="415"/>
      <c r="E140" s="419" t="s">
        <v>418</v>
      </c>
      <c r="F140" s="441"/>
      <c r="G140" s="427">
        <f>G141+G142+G144+G145+G149+G150+G151+G152+G153+G154+G155+G143</f>
        <v>137011273</v>
      </c>
      <c r="H140" s="427">
        <f>H141+H142+H144+H145+H149+H150+H151+H152+H153+H154+H155+H156+H143</f>
        <v>317225996.38999999</v>
      </c>
      <c r="I140" s="427">
        <f>I141+I142+I144+I145+I149+I150+I151+I152+I153+I154+I155+I156+I143</f>
        <v>454237269.38999999</v>
      </c>
    </row>
    <row r="141" spans="2:9" ht="165" customHeight="1">
      <c r="B141" s="56" t="s">
        <v>430</v>
      </c>
      <c r="C141" s="56" t="s">
        <v>431</v>
      </c>
      <c r="D141" s="56" t="s">
        <v>432</v>
      </c>
      <c r="E141" s="56" t="s">
        <v>433</v>
      </c>
      <c r="F141" s="68" t="s">
        <v>884</v>
      </c>
      <c r="G141" s="359">
        <f>'dod3'!E146</f>
        <v>5398266</v>
      </c>
      <c r="H141" s="84">
        <f>'dod3'!J146</f>
        <v>60000</v>
      </c>
      <c r="I141" s="360">
        <f t="shared" si="4"/>
        <v>5458266</v>
      </c>
    </row>
    <row r="142" spans="2:9" ht="44.25" customHeight="1">
      <c r="B142" s="56" t="s">
        <v>526</v>
      </c>
      <c r="C142" s="56" t="s">
        <v>527</v>
      </c>
      <c r="D142" s="56"/>
      <c r="E142" s="56" t="s">
        <v>528</v>
      </c>
      <c r="F142" s="68" t="s">
        <v>596</v>
      </c>
      <c r="G142" s="359">
        <f>'dod3'!E147</f>
        <v>0</v>
      </c>
      <c r="H142" s="84">
        <f>'dod3'!J147-H143</f>
        <v>40886744</v>
      </c>
      <c r="I142" s="360">
        <f t="shared" si="4"/>
        <v>40886744</v>
      </c>
    </row>
    <row r="143" spans="2:9" ht="60">
      <c r="B143" s="56" t="s">
        <v>526</v>
      </c>
      <c r="C143" s="56" t="s">
        <v>527</v>
      </c>
      <c r="D143" s="56"/>
      <c r="E143" s="56" t="s">
        <v>528</v>
      </c>
      <c r="F143" s="68" t="s">
        <v>952</v>
      </c>
      <c r="G143" s="359"/>
      <c r="H143" s="84">
        <f>408700+700000</f>
        <v>1108700</v>
      </c>
      <c r="I143" s="360">
        <f t="shared" si="4"/>
        <v>1108700</v>
      </c>
    </row>
    <row r="144" spans="2:9" ht="51" customHeight="1">
      <c r="B144" s="56" t="s">
        <v>434</v>
      </c>
      <c r="C144" s="56" t="s">
        <v>435</v>
      </c>
      <c r="D144" s="56" t="s">
        <v>432</v>
      </c>
      <c r="E144" s="56" t="s">
        <v>436</v>
      </c>
      <c r="F144" s="68" t="s">
        <v>596</v>
      </c>
      <c r="G144" s="359">
        <f>'dod3'!E152</f>
        <v>3706323</v>
      </c>
      <c r="H144" s="133">
        <f>'dod3'!J152</f>
        <v>0</v>
      </c>
      <c r="I144" s="360">
        <f t="shared" si="4"/>
        <v>3706323</v>
      </c>
    </row>
    <row r="145" spans="2:9" ht="49.5" customHeight="1">
      <c r="B145" s="56" t="s">
        <v>440</v>
      </c>
      <c r="C145" s="56" t="s">
        <v>441</v>
      </c>
      <c r="D145" s="56"/>
      <c r="E145" s="56" t="s">
        <v>442</v>
      </c>
      <c r="F145" s="68" t="s">
        <v>596</v>
      </c>
      <c r="G145" s="359">
        <f>'dod3'!E153</f>
        <v>3475000</v>
      </c>
      <c r="H145" s="133">
        <f>'dod3'!J153</f>
        <v>0</v>
      </c>
      <c r="I145" s="360">
        <f>I147+I148+I146</f>
        <v>3475000</v>
      </c>
    </row>
    <row r="146" spans="2:9" ht="49.5" customHeight="1">
      <c r="B146" s="342" t="s">
        <v>880</v>
      </c>
      <c r="C146" s="342" t="s">
        <v>881</v>
      </c>
      <c r="D146" s="342" t="s">
        <v>439</v>
      </c>
      <c r="E146" s="341" t="s">
        <v>882</v>
      </c>
      <c r="F146" s="115" t="s">
        <v>596</v>
      </c>
      <c r="G146" s="359">
        <f>'dod3'!E154</f>
        <v>680000</v>
      </c>
      <c r="H146" s="133">
        <f>'dod3'!J154</f>
        <v>0</v>
      </c>
      <c r="I146" s="361">
        <f t="shared" si="4"/>
        <v>680000</v>
      </c>
    </row>
    <row r="147" spans="2:9" ht="55.5" customHeight="1">
      <c r="B147" s="56" t="s">
        <v>437</v>
      </c>
      <c r="C147" s="56" t="s">
        <v>438</v>
      </c>
      <c r="D147" s="56" t="s">
        <v>439</v>
      </c>
      <c r="E147" s="112" t="s">
        <v>443</v>
      </c>
      <c r="F147" s="113" t="s">
        <v>596</v>
      </c>
      <c r="G147" s="361">
        <f>'dod3'!E155</f>
        <v>2400000</v>
      </c>
      <c r="H147" s="134">
        <f>'dod3'!J155</f>
        <v>0</v>
      </c>
      <c r="I147" s="361">
        <f t="shared" si="4"/>
        <v>2400000</v>
      </c>
    </row>
    <row r="148" spans="2:9" ht="55.5" customHeight="1">
      <c r="B148" s="56" t="s">
        <v>208</v>
      </c>
      <c r="C148" s="56" t="s">
        <v>209</v>
      </c>
      <c r="D148" s="56" t="s">
        <v>439</v>
      </c>
      <c r="E148" s="112" t="s">
        <v>210</v>
      </c>
      <c r="F148" s="113" t="s">
        <v>596</v>
      </c>
      <c r="G148" s="361">
        <f>'dod3'!E156</f>
        <v>395000</v>
      </c>
      <c r="H148" s="134">
        <f>'dod3'!J156</f>
        <v>0</v>
      </c>
      <c r="I148" s="361">
        <f t="shared" si="4"/>
        <v>395000</v>
      </c>
    </row>
    <row r="149" spans="2:9" ht="114" customHeight="1">
      <c r="B149" s="56" t="s">
        <v>444</v>
      </c>
      <c r="C149" s="56" t="s">
        <v>445</v>
      </c>
      <c r="D149" s="56" t="s">
        <v>439</v>
      </c>
      <c r="E149" s="56" t="s">
        <v>446</v>
      </c>
      <c r="F149" s="68" t="s">
        <v>883</v>
      </c>
      <c r="G149" s="359">
        <f>'dod3'!E157</f>
        <v>83249544</v>
      </c>
      <c r="H149" s="359">
        <f>'dod3'!J157</f>
        <v>24251145</v>
      </c>
      <c r="I149" s="359">
        <f t="shared" si="4"/>
        <v>107500689</v>
      </c>
    </row>
    <row r="150" spans="2:9" ht="54.75" customHeight="1">
      <c r="B150" s="56" t="s">
        <v>447</v>
      </c>
      <c r="C150" s="56" t="s">
        <v>448</v>
      </c>
      <c r="D150" s="56" t="s">
        <v>449</v>
      </c>
      <c r="E150" s="56" t="s">
        <v>450</v>
      </c>
      <c r="F150" s="68" t="s">
        <v>570</v>
      </c>
      <c r="G150" s="359">
        <f>'dod3'!E159</f>
        <v>19967700</v>
      </c>
      <c r="H150" s="359">
        <f>'dod3'!J159</f>
        <v>0</v>
      </c>
      <c r="I150" s="359">
        <f t="shared" si="4"/>
        <v>19967700</v>
      </c>
    </row>
    <row r="151" spans="2:9" ht="63" customHeight="1">
      <c r="B151" s="56" t="s">
        <v>451</v>
      </c>
      <c r="C151" s="56" t="s">
        <v>452</v>
      </c>
      <c r="D151" s="56" t="s">
        <v>453</v>
      </c>
      <c r="E151" s="56" t="s">
        <v>454</v>
      </c>
      <c r="F151" s="68" t="s">
        <v>596</v>
      </c>
      <c r="G151" s="359">
        <f>'dod3'!E160</f>
        <v>19393870</v>
      </c>
      <c r="H151" s="359">
        <f>'dod3'!J160</f>
        <v>96671213.390000001</v>
      </c>
      <c r="I151" s="359">
        <f t="shared" si="4"/>
        <v>116065083.39</v>
      </c>
    </row>
    <row r="152" spans="2:9" ht="138" customHeight="1">
      <c r="B152" s="56" t="s">
        <v>455</v>
      </c>
      <c r="C152" s="56" t="s">
        <v>456</v>
      </c>
      <c r="D152" s="56" t="s">
        <v>457</v>
      </c>
      <c r="E152" s="56" t="s">
        <v>458</v>
      </c>
      <c r="F152" s="68" t="s">
        <v>571</v>
      </c>
      <c r="G152" s="359">
        <f>'dod3'!E161</f>
        <v>915000</v>
      </c>
      <c r="H152" s="359">
        <f>'dod3'!J161</f>
        <v>6886470</v>
      </c>
      <c r="I152" s="359">
        <f t="shared" si="4"/>
        <v>7801470</v>
      </c>
    </row>
    <row r="153" spans="2:9" ht="93" customHeight="1">
      <c r="B153" s="56" t="s">
        <v>534</v>
      </c>
      <c r="C153" s="56" t="s">
        <v>400</v>
      </c>
      <c r="D153" s="56" t="s">
        <v>401</v>
      </c>
      <c r="E153" s="56" t="s">
        <v>535</v>
      </c>
      <c r="F153" s="68" t="s">
        <v>601</v>
      </c>
      <c r="G153" s="359">
        <f>'dod3'!E158</f>
        <v>0</v>
      </c>
      <c r="H153" s="359">
        <f>'dod3'!J158</f>
        <v>35390701</v>
      </c>
      <c r="I153" s="359">
        <f t="shared" si="4"/>
        <v>35390701</v>
      </c>
    </row>
    <row r="154" spans="2:9" ht="45">
      <c r="B154" s="56" t="s">
        <v>536</v>
      </c>
      <c r="C154" s="56" t="s">
        <v>403</v>
      </c>
      <c r="D154" s="56" t="s">
        <v>401</v>
      </c>
      <c r="E154" s="56" t="s">
        <v>404</v>
      </c>
      <c r="F154" s="68" t="s">
        <v>596</v>
      </c>
      <c r="G154" s="359">
        <f>'dod3'!E162</f>
        <v>0</v>
      </c>
      <c r="H154" s="359">
        <f>'dod3'!J162</f>
        <v>111860360</v>
      </c>
      <c r="I154" s="359">
        <f t="shared" si="4"/>
        <v>111860360</v>
      </c>
    </row>
    <row r="155" spans="2:9" ht="105">
      <c r="B155" s="56" t="s">
        <v>459</v>
      </c>
      <c r="C155" s="56" t="s">
        <v>460</v>
      </c>
      <c r="D155" s="56" t="s">
        <v>461</v>
      </c>
      <c r="E155" s="80" t="s">
        <v>462</v>
      </c>
      <c r="F155" s="68" t="s">
        <v>4</v>
      </c>
      <c r="G155" s="359">
        <f>'dod3'!E163</f>
        <v>905570</v>
      </c>
      <c r="H155" s="359">
        <f>'dod3'!J163</f>
        <v>11163</v>
      </c>
      <c r="I155" s="359">
        <f t="shared" si="4"/>
        <v>916733</v>
      </c>
    </row>
    <row r="156" spans="2:9" ht="30">
      <c r="B156" s="357" t="s">
        <v>905</v>
      </c>
      <c r="C156" s="357" t="s">
        <v>79</v>
      </c>
      <c r="D156" s="357" t="s">
        <v>465</v>
      </c>
      <c r="E156" s="357" t="s">
        <v>51</v>
      </c>
      <c r="F156" s="68" t="s">
        <v>199</v>
      </c>
      <c r="G156" s="359">
        <f>'dod3'!E164</f>
        <v>0</v>
      </c>
      <c r="H156" s="359">
        <f>'dod3'!J164</f>
        <v>99500</v>
      </c>
      <c r="I156" s="359">
        <f t="shared" si="4"/>
        <v>99500</v>
      </c>
    </row>
    <row r="157" spans="2:9" ht="75">
      <c r="B157" s="415" t="s">
        <v>333</v>
      </c>
      <c r="C157" s="415"/>
      <c r="D157" s="415"/>
      <c r="E157" s="415" t="s">
        <v>335</v>
      </c>
      <c r="F157" s="415"/>
      <c r="G157" s="429"/>
      <c r="H157" s="429">
        <f>H158</f>
        <v>88378507</v>
      </c>
      <c r="I157" s="429">
        <f>I158</f>
        <v>88378507</v>
      </c>
    </row>
    <row r="158" spans="2:9" ht="57">
      <c r="B158" s="419" t="s">
        <v>334</v>
      </c>
      <c r="C158" s="419"/>
      <c r="D158" s="419"/>
      <c r="E158" s="419" t="s">
        <v>353</v>
      </c>
      <c r="F158" s="419"/>
      <c r="G158" s="430"/>
      <c r="H158" s="430">
        <f>H159+H160+H161</f>
        <v>88378507</v>
      </c>
      <c r="I158" s="430">
        <f t="shared" si="4"/>
        <v>88378507</v>
      </c>
    </row>
    <row r="159" spans="2:9" ht="45">
      <c r="B159" s="56" t="s">
        <v>399</v>
      </c>
      <c r="C159" s="56" t="s">
        <v>400</v>
      </c>
      <c r="D159" s="56" t="s">
        <v>401</v>
      </c>
      <c r="E159" s="56" t="s">
        <v>398</v>
      </c>
      <c r="F159" s="68" t="s">
        <v>597</v>
      </c>
      <c r="G159" s="111"/>
      <c r="H159" s="111">
        <f>57354800+10394700-3000000-103120+5000000+13043540-98479-222673</f>
        <v>82368768</v>
      </c>
      <c r="I159" s="111">
        <f t="shared" si="4"/>
        <v>82368768</v>
      </c>
    </row>
    <row r="160" spans="2:9" ht="45">
      <c r="B160" s="56" t="s">
        <v>402</v>
      </c>
      <c r="C160" s="56" t="s">
        <v>403</v>
      </c>
      <c r="D160" s="56" t="s">
        <v>401</v>
      </c>
      <c r="E160" s="56" t="s">
        <v>404</v>
      </c>
      <c r="F160" s="68" t="s">
        <v>597</v>
      </c>
      <c r="G160" s="111"/>
      <c r="H160" s="111">
        <f>1512639+997100</f>
        <v>2509739</v>
      </c>
      <c r="I160" s="111">
        <f t="shared" si="4"/>
        <v>2509739</v>
      </c>
    </row>
    <row r="161" spans="2:9" ht="44.25" customHeight="1">
      <c r="B161" s="56" t="s">
        <v>191</v>
      </c>
      <c r="C161" s="56" t="s">
        <v>192</v>
      </c>
      <c r="D161" s="56"/>
      <c r="E161" s="56" t="s">
        <v>193</v>
      </c>
      <c r="F161" s="68" t="s">
        <v>597</v>
      </c>
      <c r="G161" s="110"/>
      <c r="H161" s="111">
        <f>H162</f>
        <v>3500000</v>
      </c>
      <c r="I161" s="111">
        <f t="shared" si="4"/>
        <v>3500000</v>
      </c>
    </row>
    <row r="162" spans="2:9" ht="45">
      <c r="B162" s="56" t="s">
        <v>194</v>
      </c>
      <c r="C162" s="56" t="s">
        <v>195</v>
      </c>
      <c r="D162" s="56" t="s">
        <v>522</v>
      </c>
      <c r="E162" s="55" t="s">
        <v>196</v>
      </c>
      <c r="F162" s="68" t="s">
        <v>597</v>
      </c>
      <c r="G162" s="110"/>
      <c r="H162" s="78">
        <f>7000000-1500000-2000000</f>
        <v>3500000</v>
      </c>
      <c r="I162" s="110">
        <f t="shared" si="4"/>
        <v>3500000</v>
      </c>
    </row>
    <row r="163" spans="2:9" ht="60">
      <c r="B163" s="415" t="s">
        <v>339</v>
      </c>
      <c r="C163" s="415"/>
      <c r="D163" s="415"/>
      <c r="E163" s="415" t="s">
        <v>338</v>
      </c>
      <c r="F163" s="440"/>
      <c r="G163" s="442"/>
      <c r="H163" s="429">
        <f>H164</f>
        <v>1344710</v>
      </c>
      <c r="I163" s="424">
        <f>I164</f>
        <v>1344710</v>
      </c>
    </row>
    <row r="164" spans="2:9" ht="57">
      <c r="B164" s="419" t="s">
        <v>340</v>
      </c>
      <c r="C164" s="419"/>
      <c r="D164" s="419"/>
      <c r="E164" s="419" t="s">
        <v>420</v>
      </c>
      <c r="F164" s="437"/>
      <c r="G164" s="443"/>
      <c r="H164" s="430">
        <f>H165</f>
        <v>1344710</v>
      </c>
      <c r="I164" s="427">
        <f>I165</f>
        <v>1344710</v>
      </c>
    </row>
    <row r="165" spans="2:9" ht="45">
      <c r="B165" s="56" t="s">
        <v>381</v>
      </c>
      <c r="C165" s="56" t="s">
        <v>382</v>
      </c>
      <c r="D165" s="56" t="s">
        <v>383</v>
      </c>
      <c r="E165" s="56" t="s">
        <v>380</v>
      </c>
      <c r="F165" s="68" t="s">
        <v>597</v>
      </c>
      <c r="G165" s="110"/>
      <c r="H165" s="135">
        <v>1344710</v>
      </c>
      <c r="I165" s="130">
        <f t="shared" si="4"/>
        <v>1344710</v>
      </c>
    </row>
    <row r="166" spans="2:9" ht="75">
      <c r="B166" s="415" t="s">
        <v>341</v>
      </c>
      <c r="C166" s="415"/>
      <c r="D166" s="415"/>
      <c r="E166" s="415" t="s">
        <v>336</v>
      </c>
      <c r="F166" s="440"/>
      <c r="G166" s="429">
        <f t="shared" ref="G166:I167" si="5">G167</f>
        <v>0</v>
      </c>
      <c r="H166" s="429">
        <f t="shared" si="5"/>
        <v>1000000</v>
      </c>
      <c r="I166" s="424">
        <f t="shared" si="5"/>
        <v>1000000</v>
      </c>
    </row>
    <row r="167" spans="2:9" ht="71.25">
      <c r="B167" s="419" t="s">
        <v>342</v>
      </c>
      <c r="C167" s="419"/>
      <c r="D167" s="419"/>
      <c r="E167" s="419" t="s">
        <v>558</v>
      </c>
      <c r="F167" s="437"/>
      <c r="G167" s="430">
        <f t="shared" si="5"/>
        <v>0</v>
      </c>
      <c r="H167" s="430">
        <f t="shared" si="5"/>
        <v>1000000</v>
      </c>
      <c r="I167" s="427">
        <f t="shared" si="5"/>
        <v>1000000</v>
      </c>
    </row>
    <row r="168" spans="2:9" ht="45">
      <c r="B168" s="56" t="s">
        <v>388</v>
      </c>
      <c r="C168" s="56" t="s">
        <v>389</v>
      </c>
      <c r="D168" s="56" t="s">
        <v>390</v>
      </c>
      <c r="E168" s="56" t="s">
        <v>391</v>
      </c>
      <c r="F168" s="68" t="s">
        <v>597</v>
      </c>
      <c r="G168" s="110"/>
      <c r="H168" s="135">
        <v>1000000</v>
      </c>
      <c r="I168" s="130">
        <f t="shared" si="4"/>
        <v>1000000</v>
      </c>
    </row>
    <row r="169" spans="2:9" ht="45">
      <c r="B169" s="415" t="s">
        <v>345</v>
      </c>
      <c r="C169" s="415"/>
      <c r="D169" s="415"/>
      <c r="E169" s="415" t="s">
        <v>343</v>
      </c>
      <c r="F169" s="435"/>
      <c r="G169" s="424">
        <v>0</v>
      </c>
      <c r="H169" s="424">
        <f>H170</f>
        <v>1263036.32</v>
      </c>
      <c r="I169" s="424">
        <f>I170</f>
        <v>1263036.32</v>
      </c>
    </row>
    <row r="170" spans="2:9" ht="42.75">
      <c r="B170" s="419" t="s">
        <v>346</v>
      </c>
      <c r="C170" s="419"/>
      <c r="D170" s="419"/>
      <c r="E170" s="419" t="s">
        <v>344</v>
      </c>
      <c r="F170" s="436"/>
      <c r="G170" s="427">
        <v>0</v>
      </c>
      <c r="H170" s="427">
        <f>H171+H172+H173+H174</f>
        <v>1263036.32</v>
      </c>
      <c r="I170" s="427">
        <f>G170+H170</f>
        <v>1263036.32</v>
      </c>
    </row>
    <row r="171" spans="2:9" ht="30" customHeight="1">
      <c r="B171" s="56" t="s">
        <v>544</v>
      </c>
      <c r="C171" s="56" t="s">
        <v>545</v>
      </c>
      <c r="D171" s="56" t="s">
        <v>546</v>
      </c>
      <c r="E171" s="56" t="s">
        <v>547</v>
      </c>
      <c r="F171" s="68" t="s">
        <v>201</v>
      </c>
      <c r="G171" s="110"/>
      <c r="H171" s="111">
        <f>497000+403036.32</f>
        <v>900036.32000000007</v>
      </c>
      <c r="I171" s="126">
        <f>G171+H171</f>
        <v>900036.32000000007</v>
      </c>
    </row>
    <row r="172" spans="2:9" ht="30">
      <c r="B172" s="56" t="s">
        <v>548</v>
      </c>
      <c r="C172" s="56" t="s">
        <v>549</v>
      </c>
      <c r="D172" s="56" t="s">
        <v>550</v>
      </c>
      <c r="E172" s="56" t="s">
        <v>567</v>
      </c>
      <c r="F172" s="68" t="s">
        <v>201</v>
      </c>
      <c r="G172" s="110" t="s">
        <v>602</v>
      </c>
      <c r="H172" s="111">
        <v>83000</v>
      </c>
      <c r="I172" s="126">
        <v>83000</v>
      </c>
    </row>
    <row r="173" spans="2:9" ht="30">
      <c r="B173" s="56" t="s">
        <v>551</v>
      </c>
      <c r="C173" s="56" t="s">
        <v>552</v>
      </c>
      <c r="D173" s="56" t="s">
        <v>553</v>
      </c>
      <c r="E173" s="56" t="s">
        <v>568</v>
      </c>
      <c r="F173" s="68" t="s">
        <v>201</v>
      </c>
      <c r="G173" s="110"/>
      <c r="H173" s="111">
        <v>160000</v>
      </c>
      <c r="I173" s="126">
        <f>G173+H173</f>
        <v>160000</v>
      </c>
    </row>
    <row r="174" spans="2:9" ht="30">
      <c r="B174" s="56" t="s">
        <v>554</v>
      </c>
      <c r="C174" s="56" t="s">
        <v>555</v>
      </c>
      <c r="D174" s="56" t="s">
        <v>556</v>
      </c>
      <c r="E174" s="56" t="s">
        <v>569</v>
      </c>
      <c r="F174" s="68" t="s">
        <v>201</v>
      </c>
      <c r="G174" s="110"/>
      <c r="H174" s="111">
        <f>80000+40000</f>
        <v>120000</v>
      </c>
      <c r="I174" s="126">
        <f>G174+H174</f>
        <v>120000</v>
      </c>
    </row>
    <row r="175" spans="2:9" ht="30">
      <c r="B175" s="419" t="s">
        <v>348</v>
      </c>
      <c r="C175" s="415"/>
      <c r="D175" s="415"/>
      <c r="E175" s="415" t="s">
        <v>347</v>
      </c>
      <c r="F175" s="437"/>
      <c r="G175" s="435">
        <f>G176</f>
        <v>6347732.9000000004</v>
      </c>
      <c r="H175" s="435">
        <f>H176</f>
        <v>82667</v>
      </c>
      <c r="I175" s="435">
        <f t="shared" ref="I175:I182" si="6">G175+H175</f>
        <v>6430399.9000000004</v>
      </c>
    </row>
    <row r="176" spans="2:9" ht="28.5">
      <c r="B176" s="419" t="s">
        <v>349</v>
      </c>
      <c r="C176" s="419"/>
      <c r="D176" s="419"/>
      <c r="E176" s="419" t="s">
        <v>422</v>
      </c>
      <c r="F176" s="437"/>
      <c r="G176" s="436">
        <f>SUM(G177:G182)</f>
        <v>6347732.9000000004</v>
      </c>
      <c r="H176" s="436">
        <f>SUM(H177:H182)</f>
        <v>82667</v>
      </c>
      <c r="I176" s="436">
        <f t="shared" si="6"/>
        <v>6430399.9000000004</v>
      </c>
    </row>
    <row r="177" spans="1:14" ht="45">
      <c r="B177" s="76" t="s">
        <v>189</v>
      </c>
      <c r="C177" s="76" t="s">
        <v>79</v>
      </c>
      <c r="D177" s="76" t="s">
        <v>465</v>
      </c>
      <c r="E177" s="76" t="s">
        <v>51</v>
      </c>
      <c r="F177" s="68" t="s">
        <v>217</v>
      </c>
      <c r="G177" s="83">
        <f>335000+100000</f>
        <v>435000</v>
      </c>
      <c r="H177" s="83"/>
      <c r="I177" s="89">
        <f t="shared" si="6"/>
        <v>435000</v>
      </c>
    </row>
    <row r="178" spans="1:14" ht="30">
      <c r="A178" s="37"/>
      <c r="B178" s="76" t="s">
        <v>189</v>
      </c>
      <c r="C178" s="76" t="s">
        <v>79</v>
      </c>
      <c r="D178" s="76" t="s">
        <v>465</v>
      </c>
      <c r="E178" s="76" t="s">
        <v>51</v>
      </c>
      <c r="F178" s="68" t="s">
        <v>199</v>
      </c>
      <c r="G178" s="83">
        <f>(2000000-300000)-300000-199500</f>
        <v>1200500</v>
      </c>
      <c r="H178" s="83"/>
      <c r="I178" s="89">
        <f t="shared" si="6"/>
        <v>1200500</v>
      </c>
    </row>
    <row r="179" spans="1:14" ht="45">
      <c r="A179" s="37"/>
      <c r="B179" s="76" t="s">
        <v>189</v>
      </c>
      <c r="C179" s="76" t="s">
        <v>79</v>
      </c>
      <c r="D179" s="76" t="s">
        <v>465</v>
      </c>
      <c r="E179" s="76" t="s">
        <v>51</v>
      </c>
      <c r="F179" s="68" t="s">
        <v>198</v>
      </c>
      <c r="G179" s="83">
        <f>1000000-195200-70501-342076-371640</f>
        <v>20583</v>
      </c>
      <c r="H179" s="83"/>
      <c r="I179" s="89">
        <f t="shared" si="6"/>
        <v>20583</v>
      </c>
    </row>
    <row r="180" spans="1:14" ht="60">
      <c r="A180" s="37"/>
      <c r="B180" s="76" t="s">
        <v>189</v>
      </c>
      <c r="C180" s="76" t="s">
        <v>79</v>
      </c>
      <c r="D180" s="76" t="s">
        <v>465</v>
      </c>
      <c r="E180" s="76" t="s">
        <v>51</v>
      </c>
      <c r="F180" s="68" t="s">
        <v>5</v>
      </c>
      <c r="G180" s="83">
        <f>(617333-120683.1)+200000</f>
        <v>696649.9</v>
      </c>
      <c r="H180" s="83">
        <v>82667</v>
      </c>
      <c r="I180" s="89">
        <f t="shared" si="6"/>
        <v>779316.9</v>
      </c>
    </row>
    <row r="181" spans="1:14" ht="45">
      <c r="A181" s="37"/>
      <c r="B181" s="76" t="s">
        <v>189</v>
      </c>
      <c r="C181" s="76" t="s">
        <v>79</v>
      </c>
      <c r="D181" s="76" t="s">
        <v>465</v>
      </c>
      <c r="E181" s="76" t="s">
        <v>51</v>
      </c>
      <c r="F181" s="68" t="s">
        <v>6</v>
      </c>
      <c r="G181" s="83">
        <f>(1300000)+395000</f>
        <v>1695000</v>
      </c>
      <c r="H181" s="83"/>
      <c r="I181" s="89">
        <f t="shared" si="6"/>
        <v>1695000</v>
      </c>
    </row>
    <row r="182" spans="1:14" ht="45">
      <c r="A182" s="37"/>
      <c r="B182" s="76" t="s">
        <v>189</v>
      </c>
      <c r="C182" s="76" t="s">
        <v>79</v>
      </c>
      <c r="D182" s="76" t="s">
        <v>465</v>
      </c>
      <c r="E182" s="76" t="s">
        <v>51</v>
      </c>
      <c r="F182" s="68" t="s">
        <v>597</v>
      </c>
      <c r="G182" s="83">
        <f>(2000000+300000)+100000-100000</f>
        <v>2300000</v>
      </c>
      <c r="H182" s="83"/>
      <c r="I182" s="89">
        <f t="shared" si="6"/>
        <v>2300000</v>
      </c>
    </row>
    <row r="183" spans="1:14" ht="26.25" customHeight="1">
      <c r="A183" s="37"/>
      <c r="B183" s="446"/>
      <c r="C183" s="446"/>
      <c r="D183" s="447"/>
      <c r="E183" s="448" t="s">
        <v>317</v>
      </c>
      <c r="F183" s="459"/>
      <c r="G183" s="450">
        <f>G5+G24+G41+G64+G71+G129+G139+G175+G166</f>
        <v>1828342582.2</v>
      </c>
      <c r="H183" s="450">
        <f>H5+H24+H41+H64+H71+H129+H139+H157+H163+H166+H169+H175</f>
        <v>540016493.80000007</v>
      </c>
      <c r="I183" s="460">
        <f>G183+H183</f>
        <v>2368359076</v>
      </c>
    </row>
    <row r="184" spans="1:14" ht="51" customHeight="1">
      <c r="A184" s="37"/>
      <c r="B184" s="534" t="s">
        <v>848</v>
      </c>
      <c r="C184" s="534"/>
      <c r="D184" s="534"/>
      <c r="E184" s="534"/>
      <c r="F184" s="534"/>
      <c r="G184" s="534"/>
      <c r="H184" s="534"/>
      <c r="I184" s="534"/>
      <c r="J184" s="534"/>
      <c r="K184" s="534"/>
      <c r="L184" s="534"/>
      <c r="M184" s="534"/>
      <c r="N184" s="534"/>
    </row>
    <row r="185" spans="1:14" ht="15">
      <c r="I185" s="150"/>
    </row>
  </sheetData>
  <mergeCells count="38">
    <mergeCell ref="B79:B85"/>
    <mergeCell ref="B90:B91"/>
    <mergeCell ref="C79:C85"/>
    <mergeCell ref="D79:D85"/>
    <mergeCell ref="C90:C91"/>
    <mergeCell ref="D90:D91"/>
    <mergeCell ref="B184:N184"/>
    <mergeCell ref="I109:I110"/>
    <mergeCell ref="B111:B113"/>
    <mergeCell ref="C111:C113"/>
    <mergeCell ref="D111:D113"/>
    <mergeCell ref="H111:H113"/>
    <mergeCell ref="C109:C110"/>
    <mergeCell ref="D109:D110"/>
    <mergeCell ref="F109:F110"/>
    <mergeCell ref="G109:G110"/>
    <mergeCell ref="I111:I113"/>
    <mergeCell ref="F111:F113"/>
    <mergeCell ref="B109:B110"/>
    <mergeCell ref="H109:H110"/>
    <mergeCell ref="G111:G113"/>
    <mergeCell ref="G1:I1"/>
    <mergeCell ref="B2:I2"/>
    <mergeCell ref="B76:B78"/>
    <mergeCell ref="C76:C78"/>
    <mergeCell ref="D76:D78"/>
    <mergeCell ref="I76:I78"/>
    <mergeCell ref="H76:H78"/>
    <mergeCell ref="I79:I85"/>
    <mergeCell ref="I90:I91"/>
    <mergeCell ref="H79:H85"/>
    <mergeCell ref="F76:F78"/>
    <mergeCell ref="G76:G78"/>
    <mergeCell ref="H90:H91"/>
    <mergeCell ref="F79:F85"/>
    <mergeCell ref="G79:G85"/>
    <mergeCell ref="F90:F91"/>
    <mergeCell ref="G90:G91"/>
  </mergeCells>
  <phoneticPr fontId="16" type="noConversion"/>
  <pageMargins left="0.31496062992125984" right="0.31496062992125984" top="0.35433070866141736" bottom="0.39370078740157483" header="0.35433070866141736" footer="0.35433070866141736"/>
  <pageSetup paperSize="9" scale="79" fitToHeight="0" orientation="landscape" r:id="rId1"/>
  <headerFooter alignWithMargins="0">
    <oddFooter>&amp;R&amp;P</oddFooter>
  </headerFooter>
  <rowBreaks count="10" manualBreakCount="10">
    <brk id="21" min="1" max="8" man="1"/>
    <brk id="32" min="1" max="8" man="1"/>
    <brk id="45" min="1" max="8" man="1"/>
    <brk id="55" min="1" max="8" man="1"/>
    <brk id="67" min="1" max="8" man="1"/>
    <brk id="78" min="1" max="8" man="1"/>
    <brk id="107" min="1" max="8" man="1"/>
    <brk id="116" min="1" max="8" man="1"/>
    <brk id="130" min="1" max="8" man="1"/>
    <brk id="141"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7</vt:i4>
      </vt:variant>
    </vt:vector>
  </HeadingPairs>
  <TitlesOfParts>
    <vt:vector size="15" baseType="lpstr">
      <vt:lpstr>дод1</vt:lpstr>
      <vt:lpstr>dod2</vt:lpstr>
      <vt:lpstr>dod3</vt:lpstr>
      <vt:lpstr>dod4</vt:lpstr>
      <vt:lpstr>dod5</vt:lpstr>
      <vt:lpstr>dod6</vt:lpstr>
      <vt:lpstr>dod7</vt:lpstr>
      <vt:lpstr>dod8</vt:lpstr>
      <vt:lpstr>'dod3'!Заголовки_для_печати</vt:lpstr>
      <vt:lpstr>'dod2'!Область_печати</vt:lpstr>
      <vt:lpstr>'dod3'!Область_печати</vt:lpstr>
      <vt:lpstr>'dod4'!Область_печати</vt:lpstr>
      <vt:lpstr>'dod5'!Область_печати</vt:lpstr>
      <vt:lpstr>'dod6'!Область_печати</vt:lpstr>
      <vt:lpstr>'dod8'!Область_печати</vt:lpstr>
    </vt:vector>
  </TitlesOfParts>
  <Company>Міське фінуправління</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I_Bachinska</cp:lastModifiedBy>
  <cp:lastPrinted>2017-10-12T18:33:21Z</cp:lastPrinted>
  <dcterms:created xsi:type="dcterms:W3CDTF">2001-12-03T09:30:42Z</dcterms:created>
  <dcterms:modified xsi:type="dcterms:W3CDTF">2017-10-17T09:17:59Z</dcterms:modified>
</cp:coreProperties>
</file>