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4\22.02.2024\"/>
    </mc:Choice>
  </mc:AlternateContent>
  <bookViews>
    <workbookView xWindow="0" yWindow="0" windowWidth="28800" windowHeight="12435"/>
  </bookViews>
  <sheets>
    <sheet name="d2" sheetId="1" r:id="rId1"/>
  </sheets>
  <definedNames>
    <definedName name="_xlnm.Print_Titles" localSheetId="0">'d2'!$10:$13</definedName>
    <definedName name="_xlnm.Print_Area" localSheetId="0">'d2'!$B$1:$N$233</definedName>
    <definedName name="С16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9" i="1" l="1"/>
  <c r="S229" i="1"/>
  <c r="I217" i="1"/>
  <c r="I203" i="1"/>
  <c r="I190" i="1"/>
  <c r="I193" i="1"/>
  <c r="I188" i="1"/>
  <c r="I162" i="1"/>
  <c r="I160" i="1"/>
  <c r="I150" i="1"/>
  <c r="I112" i="1"/>
  <c r="I18" i="1"/>
  <c r="I16" i="1"/>
  <c r="K221" i="1"/>
  <c r="K220" i="1"/>
  <c r="J224" i="1"/>
  <c r="I222" i="1"/>
  <c r="H221" i="1"/>
  <c r="H220" i="1"/>
  <c r="H222" i="1"/>
  <c r="H223" i="1"/>
  <c r="K223" i="1"/>
  <c r="O211" i="1"/>
  <c r="K214" i="1"/>
  <c r="K216" i="1"/>
  <c r="O156" i="1"/>
  <c r="K164" i="1"/>
  <c r="H209" i="1" l="1"/>
  <c r="H210" i="1"/>
  <c r="K188" i="1"/>
  <c r="K152" i="1" l="1"/>
  <c r="J151" i="1"/>
  <c r="K151" i="1" s="1"/>
  <c r="I151" i="1"/>
  <c r="H151" i="1"/>
  <c r="H154" i="1"/>
  <c r="G151" i="1"/>
  <c r="G142" i="1"/>
  <c r="H142" i="1" s="1"/>
  <c r="H145" i="1"/>
  <c r="H140" i="1"/>
  <c r="H139" i="1"/>
  <c r="H138" i="1"/>
  <c r="H137" i="1"/>
  <c r="H134" i="1"/>
  <c r="G134" i="1"/>
  <c r="F134" i="1"/>
  <c r="N151" i="1" l="1"/>
  <c r="K56" i="1"/>
  <c r="K55" i="1"/>
  <c r="H55" i="1"/>
  <c r="N56" i="1"/>
  <c r="N55" i="1"/>
  <c r="G19" i="1"/>
  <c r="F19" i="1"/>
  <c r="J54" i="1"/>
  <c r="I54" i="1"/>
  <c r="G54" i="1"/>
  <c r="F54" i="1"/>
  <c r="H47" i="1"/>
  <c r="N54" i="1" l="1"/>
  <c r="K54" i="1"/>
  <c r="H54" i="1"/>
  <c r="F51" i="1" l="1"/>
  <c r="F48" i="1"/>
  <c r="F43" i="1"/>
  <c r="F39" i="1"/>
  <c r="F36" i="1"/>
  <c r="F33" i="1"/>
  <c r="F28" i="1"/>
  <c r="F25" i="1"/>
  <c r="F21" i="1"/>
  <c r="K207" i="1"/>
  <c r="K195" i="1"/>
  <c r="K187" i="1"/>
  <c r="K58" i="1" l="1"/>
  <c r="K60" i="1"/>
  <c r="K61" i="1"/>
  <c r="K64" i="1"/>
  <c r="K68" i="1"/>
  <c r="J63" i="1"/>
  <c r="K63" i="1" s="1"/>
  <c r="I63" i="1"/>
  <c r="E63" i="1"/>
  <c r="J51" i="1" l="1"/>
  <c r="I51" i="1"/>
  <c r="G51" i="1"/>
  <c r="E51" i="1"/>
  <c r="N52" i="1"/>
  <c r="K52" i="1"/>
  <c r="N42" i="1"/>
  <c r="K42" i="1"/>
  <c r="J18" i="1"/>
  <c r="K51" i="1" l="1"/>
  <c r="N51" i="1"/>
  <c r="E217" i="1"/>
  <c r="E207" i="1"/>
  <c r="E203" i="1"/>
  <c r="E195" i="1" l="1"/>
  <c r="E188" i="1"/>
  <c r="E175" i="1"/>
  <c r="G173" i="1" l="1"/>
  <c r="E155" i="1"/>
  <c r="E150" i="1"/>
  <c r="E149" i="1"/>
  <c r="H147" i="1"/>
  <c r="N147" i="1"/>
  <c r="E112" i="1" l="1"/>
  <c r="H89" i="1"/>
  <c r="N89" i="1"/>
  <c r="F67" i="1"/>
  <c r="E18" i="1" l="1"/>
  <c r="E17" i="1"/>
  <c r="E16" i="1"/>
  <c r="N226" i="1" l="1"/>
  <c r="J225" i="1"/>
  <c r="I225" i="1"/>
  <c r="G225" i="1"/>
  <c r="F225" i="1"/>
  <c r="E225" i="1"/>
  <c r="N225" i="1" l="1"/>
  <c r="K228" i="1"/>
  <c r="N228" i="1"/>
  <c r="J227" i="1"/>
  <c r="I227" i="1"/>
  <c r="G227" i="1"/>
  <c r="F227" i="1"/>
  <c r="E227" i="1"/>
  <c r="K227" i="1" l="1"/>
  <c r="N227" i="1"/>
  <c r="K202" i="1" l="1"/>
  <c r="K84" i="1"/>
  <c r="N53" i="1"/>
  <c r="K53" i="1"/>
  <c r="N218" i="1" l="1"/>
  <c r="H218" i="1"/>
  <c r="H208" i="1" l="1"/>
  <c r="H174" i="1" l="1"/>
  <c r="H171" i="1"/>
  <c r="E134" i="1"/>
  <c r="H136" i="1"/>
  <c r="N136" i="1"/>
  <c r="H117" i="1" l="1"/>
  <c r="H78" i="1"/>
  <c r="K224" i="1" l="1"/>
  <c r="H217" i="1"/>
  <c r="H216" i="1"/>
  <c r="H215" i="1"/>
  <c r="H213" i="1"/>
  <c r="H207" i="1"/>
  <c r="H203" i="1"/>
  <c r="H202" i="1"/>
  <c r="H201" i="1"/>
  <c r="H199" i="1"/>
  <c r="H198" i="1"/>
  <c r="K198" i="1"/>
  <c r="I161" i="1" l="1"/>
  <c r="H195" i="1"/>
  <c r="H191" i="1"/>
  <c r="H188" i="1"/>
  <c r="H187" i="1"/>
  <c r="H186" i="1"/>
  <c r="H184" i="1"/>
  <c r="H182" i="1"/>
  <c r="H181" i="1"/>
  <c r="H179" i="1"/>
  <c r="H177" i="1"/>
  <c r="H176" i="1"/>
  <c r="H158" i="1"/>
  <c r="H155" i="1" l="1"/>
  <c r="H153" i="1"/>
  <c r="H150" i="1"/>
  <c r="H149" i="1"/>
  <c r="H144" i="1"/>
  <c r="H143" i="1"/>
  <c r="H133" i="1"/>
  <c r="H132" i="1"/>
  <c r="H130" i="1"/>
  <c r="H128" i="1"/>
  <c r="H127" i="1"/>
  <c r="H124" i="1"/>
  <c r="H123" i="1"/>
  <c r="H121" i="1"/>
  <c r="H120" i="1"/>
  <c r="H119" i="1"/>
  <c r="H118" i="1"/>
  <c r="H115" i="1" l="1"/>
  <c r="H114" i="1"/>
  <c r="H112" i="1"/>
  <c r="H97" i="1"/>
  <c r="H95" i="1"/>
  <c r="H93" i="1"/>
  <c r="H92" i="1"/>
  <c r="H90" i="1"/>
  <c r="H88" i="1"/>
  <c r="H87" i="1"/>
  <c r="H85" i="1"/>
  <c r="H84" i="1"/>
  <c r="H82" i="1"/>
  <c r="H81" i="1"/>
  <c r="H79" i="1"/>
  <c r="H77" i="1"/>
  <c r="F71" i="1"/>
  <c r="H76" i="1"/>
  <c r="H75" i="1"/>
  <c r="H74" i="1"/>
  <c r="H73" i="1"/>
  <c r="H72" i="1"/>
  <c r="K112" i="1" l="1"/>
  <c r="H69" i="1"/>
  <c r="H68" i="1"/>
  <c r="H64" i="1"/>
  <c r="H61" i="1"/>
  <c r="H60" i="1"/>
  <c r="H59" i="1"/>
  <c r="E67" i="1"/>
  <c r="H58" i="1"/>
  <c r="H46" i="1"/>
  <c r="H45" i="1"/>
  <c r="H44" i="1"/>
  <c r="H42" i="1"/>
  <c r="H41" i="1"/>
  <c r="H40" i="1"/>
  <c r="H38" i="1"/>
  <c r="H37" i="1"/>
  <c r="H35" i="1"/>
  <c r="E14" i="1"/>
  <c r="F14" i="1"/>
  <c r="G14" i="1"/>
  <c r="I14" i="1"/>
  <c r="J14" i="1"/>
  <c r="H34" i="1"/>
  <c r="H32" i="1"/>
  <c r="H31" i="1"/>
  <c r="H30" i="1"/>
  <c r="H29" i="1"/>
  <c r="H27" i="1"/>
  <c r="H26" i="1"/>
  <c r="H24" i="1"/>
  <c r="H23" i="1"/>
  <c r="H22" i="1"/>
  <c r="G48" i="1"/>
  <c r="K40" i="1"/>
  <c r="H20" i="1"/>
  <c r="H18" i="1"/>
  <c r="H17" i="1"/>
  <c r="H16" i="1"/>
  <c r="K14" i="1" l="1"/>
  <c r="H14" i="1"/>
  <c r="K15" i="1"/>
  <c r="H15" i="1" l="1"/>
  <c r="I96" i="1" l="1"/>
  <c r="J96" i="1"/>
  <c r="N24" i="1"/>
  <c r="K24" i="1"/>
  <c r="F222" i="1" l="1"/>
  <c r="F221" i="1" s="1"/>
  <c r="F220" i="1" s="1"/>
  <c r="F214" i="1"/>
  <c r="F212" i="1"/>
  <c r="F209" i="1"/>
  <c r="F206" i="1"/>
  <c r="F204" i="1"/>
  <c r="F200" i="1"/>
  <c r="F197" i="1"/>
  <c r="F192" i="1"/>
  <c r="F185" i="1"/>
  <c r="F180" i="1"/>
  <c r="F178" i="1"/>
  <c r="F175" i="1"/>
  <c r="F173" i="1"/>
  <c r="F169" i="1"/>
  <c r="F159" i="1" s="1"/>
  <c r="F157" i="1"/>
  <c r="F151" i="1"/>
  <c r="F142" i="1"/>
  <c r="F137" i="1"/>
  <c r="F131" i="1"/>
  <c r="F129" i="1"/>
  <c r="F126" i="1"/>
  <c r="F122" i="1"/>
  <c r="F116" i="1" s="1"/>
  <c r="F113" i="1"/>
  <c r="F98" i="1"/>
  <c r="F96" i="1"/>
  <c r="F94" i="1"/>
  <c r="F91" i="1"/>
  <c r="F86" i="1"/>
  <c r="F83" i="1"/>
  <c r="F80" i="1"/>
  <c r="F65" i="1"/>
  <c r="F63" i="1"/>
  <c r="F183" i="1" l="1"/>
  <c r="F141" i="1"/>
  <c r="F211" i="1"/>
  <c r="F172" i="1"/>
  <c r="F196" i="1"/>
  <c r="F70" i="1"/>
  <c r="F57" i="1"/>
  <c r="F125" i="1"/>
  <c r="F156" i="1" l="1"/>
  <c r="F219" i="1" s="1"/>
  <c r="F251" i="1" s="1"/>
  <c r="N223" i="1"/>
  <c r="K199" i="1"/>
  <c r="K140" i="1"/>
  <c r="N97" i="1"/>
  <c r="K96" i="1"/>
  <c r="K97" i="1"/>
  <c r="F229" i="1" l="1"/>
  <c r="K18" i="1"/>
  <c r="N202" i="1" l="1"/>
  <c r="G200" i="1"/>
  <c r="H200" i="1" s="1"/>
  <c r="J200" i="1"/>
  <c r="I200" i="1"/>
  <c r="E200" i="1"/>
  <c r="N201" i="1" l="1"/>
  <c r="N171" i="1" l="1"/>
  <c r="G157" i="1"/>
  <c r="H157" i="1" s="1"/>
  <c r="E157" i="1"/>
  <c r="I157" i="1"/>
  <c r="N121" i="1" l="1"/>
  <c r="N112" i="1"/>
  <c r="N78" i="1"/>
  <c r="K203" i="1" l="1"/>
  <c r="J178" i="1"/>
  <c r="N140" i="1"/>
  <c r="G63" i="1" l="1"/>
  <c r="H63" i="1" s="1"/>
  <c r="N15" i="1" l="1"/>
  <c r="N16" i="1"/>
  <c r="N17" i="1"/>
  <c r="N18" i="1"/>
  <c r="K20" i="1"/>
  <c r="N20" i="1"/>
  <c r="E21" i="1"/>
  <c r="G21" i="1"/>
  <c r="I21" i="1"/>
  <c r="J21" i="1"/>
  <c r="K22" i="1"/>
  <c r="N22" i="1"/>
  <c r="K23" i="1"/>
  <c r="N23" i="1"/>
  <c r="E25" i="1"/>
  <c r="G25" i="1"/>
  <c r="I25" i="1"/>
  <c r="J25" i="1"/>
  <c r="N26" i="1"/>
  <c r="N27" i="1"/>
  <c r="E28" i="1"/>
  <c r="G28" i="1"/>
  <c r="H28" i="1" s="1"/>
  <c r="I28" i="1"/>
  <c r="J28" i="1"/>
  <c r="K30" i="1"/>
  <c r="N30" i="1"/>
  <c r="K31" i="1"/>
  <c r="N31" i="1"/>
  <c r="K32" i="1"/>
  <c r="N32" i="1"/>
  <c r="E33" i="1"/>
  <c r="G33" i="1"/>
  <c r="H33" i="1" s="1"/>
  <c r="I33" i="1"/>
  <c r="J33" i="1"/>
  <c r="K34" i="1"/>
  <c r="N34" i="1"/>
  <c r="N35" i="1"/>
  <c r="E36" i="1"/>
  <c r="G36" i="1"/>
  <c r="H36" i="1" s="1"/>
  <c r="I36" i="1"/>
  <c r="J36" i="1"/>
  <c r="K37" i="1"/>
  <c r="N37" i="1"/>
  <c r="N38" i="1"/>
  <c r="E39" i="1"/>
  <c r="G39" i="1"/>
  <c r="H39" i="1" s="1"/>
  <c r="I39" i="1"/>
  <c r="J39" i="1"/>
  <c r="K39" i="1" s="1"/>
  <c r="N40" i="1"/>
  <c r="N41" i="1"/>
  <c r="E43" i="1"/>
  <c r="G43" i="1"/>
  <c r="H43" i="1" s="1"/>
  <c r="I43" i="1"/>
  <c r="J43" i="1"/>
  <c r="K44" i="1"/>
  <c r="N44" i="1"/>
  <c r="K45" i="1"/>
  <c r="N45" i="1"/>
  <c r="N46" i="1"/>
  <c r="N47" i="1"/>
  <c r="E48" i="1"/>
  <c r="I48" i="1"/>
  <c r="J48" i="1"/>
  <c r="N48" i="1" s="1"/>
  <c r="K49" i="1"/>
  <c r="N49" i="1"/>
  <c r="K50" i="1"/>
  <c r="N50" i="1"/>
  <c r="N58" i="1"/>
  <c r="N59" i="1"/>
  <c r="N60" i="1"/>
  <c r="N61" i="1"/>
  <c r="K62" i="1"/>
  <c r="N62" i="1"/>
  <c r="N63" i="1"/>
  <c r="N64" i="1"/>
  <c r="E65" i="1"/>
  <c r="G65" i="1"/>
  <c r="N66" i="1"/>
  <c r="G67" i="1"/>
  <c r="H67" i="1" s="1"/>
  <c r="I67" i="1"/>
  <c r="I57" i="1" s="1"/>
  <c r="J67" i="1"/>
  <c r="N68" i="1"/>
  <c r="N69" i="1"/>
  <c r="E71" i="1"/>
  <c r="G71" i="1"/>
  <c r="H71" i="1" s="1"/>
  <c r="I71" i="1"/>
  <c r="J71" i="1"/>
  <c r="K72" i="1"/>
  <c r="N72" i="1"/>
  <c r="N73" i="1"/>
  <c r="N74" i="1"/>
  <c r="N75" i="1"/>
  <c r="N76" i="1"/>
  <c r="N77" i="1"/>
  <c r="N79" i="1"/>
  <c r="E80" i="1"/>
  <c r="G80" i="1"/>
  <c r="H80" i="1" s="1"/>
  <c r="I80" i="1"/>
  <c r="J80" i="1"/>
  <c r="K81" i="1"/>
  <c r="N81" i="1"/>
  <c r="K82" i="1"/>
  <c r="N82" i="1"/>
  <c r="E83" i="1"/>
  <c r="G83" i="1"/>
  <c r="H83" i="1" s="1"/>
  <c r="I83" i="1"/>
  <c r="J83" i="1"/>
  <c r="N84" i="1"/>
  <c r="K85" i="1"/>
  <c r="N85" i="1"/>
  <c r="E86" i="1"/>
  <c r="G86" i="1"/>
  <c r="H86" i="1" s="1"/>
  <c r="I86" i="1"/>
  <c r="J86" i="1"/>
  <c r="K87" i="1"/>
  <c r="N87" i="1"/>
  <c r="K88" i="1"/>
  <c r="N88" i="1"/>
  <c r="N90" i="1"/>
  <c r="E91" i="1"/>
  <c r="G91" i="1"/>
  <c r="N92" i="1"/>
  <c r="N93" i="1"/>
  <c r="E94" i="1"/>
  <c r="G94" i="1"/>
  <c r="H94" i="1" s="1"/>
  <c r="N95" i="1"/>
  <c r="E96" i="1"/>
  <c r="G96" i="1"/>
  <c r="E98" i="1"/>
  <c r="G98" i="1"/>
  <c r="I98" i="1"/>
  <c r="J98" i="1"/>
  <c r="K99" i="1"/>
  <c r="N99" i="1"/>
  <c r="K102" i="1"/>
  <c r="N102" i="1"/>
  <c r="K106" i="1"/>
  <c r="N106" i="1"/>
  <c r="K109" i="1"/>
  <c r="N109" i="1"/>
  <c r="E113" i="1"/>
  <c r="G113" i="1"/>
  <c r="H113" i="1" s="1"/>
  <c r="I113" i="1"/>
  <c r="J113" i="1"/>
  <c r="K114" i="1"/>
  <c r="N114" i="1"/>
  <c r="K115" i="1"/>
  <c r="N115" i="1"/>
  <c r="N117" i="1"/>
  <c r="K118" i="1"/>
  <c r="N118" i="1"/>
  <c r="K119" i="1"/>
  <c r="N119" i="1"/>
  <c r="K120" i="1"/>
  <c r="N120" i="1"/>
  <c r="E122" i="1"/>
  <c r="E116" i="1" s="1"/>
  <c r="G122" i="1"/>
  <c r="I122" i="1"/>
  <c r="I116" i="1" s="1"/>
  <c r="J122" i="1"/>
  <c r="K123" i="1"/>
  <c r="N123" i="1"/>
  <c r="N124" i="1"/>
  <c r="E126" i="1"/>
  <c r="G126" i="1"/>
  <c r="N127" i="1"/>
  <c r="N128" i="1"/>
  <c r="E129" i="1"/>
  <c r="G129" i="1"/>
  <c r="H129" i="1" s="1"/>
  <c r="N130" i="1"/>
  <c r="E131" i="1"/>
  <c r="G131" i="1"/>
  <c r="H131" i="1" s="1"/>
  <c r="I131" i="1"/>
  <c r="J131" i="1"/>
  <c r="K132" i="1"/>
  <c r="N132" i="1"/>
  <c r="N133" i="1"/>
  <c r="I134" i="1"/>
  <c r="J134" i="1"/>
  <c r="K135" i="1"/>
  <c r="N135" i="1"/>
  <c r="E137" i="1"/>
  <c r="G137" i="1"/>
  <c r="I137" i="1"/>
  <c r="J137" i="1"/>
  <c r="N138" i="1"/>
  <c r="N139" i="1"/>
  <c r="E142" i="1"/>
  <c r="I142" i="1"/>
  <c r="J142" i="1"/>
  <c r="K143" i="1"/>
  <c r="N143" i="1"/>
  <c r="N144" i="1"/>
  <c r="K145" i="1"/>
  <c r="N145" i="1"/>
  <c r="K146" i="1"/>
  <c r="N146" i="1"/>
  <c r="K148" i="1"/>
  <c r="N148" i="1"/>
  <c r="K150" i="1"/>
  <c r="N150" i="1"/>
  <c r="E151" i="1"/>
  <c r="N152" i="1"/>
  <c r="K153" i="1"/>
  <c r="N153" i="1"/>
  <c r="N154" i="1"/>
  <c r="N155" i="1"/>
  <c r="J157" i="1"/>
  <c r="K158" i="1"/>
  <c r="N158" i="1"/>
  <c r="K160" i="1"/>
  <c r="N160" i="1"/>
  <c r="J161" i="1"/>
  <c r="N162" i="1"/>
  <c r="K163" i="1"/>
  <c r="N163" i="1"/>
  <c r="N164" i="1"/>
  <c r="K165" i="1"/>
  <c r="N165" i="1"/>
  <c r="K166" i="1"/>
  <c r="N166" i="1"/>
  <c r="K167" i="1"/>
  <c r="N167" i="1"/>
  <c r="K168" i="1"/>
  <c r="N168" i="1"/>
  <c r="E169" i="1"/>
  <c r="E159" i="1" s="1"/>
  <c r="G169" i="1"/>
  <c r="G159" i="1" s="1"/>
  <c r="H159" i="1" s="1"/>
  <c r="I169" i="1"/>
  <c r="J169" i="1"/>
  <c r="K170" i="1"/>
  <c r="N170" i="1"/>
  <c r="E173" i="1"/>
  <c r="H173" i="1"/>
  <c r="I173" i="1"/>
  <c r="J173" i="1"/>
  <c r="N174" i="1"/>
  <c r="G175" i="1"/>
  <c r="N176" i="1"/>
  <c r="N177" i="1"/>
  <c r="E178" i="1"/>
  <c r="G178" i="1"/>
  <c r="H178" i="1" s="1"/>
  <c r="I178" i="1"/>
  <c r="K179" i="1"/>
  <c r="N179" i="1"/>
  <c r="E180" i="1"/>
  <c r="G180" i="1"/>
  <c r="H180" i="1" s="1"/>
  <c r="I180" i="1"/>
  <c r="J180" i="1"/>
  <c r="K181" i="1"/>
  <c r="N181" i="1"/>
  <c r="N182" i="1"/>
  <c r="N184" i="1"/>
  <c r="E185" i="1"/>
  <c r="G185" i="1"/>
  <c r="H185" i="1" s="1"/>
  <c r="I185" i="1"/>
  <c r="J185" i="1"/>
  <c r="N186" i="1"/>
  <c r="N187" i="1"/>
  <c r="N188" i="1"/>
  <c r="K189" i="1"/>
  <c r="N189" i="1"/>
  <c r="N190" i="1"/>
  <c r="N191" i="1"/>
  <c r="I192" i="1"/>
  <c r="J192" i="1"/>
  <c r="E192" i="1"/>
  <c r="E197" i="1"/>
  <c r="G197" i="1"/>
  <c r="H197" i="1" s="1"/>
  <c r="I197" i="1"/>
  <c r="J197" i="1"/>
  <c r="N198" i="1"/>
  <c r="N199" i="1"/>
  <c r="K200" i="1"/>
  <c r="N203" i="1"/>
  <c r="E204" i="1"/>
  <c r="G204" i="1"/>
  <c r="I204" i="1"/>
  <c r="J204" i="1"/>
  <c r="K205" i="1"/>
  <c r="N205" i="1"/>
  <c r="E206" i="1"/>
  <c r="G206" i="1"/>
  <c r="H206" i="1" s="1"/>
  <c r="I206" i="1"/>
  <c r="J206" i="1"/>
  <c r="N207" i="1"/>
  <c r="N208" i="1"/>
  <c r="E209" i="1"/>
  <c r="G209" i="1"/>
  <c r="I209" i="1"/>
  <c r="J209" i="1"/>
  <c r="N210" i="1"/>
  <c r="E212" i="1"/>
  <c r="G212" i="1"/>
  <c r="I212" i="1"/>
  <c r="J212" i="1"/>
  <c r="N213" i="1"/>
  <c r="E214" i="1"/>
  <c r="G214" i="1"/>
  <c r="H214" i="1" s="1"/>
  <c r="I214" i="1"/>
  <c r="J214" i="1"/>
  <c r="N215" i="1"/>
  <c r="N216" i="1"/>
  <c r="K217" i="1"/>
  <c r="N217" i="1"/>
  <c r="L219" i="1"/>
  <c r="M219" i="1"/>
  <c r="E222" i="1"/>
  <c r="E221" i="1" s="1"/>
  <c r="E220" i="1" s="1"/>
  <c r="G222" i="1"/>
  <c r="G221" i="1" s="1"/>
  <c r="I221" i="1"/>
  <c r="I220" i="1" s="1"/>
  <c r="J222" i="1"/>
  <c r="N224" i="1"/>
  <c r="L229" i="1"/>
  <c r="M229" i="1"/>
  <c r="I19" i="1" l="1"/>
  <c r="J221" i="1"/>
  <c r="J220" i="1" s="1"/>
  <c r="J19" i="1"/>
  <c r="K206" i="1"/>
  <c r="K67" i="1"/>
  <c r="K137" i="1"/>
  <c r="I211" i="1"/>
  <c r="E211" i="1"/>
  <c r="H21" i="1"/>
  <c r="H19" i="1"/>
  <c r="H212" i="1"/>
  <c r="G211" i="1"/>
  <c r="H211" i="1" s="1"/>
  <c r="K83" i="1"/>
  <c r="E19" i="1"/>
  <c r="N209" i="1"/>
  <c r="J211" i="1"/>
  <c r="K180" i="1"/>
  <c r="E57" i="1"/>
  <c r="K48" i="1"/>
  <c r="N96" i="1"/>
  <c r="H96" i="1"/>
  <c r="N91" i="1"/>
  <c r="H91" i="1"/>
  <c r="N25" i="1"/>
  <c r="H25" i="1"/>
  <c r="K197" i="1"/>
  <c r="N178" i="1"/>
  <c r="N175" i="1"/>
  <c r="H175" i="1"/>
  <c r="N126" i="1"/>
  <c r="H126" i="1"/>
  <c r="G116" i="1"/>
  <c r="H116" i="1" s="1"/>
  <c r="H122" i="1"/>
  <c r="N28" i="1"/>
  <c r="K86" i="1"/>
  <c r="N142" i="1"/>
  <c r="K98" i="1"/>
  <c r="N113" i="1"/>
  <c r="N67" i="1"/>
  <c r="G57" i="1"/>
  <c r="H57" i="1" s="1"/>
  <c r="K204" i="1"/>
  <c r="N197" i="1"/>
  <c r="I125" i="1"/>
  <c r="N98" i="1"/>
  <c r="N65" i="1"/>
  <c r="N222" i="1"/>
  <c r="J141" i="1"/>
  <c r="K142" i="1"/>
  <c r="K36" i="1"/>
  <c r="K21" i="1"/>
  <c r="N200" i="1"/>
  <c r="N137" i="1"/>
  <c r="N33" i="1"/>
  <c r="K178" i="1"/>
  <c r="I70" i="1"/>
  <c r="E196" i="1"/>
  <c r="K169" i="1"/>
  <c r="K134" i="1"/>
  <c r="E125" i="1"/>
  <c r="K113" i="1"/>
  <c r="N86" i="1"/>
  <c r="N83" i="1"/>
  <c r="N36" i="1"/>
  <c r="K28" i="1"/>
  <c r="J125" i="1"/>
  <c r="N212" i="1"/>
  <c r="N204" i="1"/>
  <c r="I196" i="1"/>
  <c r="N195" i="1"/>
  <c r="E183" i="1"/>
  <c r="G172" i="1"/>
  <c r="H172" i="1" s="1"/>
  <c r="K162" i="1"/>
  <c r="K157" i="1"/>
  <c r="I141" i="1"/>
  <c r="K16" i="1"/>
  <c r="N214" i="1"/>
  <c r="N206" i="1"/>
  <c r="N193" i="1"/>
  <c r="G192" i="1"/>
  <c r="H192" i="1" s="1"/>
  <c r="N185" i="1"/>
  <c r="E141" i="1"/>
  <c r="N149" i="1"/>
  <c r="G141" i="1"/>
  <c r="H141" i="1" s="1"/>
  <c r="N134" i="1"/>
  <c r="N131" i="1"/>
  <c r="K122" i="1"/>
  <c r="K80" i="1"/>
  <c r="I172" i="1"/>
  <c r="G220" i="1"/>
  <c r="I183" i="1"/>
  <c r="J172" i="1"/>
  <c r="E172" i="1"/>
  <c r="J159" i="1"/>
  <c r="N159" i="1" s="1"/>
  <c r="K131" i="1"/>
  <c r="K71" i="1"/>
  <c r="E70" i="1"/>
  <c r="K43" i="1"/>
  <c r="K33" i="1"/>
  <c r="K192" i="1"/>
  <c r="N169" i="1"/>
  <c r="N39" i="1"/>
  <c r="J196" i="1"/>
  <c r="K193" i="1"/>
  <c r="N180" i="1"/>
  <c r="J70" i="1"/>
  <c r="J57" i="1"/>
  <c r="K57" i="1" s="1"/>
  <c r="G196" i="1"/>
  <c r="H196" i="1" s="1"/>
  <c r="I159" i="1"/>
  <c r="G70" i="1"/>
  <c r="H70" i="1" s="1"/>
  <c r="J183" i="1"/>
  <c r="N173" i="1"/>
  <c r="N161" i="1"/>
  <c r="N157" i="1"/>
  <c r="N129" i="1"/>
  <c r="G125" i="1"/>
  <c r="H125" i="1" s="1"/>
  <c r="N122" i="1"/>
  <c r="N94" i="1"/>
  <c r="N80" i="1"/>
  <c r="N71" i="1"/>
  <c r="N43" i="1"/>
  <c r="J116" i="1"/>
  <c r="K190" i="1"/>
  <c r="K161" i="1"/>
  <c r="N21" i="1"/>
  <c r="K196" i="1" l="1"/>
  <c r="G183" i="1"/>
  <c r="H183" i="1" s="1"/>
  <c r="E156" i="1"/>
  <c r="E219" i="1" s="1"/>
  <c r="E229" i="1" s="1"/>
  <c r="N192" i="1"/>
  <c r="K183" i="1"/>
  <c r="K125" i="1"/>
  <c r="K141" i="1"/>
  <c r="N220" i="1"/>
  <c r="K172" i="1"/>
  <c r="K19" i="1"/>
  <c r="N141" i="1"/>
  <c r="O141" i="1" s="1"/>
  <c r="N172" i="1"/>
  <c r="N221" i="1"/>
  <c r="I156" i="1"/>
  <c r="I219" i="1" s="1"/>
  <c r="I251" i="1" s="1"/>
  <c r="K116" i="1"/>
  <c r="N116" i="1"/>
  <c r="O116" i="1" s="1"/>
  <c r="N211" i="1"/>
  <c r="K211" i="1"/>
  <c r="N125" i="1"/>
  <c r="O125" i="1" s="1"/>
  <c r="N14" i="1"/>
  <c r="O14" i="1" s="1"/>
  <c r="N70" i="1"/>
  <c r="O70" i="1" s="1"/>
  <c r="K70" i="1"/>
  <c r="N19" i="1"/>
  <c r="O19" i="1" s="1"/>
  <c r="K159" i="1"/>
  <c r="J156" i="1"/>
  <c r="J219" i="1" s="1"/>
  <c r="N57" i="1"/>
  <c r="O57" i="1" s="1"/>
  <c r="N196" i="1"/>
  <c r="O196" i="1" s="1"/>
  <c r="N183" i="1" l="1"/>
  <c r="I229" i="1"/>
  <c r="G156" i="1"/>
  <c r="H156" i="1" s="1"/>
  <c r="E251" i="1"/>
  <c r="K156" i="1"/>
  <c r="K219" i="1"/>
  <c r="J229" i="1"/>
  <c r="N156" i="1" l="1"/>
  <c r="G219" i="1"/>
  <c r="H219" i="1" s="1"/>
  <c r="K229" i="1"/>
  <c r="N219" i="1" l="1"/>
  <c r="N229" i="1" s="1"/>
  <c r="G229" i="1"/>
  <c r="H229" i="1" s="1"/>
  <c r="O219" i="1" l="1"/>
  <c r="O229" i="1"/>
</calcChain>
</file>

<file path=xl/sharedStrings.xml><?xml version="1.0" encoding="utf-8"?>
<sst xmlns="http://schemas.openxmlformats.org/spreadsheetml/2006/main" count="701" uniqueCount="578">
  <si>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</si>
  <si>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</si>
  <si>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</si>
  <si>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</si>
  <si>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</si>
  <si>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</si>
  <si>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</si>
  <si>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</si>
  <si>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</si>
  <si>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</si>
  <si>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</si>
  <si>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</si>
  <si>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</si>
  <si>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</si>
  <si>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</si>
  <si>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</si>
  <si>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</si>
  <si>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</si>
  <si>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</si>
  <si>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</si>
  <si>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</si>
  <si>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</si>
  <si>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</si>
  <si>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</si>
  <si>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</si>
  <si>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</si>
  <si>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</si>
  <si>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</si>
  <si>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</si>
  <si>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</si>
  <si>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</si>
  <si>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</si>
  <si>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</si>
  <si>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</si>
  <si>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</si>
  <si>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</si>
  <si>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</si>
  <si>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</si>
  <si>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</si>
  <si>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</si>
  <si>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</si>
  <si>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</si>
  <si>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</si>
  <si>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</si>
  <si>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</si>
  <si>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</si>
  <si>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</si>
  <si>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</si>
  <si>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</si>
  <si>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</si>
  <si>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</si>
  <si>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</si>
  <si>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</si>
  <si>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</si>
  <si>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</si>
  <si>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</si>
  <si>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</si>
  <si>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</si>
  <si>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</si>
  <si>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</si>
  <si>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</si>
  <si>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</si>
  <si>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</si>
  <si>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</si>
  <si>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</si>
  <si>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</si>
  <si>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</si>
  <si>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</si>
  <si>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</si>
  <si>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</si>
  <si>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</si>
  <si>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</si>
  <si>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</si>
  <si>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</si>
  <si>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</si>
  <si>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</si>
  <si>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</si>
  <si>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</si>
  <si>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</si>
  <si>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</si>
  <si>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</si>
  <si>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</si>
  <si>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</si>
  <si>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</si>
  <si>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</si>
  <si>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</si>
  <si>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</si>
  <si>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</si>
  <si>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</si>
  <si>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</si>
  <si>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</si>
  <si>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</si>
  <si>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</si>
  <si>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</si>
  <si>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</si>
  <si>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</si>
  <si>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</si>
  <si>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</si>
  <si>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</si>
  <si>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</si>
  <si>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</si>
  <si>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</si>
  <si>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</si>
  <si>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</si>
  <si>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</si>
  <si>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</si>
  <si>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</si>
  <si>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</si>
  <si>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</si>
  <si>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</si>
  <si>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</si>
  <si>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</si>
  <si>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</si>
  <si>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</si>
  <si>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</si>
  <si>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</si>
  <si>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</si>
  <si>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</si>
  <si>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</si>
  <si>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</si>
  <si>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</si>
  <si>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</si>
  <si>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</si>
  <si>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</si>
  <si>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</si>
  <si>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</si>
  <si>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</si>
  <si>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</si>
  <si>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</si>
  <si>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</si>
  <si>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</si>
  <si>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</si>
  <si>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</si>
  <si>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</si>
  <si>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</si>
  <si>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</si>
  <si>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</si>
  <si>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</si>
  <si>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</si>
  <si>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</si>
  <si>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</si>
  <si>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</si>
  <si>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</si>
  <si>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</si>
  <si>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</si>
  <si>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</si>
  <si>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</si>
  <si>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</si>
  <si>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</si>
  <si>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</si>
  <si>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</si>
  <si>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</si>
  <si>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</si>
  <si>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</si>
  <si>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</si>
  <si>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</si>
  <si>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</si>
  <si>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</si>
  <si>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</si>
  <si>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</si>
  <si>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</si>
  <si>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</si>
  <si>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</si>
  <si>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</si>
  <si>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</si>
  <si>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</si>
  <si>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</si>
  <si>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</si>
  <si>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</si>
  <si>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</si>
  <si>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</si>
  <si>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</si>
  <si>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</si>
  <si>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</si>
  <si>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</si>
  <si>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</si>
  <si>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</si>
  <si>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</si>
  <si>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</si>
  <si>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</si>
  <si>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</si>
  <si>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</si>
  <si>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</si>
  <si>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</si>
  <si>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</si>
  <si>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</si>
  <si>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</si>
  <si>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</si>
  <si>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</si>
  <si>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</si>
  <si>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</si>
  <si>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</si>
  <si>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</si>
  <si>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</si>
  <si>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</si>
  <si>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</si>
  <si>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</si>
  <si>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</si>
  <si>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</si>
  <si>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</si>
  <si>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</si>
  <si>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</si>
  <si>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</si>
  <si>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</si>
  <si>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</si>
  <si>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</si>
  <si>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</si>
  <si>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</si>
  <si>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</si>
  <si>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</si>
  <si>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</si>
  <si>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</si>
  <si>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</si>
  <si>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</si>
  <si>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</si>
  <si>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</si>
  <si>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</si>
  <si>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</si>
  <si>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</si>
  <si>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</si>
  <si>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</si>
  <si>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</si>
  <si>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</si>
  <si>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</si>
  <si>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</si>
  <si>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</si>
  <si>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</si>
  <si>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</si>
  <si>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</si>
  <si>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</si>
  <si>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</si>
  <si>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</si>
  <si>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</si>
  <si>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</si>
  <si>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</si>
  <si>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</si>
  <si>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</si>
  <si>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</si>
  <si>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</si>
  <si>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</si>
  <si>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</si>
  <si>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</si>
  <si>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</si>
  <si>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</si>
  <si>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</si>
  <si>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</si>
  <si>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</si>
  <si>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</si>
  <si>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</si>
  <si>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</si>
  <si>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</si>
  <si>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</si>
  <si>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</si>
  <si>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</si>
  <si>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</si>
  <si>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</si>
  <si>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</si>
  <si>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</si>
  <si>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</si>
  <si>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</si>
  <si>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</si>
  <si>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</si>
  <si>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</si>
  <si>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</si>
  <si>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</si>
  <si>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</si>
  <si>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</si>
  <si>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</si>
  <si>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t>0443</t>
  </si>
  <si>
    <t>1080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</si>
  <si>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</si>
  <si>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</si>
  <si>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</si>
  <si>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</si>
  <si>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</si>
  <si>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</si>
  <si>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</si>
  <si>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</si>
  <si>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</si>
  <si>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</si>
  <si>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</si>
  <si>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</si>
  <si>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</si>
  <si>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</si>
  <si>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</si>
  <si>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</si>
  <si>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</si>
  <si>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</si>
  <si>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</si>
  <si>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</si>
  <si>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</si>
  <si>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</si>
  <si>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</si>
  <si>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</si>
  <si>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</si>
  <si>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</si>
  <si>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</si>
  <si>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</si>
  <si>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</si>
  <si>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</si>
  <si>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</si>
  <si>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</si>
  <si>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</si>
  <si>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</si>
  <si>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</si>
  <si>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</si>
  <si>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</si>
  <si>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</si>
  <si>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</si>
  <si>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</si>
  <si>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</si>
  <si>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</si>
  <si>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</si>
  <si>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</si>
  <si>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</si>
  <si>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</si>
  <si>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</si>
  <si>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</si>
  <si>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</si>
  <si>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</si>
  <si>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</si>
  <si>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</si>
  <si>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</si>
  <si>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</si>
  <si>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</si>
  <si>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</si>
  <si>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</si>
  <si>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</si>
  <si>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</si>
  <si>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</si>
  <si>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</si>
  <si>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</si>
  <si>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</si>
  <si>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</si>
  <si>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</si>
  <si>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</si>
  <si>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</si>
  <si>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</si>
  <si>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</si>
  <si>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</si>
  <si>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</si>
  <si>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</si>
  <si>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</si>
  <si>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</si>
  <si>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</si>
  <si>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</si>
  <si>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</si>
  <si>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</si>
  <si>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</si>
  <si>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</si>
  <si>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</si>
  <si>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</si>
  <si>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</si>
  <si>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</si>
  <si>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</si>
  <si>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</si>
  <si>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</si>
  <si>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</si>
  <si>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</si>
  <si>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</si>
  <si>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</si>
  <si>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</si>
  <si>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</si>
  <si>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</si>
  <si>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</si>
  <si>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</si>
  <si>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</si>
  <si>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</si>
  <si>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</si>
  <si>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</si>
  <si>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</si>
  <si>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</si>
  <si>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</si>
  <si>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</si>
  <si>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</si>
  <si>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</si>
  <si>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</si>
  <si>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</si>
  <si>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</si>
  <si>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</si>
  <si>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</si>
  <si>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</si>
  <si>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</si>
  <si>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</si>
  <si>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</si>
  <si>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</si>
  <si>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</si>
  <si>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</si>
  <si>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</si>
  <si>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</si>
  <si>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</si>
  <si>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</si>
  <si>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</si>
  <si>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</si>
  <si>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</si>
  <si>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</si>
  <si>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7321</t>
  </si>
  <si>
    <t>7324</t>
  </si>
  <si>
    <t>7330</t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</si>
  <si>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</si>
  <si>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</si>
  <si>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</si>
  <si>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</si>
  <si>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</si>
  <si>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</si>
  <si>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</si>
  <si>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</si>
  <si>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</si>
  <si>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</si>
  <si>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</si>
  <si>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</si>
  <si>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</si>
  <si>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</si>
  <si>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0540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</si>
  <si>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</si>
  <si>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</si>
  <si>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</si>
  <si>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</si>
  <si>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</si>
  <si>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</si>
  <si>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</si>
  <si>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</si>
  <si>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</si>
  <si>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</si>
  <si>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</si>
  <si>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</si>
  <si>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</si>
  <si>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</si>
  <si>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</si>
  <si>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t>Додаток 2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</si>
  <si>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</si>
  <si>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</si>
  <si>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</si>
  <si>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</si>
  <si>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</si>
  <si>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</si>
  <si>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</si>
  <si>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</si>
  <si>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</si>
  <si>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</si>
  <si>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</si>
  <si>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</si>
  <si>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</si>
  <si>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</si>
  <si>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</si>
  <si>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</si>
  <si>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</si>
  <si>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</si>
  <si>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</si>
  <si>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7350</t>
  </si>
  <si>
    <t>Розроблення схем планування та забудови територій(містобудівної документації)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</si>
  <si>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</si>
  <si>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</si>
  <si>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</si>
  <si>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</si>
  <si>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</si>
  <si>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</si>
  <si>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</si>
  <si>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</si>
  <si>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</si>
  <si>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</si>
  <si>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</si>
  <si>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</si>
  <si>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</si>
  <si>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</si>
  <si>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</si>
  <si>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</si>
  <si>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</si>
  <si>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</si>
  <si>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</si>
  <si>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</si>
  <si>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</si>
  <si>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</si>
  <si>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</si>
  <si>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</si>
  <si>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</si>
  <si>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</si>
  <si>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</si>
  <si>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</si>
  <si>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</si>
  <si>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</si>
  <si>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</si>
  <si>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</si>
  <si>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</si>
  <si>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</si>
  <si>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</si>
  <si>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</si>
  <si>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</si>
  <si>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</si>
  <si>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</si>
  <si>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</si>
  <si>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</si>
  <si>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</si>
  <si>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</si>
  <si>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</si>
  <si>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</si>
  <si>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</si>
  <si>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</si>
  <si>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</si>
  <si>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</si>
  <si>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</si>
  <si>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</si>
  <si>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>1033</t>
  </si>
  <si>
    <t>7</t>
  </si>
  <si>
    <t>8</t>
  </si>
  <si>
    <t>9</t>
  </si>
  <si>
    <t>10</t>
  </si>
  <si>
    <t>Надання спеціалізованої освіти мистецькими школами</t>
  </si>
  <si>
    <t>6090</t>
  </si>
  <si>
    <t>0640</t>
  </si>
  <si>
    <t>Інша діяльність у сфері житлово-комунального господарства</t>
  </si>
  <si>
    <t>7450</t>
  </si>
  <si>
    <t>Інша діяльність у сфері транспорту</t>
  </si>
  <si>
    <t>8200</t>
  </si>
  <si>
    <t>Громадський порядок та безпека</t>
  </si>
  <si>
    <t>8240</t>
  </si>
  <si>
    <t>0380</t>
  </si>
  <si>
    <t>Заходи та роботи з територіальної оборони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</si>
  <si>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</si>
  <si>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7322</t>
  </si>
  <si>
    <t>7325</t>
  </si>
  <si>
    <t>8340</t>
  </si>
  <si>
    <t>Природоохоронні заходи за рахунок цільових фондів</t>
  </si>
  <si>
    <t>Будівництво¹  установ та закладів соціальної сфери</t>
  </si>
  <si>
    <t>Будівництво¹ споруд, установ та закладів фізичної культури і спорту</t>
  </si>
  <si>
    <t>Будівництво¹   об'єктів житлово-комунального господарства</t>
  </si>
  <si>
    <t>Будівництво¹  об'єктів соціально-культурного призначення</t>
  </si>
  <si>
    <t>Будівництво¹   освітніх установ та закладів</t>
  </si>
  <si>
    <t>Будівництво¹   медичних установ та закладів</t>
  </si>
  <si>
    <t>Будівництво¹   установ та закладів культури</t>
  </si>
  <si>
    <t>Будівництво¹  інших об'єктів комунальної власності</t>
  </si>
  <si>
    <t>3230</t>
  </si>
  <si>
    <t>4070</t>
  </si>
  <si>
    <t>0823</t>
  </si>
  <si>
    <t>Фінансова підтримка кінематографії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</si>
  <si>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</si>
  <si>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</si>
  <si>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</si>
  <si>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</si>
  <si>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</si>
  <si>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</si>
  <si>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</si>
  <si>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</si>
  <si>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Затверджено на 2023 рік з урахуванням змін</t>
  </si>
  <si>
    <t>5049</t>
  </si>
  <si>
    <t>Виконання окремих заходів з реалізації соціального проекту "Активні парки - локації здорової України"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</si>
  <si>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</si>
  <si>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9820</t>
  </si>
  <si>
    <t>Виконання заходів щодо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</si>
  <si>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</si>
  <si>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1262</t>
  </si>
  <si>
    <t>1260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</si>
  <si>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</si>
  <si>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</si>
  <si>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8881</t>
  </si>
  <si>
    <t>8880</t>
  </si>
  <si>
    <t>Довгострокові кредити громадянам на будівництво / реконструкцію / придбання житла та їх повернення</t>
  </si>
  <si>
    <t>8840</t>
  </si>
  <si>
    <t>8842</t>
  </si>
  <si>
    <t>Повернення довгострокових кредитів, наданих громадянам на будівництво/реконструкцію/придбання житла</t>
  </si>
  <si>
    <t>6016</t>
  </si>
  <si>
    <t xml:space="preserve">	Впровадження засобів обліку витрат та регулювання споживання води та теплової енергії</t>
  </si>
  <si>
    <t xml:space="preserve">	
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</si>
  <si>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1261</t>
  </si>
  <si>
    <t>Начальник фінансового управління</t>
  </si>
  <si>
    <t>Сергій ЯМЧУК</t>
  </si>
  <si>
    <t xml:space="preserve">Керуючий справами виконавчого комітету                                                                                                                    </t>
  </si>
  <si>
    <t xml:space="preserve">Юлія  САБІЙ </t>
  </si>
  <si>
    <t>за 2023 рік</t>
  </si>
  <si>
    <t>Виконано за 2023 рік</t>
  </si>
  <si>
    <t>Виконано за 2023 рік разом по загальному та спеціальному фондах</t>
  </si>
  <si>
    <t>1270</t>
  </si>
  <si>
    <t>Виконання заходів за рахунок коштів освітньої субвенції з державного бюджету місцевим бюджетам (за спеціальним фондом державного бюджету)</t>
  </si>
  <si>
    <t>1271</t>
  </si>
  <si>
    <t>Співфінансування заходів за рахунок освітньої субвенції з державного бюджету місцевим бюджетам (за спеціальним фондом державного бюджету)</t>
  </si>
  <si>
    <t>1272</t>
  </si>
  <si>
    <t>Реалізація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</si>
  <si>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до рішення від 22.02.2024 року №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</si>
</sst>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  <font>
      <i/>
      <sz val="36"/>
      <color rgb="FFFF0000"/>
      <name val="Times New Roman"/>
      <family val="1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2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7"/>
      <color theme="1"/>
      <name val="Times New Roman"/>
      <family val="1"/>
      <charset val="204"/>
    </font>
    <font>
      <i/>
      <sz val="36"/>
      <name val="Times New Roman"/>
      <family val="1"/>
      <charset val="204"/>
    </font>
    <font>
      <sz val="28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degree="27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31" fillId="0" borderId="0"/>
    <xf numFmtId="0" fontId="31" fillId="0" borderId="0"/>
  </cellStyleXfs>
  <cellXfs count="2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4" fontId="4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3" fillId="0" borderId="0" xfId="0" applyFont="1"/>
    <xf numFmtId="0" fontId="15" fillId="0" borderId="0" xfId="0" applyFont="1"/>
    <xf numFmtId="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0" fontId="20" fillId="0" borderId="0" xfId="0" applyFont="1"/>
    <xf numFmtId="4" fontId="9" fillId="0" borderId="0" xfId="0" applyNumberFormat="1" applyFont="1" applyAlignment="1">
      <alignment horizontal="left" vertical="center"/>
    </xf>
    <xf numFmtId="0" fontId="22" fillId="0" borderId="0" xfId="0" applyFont="1"/>
    <xf numFmtId="4" fontId="23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24" fillId="0" borderId="0" xfId="0" applyNumberFormat="1" applyFont="1"/>
    <xf numFmtId="4" fontId="25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left" vertical="center" wrapText="1"/>
    </xf>
    <xf numFmtId="4" fontId="27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left" vertical="center" wrapText="1"/>
    </xf>
    <xf numFmtId="4" fontId="28" fillId="0" borderId="0" xfId="0" applyNumberFormat="1" applyFont="1" applyAlignment="1">
      <alignment horizontal="left" vertical="center" wrapText="1"/>
    </xf>
    <xf numFmtId="4" fontId="21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2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19" fillId="0" borderId="0" xfId="0" applyNumberFormat="1" applyFont="1" applyAlignment="1">
      <alignment horizontal="left" vertical="center" wrapText="1"/>
    </xf>
    <xf numFmtId="4" fontId="17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4" fontId="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" fillId="0" borderId="0" xfId="2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3" fillId="0" borderId="0" xfId="0" applyFont="1"/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33" fillId="0" borderId="1" xfId="0" applyNumberFormat="1" applyFont="1" applyBorder="1" applyAlignment="1">
      <alignment horizontal="center" vertical="center" wrapText="1"/>
    </xf>
    <xf numFmtId="4" fontId="26" fillId="3" borderId="0" xfId="0" applyNumberFormat="1" applyFont="1" applyFill="1" applyAlignment="1">
      <alignment horizontal="left" vertical="center" wrapText="1"/>
    </xf>
    <xf numFmtId="49" fontId="33" fillId="0" borderId="0" xfId="0" applyNumberFormat="1" applyFont="1" applyAlignment="1">
      <alignment horizontal="center" vertical="center" wrapText="1"/>
    </xf>
    <xf numFmtId="4" fontId="35" fillId="0" borderId="0" xfId="0" applyNumberFormat="1" applyFont="1" applyAlignment="1">
      <alignment horizontal="left" vertical="center"/>
    </xf>
    <xf numFmtId="4" fontId="36" fillId="3" borderId="0" xfId="0" applyNumberFormat="1" applyFont="1" applyFill="1"/>
    <xf numFmtId="4" fontId="37" fillId="4" borderId="1" xfId="0" applyNumberFormat="1" applyFont="1" applyFill="1" applyBorder="1" applyAlignment="1">
      <alignment horizontal="center" vertical="center"/>
    </xf>
    <xf numFmtId="0" fontId="38" fillId="3" borderId="0" xfId="0" applyFont="1" applyFill="1"/>
    <xf numFmtId="49" fontId="1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 wrapText="1"/>
    </xf>
    <xf numFmtId="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>
      <alignment horizontal="center" vertical="center" wrapText="1"/>
    </xf>
    <xf numFmtId="0" fontId="16" fillId="5" borderId="1" xfId="1" applyFont="1" applyFill="1" applyBorder="1" applyAlignment="1" applyProtection="1">
      <alignment horizontal="center" vertical="center" wrapText="1"/>
      <protection locked="0"/>
    </xf>
    <xf numFmtId="4" fontId="16" fillId="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6" fillId="3" borderId="0" xfId="0" applyNumberFormat="1" applyFont="1" applyFill="1"/>
    <xf numFmtId="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/>
    </xf>
    <xf numFmtId="16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164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/>
    </xf>
    <xf numFmtId="4" fontId="21" fillId="7" borderId="1" xfId="0" applyNumberFormat="1" applyFont="1" applyFill="1" applyBorder="1" applyAlignment="1">
      <alignment horizontal="center" vertical="center" wrapText="1"/>
    </xf>
    <xf numFmtId="164" fontId="21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39" fillId="7" borderId="0" xfId="0" applyNumberFormat="1" applyFont="1" applyFill="1" applyAlignment="1">
      <alignment horizontal="center" wrapText="1"/>
    </xf>
    <xf numFmtId="49" fontId="39" fillId="7" borderId="3" xfId="0" applyNumberFormat="1" applyFont="1" applyFill="1" applyBorder="1" applyAlignment="1">
      <alignment horizontal="center" vertical="top" wrapText="1"/>
    </xf>
    <xf numFmtId="49" fontId="9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center" vertical="center" wrapText="1"/>
    </xf>
    <xf numFmtId="16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7" borderId="1" xfId="0" applyNumberFormat="1" applyFont="1" applyFill="1" applyBorder="1" applyAlignment="1">
      <alignment horizontal="center" vertical="center"/>
    </xf>
    <xf numFmtId="4" fontId="26" fillId="7" borderId="1" xfId="0" applyNumberFormat="1" applyFont="1" applyFill="1" applyBorder="1" applyAlignment="1">
      <alignment horizontal="center" vertical="center" wrapText="1"/>
    </xf>
    <xf numFmtId="49" fontId="39" fillId="7" borderId="1" xfId="0" applyNumberFormat="1" applyFont="1" applyFill="1" applyBorder="1" applyAlignment="1">
      <alignment horizontal="center" vertical="center" wrapText="1"/>
    </xf>
    <xf numFmtId="4" fontId="34" fillId="7" borderId="1" xfId="0" applyNumberFormat="1" applyFont="1" applyFill="1" applyBorder="1" applyAlignment="1">
      <alignment horizontal="center" vertical="center" wrapText="1"/>
    </xf>
    <xf numFmtId="164" fontId="34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7" borderId="1" xfId="1" applyNumberFormat="1" applyFont="1" applyFill="1" applyBorder="1" applyAlignment="1">
      <alignment horizontal="center" vertical="center" wrapText="1"/>
    </xf>
    <xf numFmtId="4" fontId="26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4" fontId="14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6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0" fontId="11" fillId="0" borderId="3" xfId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27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4" fontId="19" fillId="0" borderId="1" xfId="0" applyNumberFormat="1" applyFont="1" applyBorder="1" applyAlignment="1">
      <alignment horizontal="center" vertical="center"/>
    </xf>
    <xf numFmtId="0" fontId="45" fillId="0" borderId="1" xfId="1" applyFont="1" applyFill="1" applyBorder="1" applyAlignment="1" applyProtection="1">
      <alignment horizontal="center" vertical="center" wrapText="1"/>
      <protection locked="0"/>
    </xf>
    <xf numFmtId="4" fontId="21" fillId="0" borderId="1" xfId="0" applyNumberFormat="1" applyFont="1" applyBorder="1" applyAlignment="1">
      <alignment horizontal="center" vertical="center"/>
    </xf>
    <xf numFmtId="49" fontId="45" fillId="0" borderId="1" xfId="3" applyNumberFormat="1" applyFont="1" applyBorder="1" applyAlignment="1">
      <alignment horizontal="center" vertical="center" wrapText="1"/>
    </xf>
    <xf numFmtId="0" fontId="45" fillId="0" borderId="1" xfId="3" applyFont="1" applyBorder="1" applyAlignment="1">
      <alignment horizontal="center" vertical="center" wrapText="1"/>
    </xf>
    <xf numFmtId="16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1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 vertical="center" wrapText="1"/>
    </xf>
    <xf numFmtId="164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7" borderId="2" xfId="0" applyNumberFormat="1" applyFont="1" applyFill="1" applyBorder="1" applyAlignment="1">
      <alignment horizontal="center" vertical="center" wrapText="1"/>
    </xf>
    <xf numFmtId="4" fontId="14" fillId="7" borderId="5" xfId="0" applyNumberFormat="1" applyFont="1" applyFill="1" applyBorder="1" applyAlignment="1">
      <alignment horizontal="center" vertical="center" wrapText="1"/>
    </xf>
    <xf numFmtId="4" fontId="14" fillId="7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" fontId="34" fillId="7" borderId="2" xfId="0" applyNumberFormat="1" applyFont="1" applyFill="1" applyBorder="1" applyAlignment="1">
      <alignment horizontal="center" vertical="center" wrapText="1"/>
    </xf>
    <xf numFmtId="4" fontId="34" fillId="7" borderId="3" xfId="0" applyNumberFormat="1" applyFont="1" applyFill="1" applyBorder="1" applyAlignment="1">
      <alignment horizontal="center" vertical="center" wrapText="1"/>
    </xf>
    <xf numFmtId="164" fontId="14" fillId="7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7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7" borderId="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 wrapText="1"/>
    </xf>
    <xf numFmtId="4" fontId="34" fillId="0" borderId="3" xfId="0" applyNumberFormat="1" applyFont="1" applyBorder="1" applyAlignment="1">
      <alignment horizontal="center" vertical="center" wrapText="1"/>
    </xf>
    <xf numFmtId="164" fontId="3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3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>
      <alignment horizontal="left" vertical="center"/>
    </xf>
    <xf numFmtId="0" fontId="9" fillId="0" borderId="0" xfId="0" applyFont="1"/>
    <xf numFmtId="49" fontId="39" fillId="0" borderId="2" xfId="0" applyNumberFormat="1" applyFont="1" applyBorder="1" applyAlignment="1">
      <alignment horizontal="center"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49" fontId="39" fillId="7" borderId="2" xfId="0" applyNumberFormat="1" applyFont="1" applyFill="1" applyBorder="1" applyAlignment="1">
      <alignment horizontal="center" vertical="center" wrapText="1"/>
    </xf>
    <xf numFmtId="49" fontId="39" fillId="7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Звичайний" xfId="0" builtinId="0"/>
    <cellStyle name="Обычный 3" xfId="3"/>
    <cellStyle name="Обычный_Додаток 2 до бюджету 2000 року" xfId="1"/>
    <cellStyle name="Обычный_Додаток №1" xfId="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66"/>
  <sheetViews>
    <sheetView tabSelected="1" view="pageBreakPreview" topLeftCell="B1" zoomScale="30" zoomScaleNormal="25" zoomScaleSheetLayoutView="30" zoomScalePageLayoutView="10" workbookViewId="0">
      <pane ySplit="13" topLeftCell="A14" activePane="bottomLeft" state="frozen"/>
      <selection activeCell="B1" sqref="B1"/>
      <selection pane="bottomLeft" activeCell="A4" sqref="A4:N4"/>
    </sheetView>
  </sheetViews>
  <sheetFormatPr defaultColWidth="9.140625" defaultRowHeight="12.75" x14ac:dyDescent="0.2"/>
  <cols>
    <col min="1" max="1" width="25.140625" style="1" hidden="1" customWidth="1"/>
    <col min="2" max="2" width="52.5703125" style="1" customWidth="1"/>
    <col min="3" max="3" width="59.28515625" style="1" customWidth="1"/>
    <col min="4" max="4" width="167.42578125" style="1" customWidth="1"/>
    <col min="5" max="5" width="83" style="1" hidden="1" customWidth="1"/>
    <col min="6" max="6" width="64.85546875" style="1" customWidth="1"/>
    <col min="7" max="7" width="63.28515625" style="1" customWidth="1"/>
    <col min="8" max="8" width="41.85546875" style="1" customWidth="1"/>
    <col min="9" max="9" width="58.7109375" style="47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3.85546875" style="47" customWidth="1"/>
    <col min="15" max="15" width="29.7109375" style="5" hidden="1" customWidth="1"/>
    <col min="16" max="16" width="35.28515625" style="5" hidden="1" customWidth="1"/>
    <col min="17" max="17" width="50" hidden="1" customWidth="1"/>
    <col min="18" max="18" width="38.5703125" customWidth="1"/>
    <col min="19" max="19" width="49.5703125" hidden="1" customWidth="1"/>
    <col min="20" max="20" width="54.28515625" hidden="1" customWidth="1"/>
    <col min="21" max="21" width="79.5703125" customWidth="1"/>
    <col min="22" max="22" width="48.5703125" customWidth="1"/>
    <col min="23" max="23" width="49.140625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202" t="s">
        <v>429</v>
      </c>
      <c r="L2" s="202"/>
      <c r="M2" s="202"/>
      <c r="N2" s="202"/>
      <c r="O2" s="48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203" t="s">
        <v>577</v>
      </c>
      <c r="K3" s="203"/>
      <c r="L3" s="203"/>
      <c r="M3" s="203"/>
      <c r="N3" s="203"/>
      <c r="O3" s="49"/>
    </row>
    <row r="4" spans="1:16" ht="45" x14ac:dyDescent="0.2">
      <c r="A4" s="205" t="s">
        <v>430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6" ht="45" x14ac:dyDescent="0.2">
      <c r="A5" s="205" t="s">
        <v>568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6" ht="4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61.5" customHeight="1" x14ac:dyDescent="0.65">
      <c r="A7" s="210">
        <v>2256400000</v>
      </c>
      <c r="B7" s="210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6" ht="45.75" x14ac:dyDescent="0.2">
      <c r="A8" s="204" t="s">
        <v>0</v>
      </c>
      <c r="B8" s="20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53.45" customHeight="1" thickBot="1" x14ac:dyDescent="0.25">
      <c r="A9" s="3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6" t="s">
        <v>1</v>
      </c>
    </row>
    <row r="10" spans="1:16" ht="62.45" customHeight="1" thickTop="1" thickBot="1" x14ac:dyDescent="0.25">
      <c r="A10" s="188" t="s">
        <v>2</v>
      </c>
      <c r="B10" s="188" t="s">
        <v>3</v>
      </c>
      <c r="C10" s="188" t="s">
        <v>4</v>
      </c>
      <c r="D10" s="188" t="s">
        <v>431</v>
      </c>
      <c r="E10" s="207" t="s">
        <v>5</v>
      </c>
      <c r="F10" s="208"/>
      <c r="G10" s="208"/>
      <c r="H10" s="209"/>
      <c r="I10" s="207" t="s">
        <v>6</v>
      </c>
      <c r="J10" s="208"/>
      <c r="K10" s="208"/>
      <c r="L10" s="208"/>
      <c r="M10" s="209"/>
      <c r="N10" s="188" t="s">
        <v>570</v>
      </c>
    </row>
    <row r="11" spans="1:16" ht="96" customHeight="1" thickTop="1" thickBot="1" x14ac:dyDescent="0.25">
      <c r="A11" s="206"/>
      <c r="B11" s="206"/>
      <c r="C11" s="206"/>
      <c r="D11" s="206"/>
      <c r="E11" s="188" t="s">
        <v>543</v>
      </c>
      <c r="F11" s="188" t="s">
        <v>543</v>
      </c>
      <c r="G11" s="188" t="s">
        <v>569</v>
      </c>
      <c r="H11" s="188" t="s">
        <v>432</v>
      </c>
      <c r="I11" s="188" t="s">
        <v>543</v>
      </c>
      <c r="J11" s="188" t="s">
        <v>569</v>
      </c>
      <c r="K11" s="188" t="s">
        <v>432</v>
      </c>
      <c r="L11" s="7"/>
      <c r="M11" s="188"/>
      <c r="N11" s="206"/>
    </row>
    <row r="12" spans="1:16" ht="208.5" customHeight="1" thickTop="1" thickBot="1" x14ac:dyDescent="0.25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7"/>
      <c r="M12" s="189"/>
      <c r="N12" s="189"/>
    </row>
    <row r="13" spans="1:16" s="11" customFormat="1" ht="47.25" thickTop="1" thickBot="1" x14ac:dyDescent="0.25">
      <c r="A13" s="8" t="s">
        <v>7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10</v>
      </c>
      <c r="G13" s="8" t="s">
        <v>11</v>
      </c>
      <c r="H13" s="8" t="s">
        <v>12</v>
      </c>
      <c r="I13" s="8" t="s">
        <v>503</v>
      </c>
      <c r="J13" s="8" t="s">
        <v>504</v>
      </c>
      <c r="K13" s="8" t="s">
        <v>505</v>
      </c>
      <c r="L13" s="8"/>
      <c r="M13" s="8"/>
      <c r="N13" s="8" t="s">
        <v>506</v>
      </c>
      <c r="O13" s="9"/>
      <c r="P13" s="10"/>
    </row>
    <row r="14" spans="1:16" s="14" customFormat="1" ht="88.5" customHeight="1" thickTop="1" thickBot="1" x14ac:dyDescent="0.25">
      <c r="A14" s="57" t="s">
        <v>13</v>
      </c>
      <c r="B14" s="72" t="s">
        <v>14</v>
      </c>
      <c r="C14" s="72"/>
      <c r="D14" s="73" t="s">
        <v>15</v>
      </c>
      <c r="E14" s="70">
        <f>SUM(E15:E18)</f>
        <v>316187284.21000004</v>
      </c>
      <c r="F14" s="70">
        <f>SUM(F15:F18)</f>
        <v>292637284.21000004</v>
      </c>
      <c r="G14" s="70">
        <f>SUM(G15:G18)</f>
        <v>276794367.05000001</v>
      </c>
      <c r="H14" s="80">
        <f>G14/F14</f>
        <v>0.94586159038903961</v>
      </c>
      <c r="I14" s="70">
        <f>SUM(I15:I18)</f>
        <v>12376161.73</v>
      </c>
      <c r="J14" s="70">
        <f>SUM(J15:J18)</f>
        <v>11783752.539999999</v>
      </c>
      <c r="K14" s="71">
        <f>J14/I14</f>
        <v>0.95213304391748599</v>
      </c>
      <c r="L14" s="70"/>
      <c r="M14" s="70"/>
      <c r="N14" s="74">
        <f t="shared" ref="N14:N27" si="0">G14+J14</f>
        <v>288578119.59000003</v>
      </c>
      <c r="O14" s="53" t="b">
        <f>N14=N15+N16+N17+N18</f>
        <v>1</v>
      </c>
      <c r="P14" s="13"/>
    </row>
    <row r="15" spans="1:16" ht="230.25" thickTop="1" thickBot="1" x14ac:dyDescent="0.25">
      <c r="A15" s="58" t="s">
        <v>16</v>
      </c>
      <c r="B15" s="69" t="s">
        <v>17</v>
      </c>
      <c r="C15" s="69" t="s">
        <v>18</v>
      </c>
      <c r="D15" s="69" t="s">
        <v>19</v>
      </c>
      <c r="E15" s="84">
        <v>137544957</v>
      </c>
      <c r="F15" s="84">
        <v>128204957</v>
      </c>
      <c r="G15" s="84">
        <v>124244794.7</v>
      </c>
      <c r="H15" s="85">
        <f>G15/F15</f>
        <v>0.96911069281041917</v>
      </c>
      <c r="I15" s="84">
        <v>4620522</v>
      </c>
      <c r="J15" s="141">
        <v>4100705.21</v>
      </c>
      <c r="K15" s="156">
        <f>J15/I15</f>
        <v>0.88749825452622022</v>
      </c>
      <c r="L15" s="157"/>
      <c r="M15" s="158"/>
      <c r="N15" s="112">
        <f t="shared" si="0"/>
        <v>128345499.91</v>
      </c>
      <c r="O15" s="15"/>
      <c r="P15" s="16"/>
    </row>
    <row r="16" spans="1:16" ht="138.75" thickTop="1" thickBot="1" x14ac:dyDescent="0.25">
      <c r="A16" s="58" t="s">
        <v>20</v>
      </c>
      <c r="B16" s="69" t="s">
        <v>21</v>
      </c>
      <c r="C16" s="69" t="s">
        <v>18</v>
      </c>
      <c r="D16" s="69" t="s">
        <v>22</v>
      </c>
      <c r="E16" s="84">
        <f>3140800+53457585+9840160+8991093+3852358+8729800+10436320.4+7371163+10421580+10694200</f>
        <v>126935059.40000001</v>
      </c>
      <c r="F16" s="84">
        <v>128345059.40000001</v>
      </c>
      <c r="G16" s="84">
        <v>120139790.26000001</v>
      </c>
      <c r="H16" s="85">
        <f t="shared" ref="H16:H18" si="1">G16/F16</f>
        <v>0.93606867939943472</v>
      </c>
      <c r="I16" s="84">
        <f>180000+1360876.46+25000+36120+125000+208760+154000+45000</f>
        <v>2134756.46</v>
      </c>
      <c r="J16" s="141">
        <v>2062164.06</v>
      </c>
      <c r="K16" s="156">
        <f t="shared" ref="K16:K18" si="2">J16/I16</f>
        <v>0.96599499691875867</v>
      </c>
      <c r="L16" s="157"/>
      <c r="M16" s="158"/>
      <c r="N16" s="112">
        <f t="shared" si="0"/>
        <v>122201954.32000001</v>
      </c>
      <c r="O16" s="15"/>
      <c r="P16" s="16"/>
    </row>
    <row r="17" spans="1:18" ht="93" thickTop="1" thickBot="1" x14ac:dyDescent="0.25">
      <c r="A17" s="69" t="s">
        <v>23</v>
      </c>
      <c r="B17" s="69" t="s">
        <v>24</v>
      </c>
      <c r="C17" s="69" t="s">
        <v>25</v>
      </c>
      <c r="D17" s="69" t="s">
        <v>26</v>
      </c>
      <c r="E17" s="84">
        <f>139400+7000+57000+12000+10000+10000+5136</f>
        <v>240536</v>
      </c>
      <c r="F17" s="84">
        <v>240536</v>
      </c>
      <c r="G17" s="84">
        <v>84296</v>
      </c>
      <c r="H17" s="85">
        <f t="shared" si="1"/>
        <v>0.35045066019223736</v>
      </c>
      <c r="I17" s="84"/>
      <c r="J17" s="141"/>
      <c r="K17" s="157"/>
      <c r="L17" s="157"/>
      <c r="M17" s="158"/>
      <c r="N17" s="112">
        <f t="shared" si="0"/>
        <v>84296</v>
      </c>
      <c r="O17" s="15"/>
      <c r="P17" s="17"/>
    </row>
    <row r="18" spans="1:18" ht="111" customHeight="1" thickTop="1" thickBot="1" x14ac:dyDescent="0.25">
      <c r="A18" s="58" t="s">
        <v>27</v>
      </c>
      <c r="B18" s="69" t="s">
        <v>28</v>
      </c>
      <c r="C18" s="69" t="s">
        <v>29</v>
      </c>
      <c r="D18" s="69" t="s">
        <v>30</v>
      </c>
      <c r="E18" s="112">
        <f>49229670+30000+37065+2169996.81</f>
        <v>51466731.810000002</v>
      </c>
      <c r="F18" s="112">
        <v>35846731.810000002</v>
      </c>
      <c r="G18" s="112">
        <v>32325486.09</v>
      </c>
      <c r="H18" s="85">
        <f t="shared" si="1"/>
        <v>0.90176940707834075</v>
      </c>
      <c r="I18" s="84">
        <f>5609140.8+11742.47</f>
        <v>5620883.2699999996</v>
      </c>
      <c r="J18" s="141">
        <f>5609140.8+11742.47</f>
        <v>5620883.2699999996</v>
      </c>
      <c r="K18" s="156">
        <f t="shared" si="2"/>
        <v>1</v>
      </c>
      <c r="L18" s="112"/>
      <c r="M18" s="158"/>
      <c r="N18" s="112">
        <f t="shared" si="0"/>
        <v>37946369.359999999</v>
      </c>
      <c r="O18" s="15"/>
      <c r="P18" s="17"/>
    </row>
    <row r="19" spans="1:18" ht="83.25" customHeight="1" thickTop="1" thickBot="1" x14ac:dyDescent="0.25">
      <c r="A19" s="57" t="s">
        <v>64</v>
      </c>
      <c r="B19" s="77" t="s">
        <v>65</v>
      </c>
      <c r="C19" s="77"/>
      <c r="D19" s="78" t="s">
        <v>66</v>
      </c>
      <c r="E19" s="79">
        <f>SUM(E20:E53)-E21-E25-E33-E36-E39-E43-E48-E28-E51</f>
        <v>2105189898.0099995</v>
      </c>
      <c r="F19" s="79">
        <f>SUM(F20:F56)-F21-F25-F33-F36-F39-F43-F48-F28-F51-F54</f>
        <v>2082693387.3599992</v>
      </c>
      <c r="G19" s="79">
        <f>SUM(G20:G56)-G21-G25-G33-G36-G39-G43-G48-G28-G51-G54</f>
        <v>2046846588.26</v>
      </c>
      <c r="H19" s="80">
        <f>G19/F19</f>
        <v>0.98278824942857368</v>
      </c>
      <c r="I19" s="79">
        <f>SUM(I20:I56)-I21-I25-I33-I36-I39-I43-I48-I28-I51-I54</f>
        <v>320141519.85000008</v>
      </c>
      <c r="J19" s="79">
        <f>SUM(J20:J56)-J21-J25-J33-J36-J39-J43-J48-J28-J51-J54</f>
        <v>283511767.20000005</v>
      </c>
      <c r="K19" s="80">
        <f>J19/I19</f>
        <v>0.88558262399965293</v>
      </c>
      <c r="L19" s="79"/>
      <c r="M19" s="79"/>
      <c r="N19" s="81">
        <f>G19+J19</f>
        <v>2330358355.46</v>
      </c>
      <c r="O19" s="53" t="b">
        <f>N19=N20+N22+N23+N24+N26+N27+N31+N32+N34+N35+N37+N38+N40+N41+N42+N46+N49+N53+N52+N47+N55+N56</f>
        <v>1</v>
      </c>
      <c r="P19" s="12"/>
    </row>
    <row r="20" spans="1:18" ht="99" customHeight="1" thickTop="1" thickBot="1" x14ac:dyDescent="0.6">
      <c r="A20" s="58" t="s">
        <v>67</v>
      </c>
      <c r="B20" s="75" t="s">
        <v>68</v>
      </c>
      <c r="C20" s="75" t="s">
        <v>69</v>
      </c>
      <c r="D20" s="75" t="s">
        <v>70</v>
      </c>
      <c r="E20" s="113">
        <v>556640456.61000001</v>
      </c>
      <c r="F20" s="113">
        <v>554505327.41999996</v>
      </c>
      <c r="G20" s="113">
        <v>542224768.77999997</v>
      </c>
      <c r="H20" s="85">
        <f>G20/F20</f>
        <v>0.97785312776499567</v>
      </c>
      <c r="I20" s="113">
        <v>75263223.480000004</v>
      </c>
      <c r="J20" s="113">
        <v>64733961.670000002</v>
      </c>
      <c r="K20" s="85">
        <f t="shared" ref="K20:K24" si="3">J20/I20</f>
        <v>0.86010083911967994</v>
      </c>
      <c r="L20" s="113"/>
      <c r="M20" s="138"/>
      <c r="N20" s="113">
        <f t="shared" si="0"/>
        <v>606958730.44999993</v>
      </c>
      <c r="O20" s="21"/>
      <c r="P20" s="12"/>
    </row>
    <row r="21" spans="1:18" ht="93" thickTop="1" thickBot="1" x14ac:dyDescent="0.6">
      <c r="A21" s="76" t="s">
        <v>71</v>
      </c>
      <c r="B21" s="76" t="s">
        <v>72</v>
      </c>
      <c r="C21" s="76"/>
      <c r="D21" s="76" t="s">
        <v>73</v>
      </c>
      <c r="E21" s="114">
        <f>E22+E23+E24</f>
        <v>593236751.22000003</v>
      </c>
      <c r="F21" s="114">
        <f>F22+F23+F24</f>
        <v>580823452.72000003</v>
      </c>
      <c r="G21" s="114">
        <f>G22+G23+G24</f>
        <v>564428072.03999996</v>
      </c>
      <c r="H21" s="86">
        <f t="shared" ref="H21:H47" si="4">G21/F21</f>
        <v>0.97177217861430976</v>
      </c>
      <c r="I21" s="114">
        <f>I22+I23+I24</f>
        <v>134804395.94</v>
      </c>
      <c r="J21" s="114">
        <f>J22+J23+J24</f>
        <v>123213852.25</v>
      </c>
      <c r="K21" s="86">
        <f t="shared" si="3"/>
        <v>0.91401954209891767</v>
      </c>
      <c r="L21" s="114"/>
      <c r="M21" s="153"/>
      <c r="N21" s="114">
        <f>G21+J21</f>
        <v>687641924.28999996</v>
      </c>
      <c r="O21" s="21"/>
      <c r="P21" s="22"/>
    </row>
    <row r="22" spans="1:18" ht="93" thickTop="1" thickBot="1" x14ac:dyDescent="0.6">
      <c r="A22" s="75" t="s">
        <v>74</v>
      </c>
      <c r="B22" s="75" t="s">
        <v>75</v>
      </c>
      <c r="C22" s="75" t="s">
        <v>76</v>
      </c>
      <c r="D22" s="75" t="s">
        <v>77</v>
      </c>
      <c r="E22" s="113">
        <v>537326574.22000003</v>
      </c>
      <c r="F22" s="113">
        <v>530353686.22000003</v>
      </c>
      <c r="G22" s="113">
        <v>515052980.20999998</v>
      </c>
      <c r="H22" s="85">
        <f t="shared" si="4"/>
        <v>0.97114999592243234</v>
      </c>
      <c r="I22" s="113">
        <v>134044193.39</v>
      </c>
      <c r="J22" s="113">
        <v>122463346.5</v>
      </c>
      <c r="K22" s="85">
        <f t="shared" si="3"/>
        <v>0.91360426291420427</v>
      </c>
      <c r="L22" s="113"/>
      <c r="M22" s="138"/>
      <c r="N22" s="113">
        <f t="shared" si="0"/>
        <v>637516326.71000004</v>
      </c>
      <c r="O22" s="21"/>
      <c r="P22" s="13"/>
      <c r="R22" s="23"/>
    </row>
    <row r="23" spans="1:18" ht="184.5" thickTop="1" thickBot="1" x14ac:dyDescent="0.25">
      <c r="A23" s="58" t="s">
        <v>78</v>
      </c>
      <c r="B23" s="75" t="s">
        <v>79</v>
      </c>
      <c r="C23" s="75" t="s">
        <v>80</v>
      </c>
      <c r="D23" s="75" t="s">
        <v>81</v>
      </c>
      <c r="E23" s="113">
        <v>29563036</v>
      </c>
      <c r="F23" s="113">
        <v>26943141</v>
      </c>
      <c r="G23" s="113">
        <v>26764542.719999999</v>
      </c>
      <c r="H23" s="85">
        <f t="shared" si="4"/>
        <v>0.99337128956122822</v>
      </c>
      <c r="I23" s="113">
        <v>434681.66</v>
      </c>
      <c r="J23" s="113">
        <v>425004.86</v>
      </c>
      <c r="K23" s="85">
        <f t="shared" si="3"/>
        <v>0.97773819120871119</v>
      </c>
      <c r="L23" s="113"/>
      <c r="M23" s="138"/>
      <c r="N23" s="113">
        <f t="shared" si="0"/>
        <v>27189547.579999998</v>
      </c>
      <c r="P23" s="13"/>
    </row>
    <row r="24" spans="1:18" ht="138.75" thickTop="1" thickBot="1" x14ac:dyDescent="0.25">
      <c r="A24" s="75"/>
      <c r="B24" s="75" t="s">
        <v>455</v>
      </c>
      <c r="C24" s="75" t="s">
        <v>80</v>
      </c>
      <c r="D24" s="75" t="s">
        <v>456</v>
      </c>
      <c r="E24" s="113">
        <v>26347141</v>
      </c>
      <c r="F24" s="113">
        <v>23526625.5</v>
      </c>
      <c r="G24" s="113">
        <v>22610549.109999999</v>
      </c>
      <c r="H24" s="85">
        <f t="shared" si="4"/>
        <v>0.96106214254993771</v>
      </c>
      <c r="I24" s="113">
        <v>325520.89</v>
      </c>
      <c r="J24" s="113">
        <v>325500.89</v>
      </c>
      <c r="K24" s="85">
        <f t="shared" si="3"/>
        <v>0.99993856001069548</v>
      </c>
      <c r="L24" s="113"/>
      <c r="M24" s="138"/>
      <c r="N24" s="113">
        <f>G24+J24</f>
        <v>22936050</v>
      </c>
      <c r="P24" s="13"/>
    </row>
    <row r="25" spans="1:18" ht="123" customHeight="1" thickTop="1" thickBot="1" x14ac:dyDescent="0.25">
      <c r="A25" s="59" t="s">
        <v>82</v>
      </c>
      <c r="B25" s="76" t="s">
        <v>83</v>
      </c>
      <c r="C25" s="76"/>
      <c r="D25" s="76" t="s">
        <v>84</v>
      </c>
      <c r="E25" s="114">
        <f>E26+E27</f>
        <v>602605586</v>
      </c>
      <c r="F25" s="114">
        <f>F26+F27</f>
        <v>606356586</v>
      </c>
      <c r="G25" s="114">
        <f>G26+G27</f>
        <v>606356572.90999997</v>
      </c>
      <c r="H25" s="86">
        <f t="shared" si="4"/>
        <v>0.9999999784120428</v>
      </c>
      <c r="I25" s="114">
        <f>I26+I27</f>
        <v>0</v>
      </c>
      <c r="J25" s="114">
        <f>J26+J27</f>
        <v>0</v>
      </c>
      <c r="K25" s="86">
        <v>0</v>
      </c>
      <c r="L25" s="114"/>
      <c r="M25" s="114"/>
      <c r="N25" s="114">
        <f>G25+J25</f>
        <v>606356572.90999997</v>
      </c>
      <c r="O25" s="50" t="s">
        <v>433</v>
      </c>
      <c r="P25" s="19"/>
    </row>
    <row r="26" spans="1:18" ht="93" thickTop="1" thickBot="1" x14ac:dyDescent="0.25">
      <c r="A26" s="58" t="s">
        <v>85</v>
      </c>
      <c r="B26" s="75" t="s">
        <v>86</v>
      </c>
      <c r="C26" s="75" t="s">
        <v>76</v>
      </c>
      <c r="D26" s="75" t="s">
        <v>77</v>
      </c>
      <c r="E26" s="113">
        <v>600318986</v>
      </c>
      <c r="F26" s="113">
        <v>603316886</v>
      </c>
      <c r="G26" s="113">
        <v>603316872.90999997</v>
      </c>
      <c r="H26" s="85">
        <f t="shared" si="4"/>
        <v>0.99999997830327592</v>
      </c>
      <c r="I26" s="113"/>
      <c r="J26" s="113"/>
      <c r="K26" s="113"/>
      <c r="L26" s="113"/>
      <c r="M26" s="138"/>
      <c r="N26" s="113">
        <f t="shared" si="0"/>
        <v>603316872.90999997</v>
      </c>
      <c r="P26" s="17"/>
    </row>
    <row r="27" spans="1:18" ht="138.75" thickTop="1" thickBot="1" x14ac:dyDescent="0.25">
      <c r="A27" s="115"/>
      <c r="B27" s="116" t="s">
        <v>502</v>
      </c>
      <c r="C27" s="75" t="s">
        <v>80</v>
      </c>
      <c r="D27" s="75" t="s">
        <v>456</v>
      </c>
      <c r="E27" s="117">
        <v>2286600</v>
      </c>
      <c r="F27" s="117">
        <v>3039700</v>
      </c>
      <c r="G27" s="117">
        <v>3039700</v>
      </c>
      <c r="H27" s="85">
        <f t="shared" si="4"/>
        <v>1</v>
      </c>
      <c r="I27" s="117"/>
      <c r="J27" s="117"/>
      <c r="K27" s="117"/>
      <c r="L27" s="117"/>
      <c r="M27" s="159"/>
      <c r="N27" s="113">
        <f t="shared" si="0"/>
        <v>3039700</v>
      </c>
      <c r="P27" s="17"/>
    </row>
    <row r="28" spans="1:18" ht="409.6" hidden="1" customHeight="1" thickTop="1" x14ac:dyDescent="0.65">
      <c r="A28" s="198" t="s">
        <v>87</v>
      </c>
      <c r="B28" s="200" t="s">
        <v>88</v>
      </c>
      <c r="C28" s="200"/>
      <c r="D28" s="99" t="s">
        <v>461</v>
      </c>
      <c r="E28" s="179">
        <f t="shared" ref="E28:J28" si="5">E30</f>
        <v>0</v>
      </c>
      <c r="F28" s="179">
        <f t="shared" ref="F28" si="6">F30</f>
        <v>0</v>
      </c>
      <c r="G28" s="179">
        <f t="shared" si="5"/>
        <v>0</v>
      </c>
      <c r="H28" s="93" t="e">
        <f t="shared" si="4"/>
        <v>#DIV/0!</v>
      </c>
      <c r="I28" s="192">
        <f t="shared" si="5"/>
        <v>0</v>
      </c>
      <c r="J28" s="192">
        <f t="shared" si="5"/>
        <v>0</v>
      </c>
      <c r="K28" s="194" t="e">
        <f t="shared" ref="K28:K30" si="7">J28/I28</f>
        <v>#DIV/0!</v>
      </c>
      <c r="L28" s="192"/>
      <c r="M28" s="192"/>
      <c r="N28" s="192">
        <f>J28+G28</f>
        <v>0</v>
      </c>
      <c r="P28" s="17"/>
    </row>
    <row r="29" spans="1:18" ht="230.25" hidden="1" customHeight="1" thickTop="1" thickBot="1" x14ac:dyDescent="0.25">
      <c r="A29" s="199"/>
      <c r="B29" s="201"/>
      <c r="C29" s="201"/>
      <c r="D29" s="100" t="s">
        <v>462</v>
      </c>
      <c r="E29" s="180"/>
      <c r="F29" s="180"/>
      <c r="G29" s="180"/>
      <c r="H29" s="93" t="e">
        <f t="shared" si="4"/>
        <v>#DIV/0!</v>
      </c>
      <c r="I29" s="193"/>
      <c r="J29" s="193"/>
      <c r="K29" s="195"/>
      <c r="L29" s="193"/>
      <c r="M29" s="193"/>
      <c r="N29" s="193"/>
      <c r="P29" s="17"/>
    </row>
    <row r="30" spans="1:18" ht="138.75" hidden="1" customHeight="1" thickTop="1" thickBot="1" x14ac:dyDescent="0.25">
      <c r="A30" s="58" t="s">
        <v>89</v>
      </c>
      <c r="B30" s="101" t="s">
        <v>90</v>
      </c>
      <c r="C30" s="101" t="s">
        <v>76</v>
      </c>
      <c r="D30" s="101" t="s">
        <v>91</v>
      </c>
      <c r="E30" s="102"/>
      <c r="F30" s="102"/>
      <c r="G30" s="102"/>
      <c r="H30" s="93" t="e">
        <f t="shared" si="4"/>
        <v>#DIV/0!</v>
      </c>
      <c r="I30" s="118"/>
      <c r="J30" s="118"/>
      <c r="K30" s="91" t="e">
        <f t="shared" si="7"/>
        <v>#DIV/0!</v>
      </c>
      <c r="L30" s="118"/>
      <c r="M30" s="160"/>
      <c r="N30" s="118">
        <f t="shared" ref="N30:N36" si="8">G30+J30</f>
        <v>0</v>
      </c>
      <c r="P30" s="12"/>
    </row>
    <row r="31" spans="1:18" ht="138.75" thickTop="1" thickBot="1" x14ac:dyDescent="0.25">
      <c r="A31" s="75" t="s">
        <v>92</v>
      </c>
      <c r="B31" s="75" t="s">
        <v>93</v>
      </c>
      <c r="C31" s="75" t="s">
        <v>94</v>
      </c>
      <c r="D31" s="75" t="s">
        <v>95</v>
      </c>
      <c r="E31" s="113">
        <v>33760991</v>
      </c>
      <c r="F31" s="113">
        <v>33630973.450000003</v>
      </c>
      <c r="G31" s="113">
        <v>33187943.120000001</v>
      </c>
      <c r="H31" s="85">
        <f t="shared" si="4"/>
        <v>0.98682671702445168</v>
      </c>
      <c r="I31" s="113">
        <v>14120782.1</v>
      </c>
      <c r="J31" s="113">
        <v>13551622.970000001</v>
      </c>
      <c r="K31" s="85">
        <f t="shared" ref="K31:K37" si="9">J31/I31</f>
        <v>0.95969351230198507</v>
      </c>
      <c r="L31" s="113"/>
      <c r="M31" s="138"/>
      <c r="N31" s="113">
        <f t="shared" si="8"/>
        <v>46739566.090000004</v>
      </c>
      <c r="P31" s="12"/>
    </row>
    <row r="32" spans="1:18" ht="93" thickTop="1" thickBot="1" x14ac:dyDescent="0.25">
      <c r="A32" s="58"/>
      <c r="B32" s="75" t="s">
        <v>269</v>
      </c>
      <c r="C32" s="75" t="s">
        <v>94</v>
      </c>
      <c r="D32" s="75" t="s">
        <v>507</v>
      </c>
      <c r="E32" s="113">
        <v>84943060</v>
      </c>
      <c r="F32" s="113">
        <v>84640160</v>
      </c>
      <c r="G32" s="113">
        <v>83671215.590000004</v>
      </c>
      <c r="H32" s="85">
        <f t="shared" si="4"/>
        <v>0.98855219070946942</v>
      </c>
      <c r="I32" s="113">
        <v>11206490.6</v>
      </c>
      <c r="J32" s="113">
        <v>9674435.4700000007</v>
      </c>
      <c r="K32" s="85">
        <f t="shared" si="9"/>
        <v>0.86328859009617165</v>
      </c>
      <c r="L32" s="113"/>
      <c r="M32" s="138"/>
      <c r="N32" s="113">
        <f t="shared" si="8"/>
        <v>93345651.060000002</v>
      </c>
      <c r="P32" s="12"/>
    </row>
    <row r="33" spans="1:16" ht="138.75" thickTop="1" thickBot="1" x14ac:dyDescent="0.25">
      <c r="A33" s="59" t="s">
        <v>96</v>
      </c>
      <c r="B33" s="76" t="s">
        <v>97</v>
      </c>
      <c r="C33" s="76"/>
      <c r="D33" s="76" t="s">
        <v>98</v>
      </c>
      <c r="E33" s="114">
        <f>E34+E35</f>
        <v>189648152.68000001</v>
      </c>
      <c r="F33" s="114">
        <f>F34+F35</f>
        <v>176301970.27000001</v>
      </c>
      <c r="G33" s="114">
        <f>G34+G35</f>
        <v>171696481.06</v>
      </c>
      <c r="H33" s="86">
        <f t="shared" si="4"/>
        <v>0.97387726749198056</v>
      </c>
      <c r="I33" s="114">
        <f t="shared" ref="I33:J33" si="10">I34+I35</f>
        <v>49365285.670000002</v>
      </c>
      <c r="J33" s="114">
        <f t="shared" si="10"/>
        <v>47418951.420000002</v>
      </c>
      <c r="K33" s="86">
        <f t="shared" si="9"/>
        <v>0.96057281501395597</v>
      </c>
      <c r="L33" s="114"/>
      <c r="M33" s="114"/>
      <c r="N33" s="114">
        <f t="shared" si="8"/>
        <v>219115432.48000002</v>
      </c>
      <c r="P33" s="19"/>
    </row>
    <row r="34" spans="1:16" ht="184.5" thickTop="1" thickBot="1" x14ac:dyDescent="0.25">
      <c r="A34" s="75" t="s">
        <v>99</v>
      </c>
      <c r="B34" s="75" t="s">
        <v>100</v>
      </c>
      <c r="C34" s="75" t="s">
        <v>101</v>
      </c>
      <c r="D34" s="75" t="s">
        <v>102</v>
      </c>
      <c r="E34" s="113">
        <v>165274552.68000001</v>
      </c>
      <c r="F34" s="113">
        <v>155679370.27000001</v>
      </c>
      <c r="G34" s="113">
        <v>151073881.06</v>
      </c>
      <c r="H34" s="85">
        <f t="shared" si="4"/>
        <v>0.97041683042517102</v>
      </c>
      <c r="I34" s="113">
        <v>49365285.670000002</v>
      </c>
      <c r="J34" s="113">
        <v>47418951.420000002</v>
      </c>
      <c r="K34" s="85">
        <f t="shared" si="9"/>
        <v>0.96057281501395597</v>
      </c>
      <c r="L34" s="113"/>
      <c r="M34" s="138"/>
      <c r="N34" s="113">
        <f t="shared" si="8"/>
        <v>198492832.48000002</v>
      </c>
      <c r="P34" s="12"/>
    </row>
    <row r="35" spans="1:16" ht="138.75" thickTop="1" thickBot="1" x14ac:dyDescent="0.25">
      <c r="A35" s="58" t="s">
        <v>103</v>
      </c>
      <c r="B35" s="75" t="s">
        <v>104</v>
      </c>
      <c r="C35" s="75" t="s">
        <v>101</v>
      </c>
      <c r="D35" s="75" t="s">
        <v>105</v>
      </c>
      <c r="E35" s="113">
        <v>24373600</v>
      </c>
      <c r="F35" s="113">
        <v>20622600</v>
      </c>
      <c r="G35" s="113">
        <v>20622600</v>
      </c>
      <c r="H35" s="85">
        <f t="shared" si="4"/>
        <v>1</v>
      </c>
      <c r="I35" s="113"/>
      <c r="J35" s="113"/>
      <c r="K35" s="113"/>
      <c r="L35" s="113"/>
      <c r="M35" s="138"/>
      <c r="N35" s="113">
        <f t="shared" si="8"/>
        <v>20622600</v>
      </c>
      <c r="P35" s="17"/>
    </row>
    <row r="36" spans="1:16" ht="93" thickTop="1" thickBot="1" x14ac:dyDescent="0.25">
      <c r="A36" s="59" t="s">
        <v>106</v>
      </c>
      <c r="B36" s="76" t="s">
        <v>107</v>
      </c>
      <c r="C36" s="76"/>
      <c r="D36" s="76" t="s">
        <v>108</v>
      </c>
      <c r="E36" s="114">
        <f t="shared" ref="E36:J36" si="11">E37+E38</f>
        <v>31735510</v>
      </c>
      <c r="F36" s="114">
        <f t="shared" ref="F36" si="12">F37+F38</f>
        <v>30749131</v>
      </c>
      <c r="G36" s="114">
        <f t="shared" si="11"/>
        <v>29819607.940000001</v>
      </c>
      <c r="H36" s="86">
        <f t="shared" si="4"/>
        <v>0.96977075352145725</v>
      </c>
      <c r="I36" s="114">
        <f t="shared" si="11"/>
        <v>14623893.130000001</v>
      </c>
      <c r="J36" s="114">
        <f t="shared" si="11"/>
        <v>13169435.529999999</v>
      </c>
      <c r="K36" s="86">
        <f t="shared" si="9"/>
        <v>0.90054238039963019</v>
      </c>
      <c r="L36" s="114"/>
      <c r="M36" s="114"/>
      <c r="N36" s="114">
        <f t="shared" si="8"/>
        <v>42989043.469999999</v>
      </c>
      <c r="P36" s="19"/>
    </row>
    <row r="37" spans="1:16" ht="93" thickTop="1" thickBot="1" x14ac:dyDescent="0.25">
      <c r="A37" s="58" t="s">
        <v>109</v>
      </c>
      <c r="B37" s="75" t="s">
        <v>110</v>
      </c>
      <c r="C37" s="75" t="s">
        <v>111</v>
      </c>
      <c r="D37" s="75" t="s">
        <v>112</v>
      </c>
      <c r="E37" s="113">
        <v>31215690</v>
      </c>
      <c r="F37" s="113">
        <v>30229311</v>
      </c>
      <c r="G37" s="113">
        <v>29319507.940000001</v>
      </c>
      <c r="H37" s="85">
        <f t="shared" si="4"/>
        <v>0.96990328161961747</v>
      </c>
      <c r="I37" s="113">
        <v>14623893.130000001</v>
      </c>
      <c r="J37" s="113">
        <v>13169435.529999999</v>
      </c>
      <c r="K37" s="85">
        <f t="shared" si="9"/>
        <v>0.90054238039963019</v>
      </c>
      <c r="L37" s="113"/>
      <c r="M37" s="138"/>
      <c r="N37" s="113">
        <f t="shared" ref="N37:N46" si="13">G37+J37</f>
        <v>42488943.469999999</v>
      </c>
      <c r="P37" s="17"/>
    </row>
    <row r="38" spans="1:16" ht="93" thickTop="1" thickBot="1" x14ac:dyDescent="0.25">
      <c r="A38" s="58" t="s">
        <v>113</v>
      </c>
      <c r="B38" s="75" t="s">
        <v>114</v>
      </c>
      <c r="C38" s="75" t="s">
        <v>111</v>
      </c>
      <c r="D38" s="75" t="s">
        <v>115</v>
      </c>
      <c r="E38" s="113">
        <v>519820</v>
      </c>
      <c r="F38" s="113">
        <v>519820</v>
      </c>
      <c r="G38" s="113">
        <v>500100</v>
      </c>
      <c r="H38" s="85">
        <f t="shared" si="4"/>
        <v>0.9620637913123774</v>
      </c>
      <c r="I38" s="113"/>
      <c r="J38" s="113"/>
      <c r="K38" s="113"/>
      <c r="L38" s="113"/>
      <c r="M38" s="138"/>
      <c r="N38" s="113">
        <f t="shared" si="13"/>
        <v>500100</v>
      </c>
      <c r="P38" s="17"/>
    </row>
    <row r="39" spans="1:16" ht="93" thickTop="1" thickBot="1" x14ac:dyDescent="0.25">
      <c r="A39" s="59" t="s">
        <v>116</v>
      </c>
      <c r="B39" s="76" t="s">
        <v>117</v>
      </c>
      <c r="C39" s="76"/>
      <c r="D39" s="76" t="s">
        <v>118</v>
      </c>
      <c r="E39" s="114">
        <f>E40+E41</f>
        <v>4951121.5</v>
      </c>
      <c r="F39" s="114">
        <f>F40+F41</f>
        <v>4765521.5</v>
      </c>
      <c r="G39" s="114">
        <f t="shared" ref="G39:J39" si="14">G40+G41</f>
        <v>4616572.93</v>
      </c>
      <c r="H39" s="86">
        <f t="shared" si="4"/>
        <v>0.96874453929124016</v>
      </c>
      <c r="I39" s="114">
        <f t="shared" si="14"/>
        <v>226112.86</v>
      </c>
      <c r="J39" s="114">
        <f t="shared" si="14"/>
        <v>224809.86</v>
      </c>
      <c r="K39" s="86">
        <f>J39/I39</f>
        <v>0.99423739100907393</v>
      </c>
      <c r="L39" s="114"/>
      <c r="M39" s="114"/>
      <c r="N39" s="114">
        <f t="shared" si="13"/>
        <v>4841382.79</v>
      </c>
      <c r="O39" s="50"/>
      <c r="P39" s="19"/>
    </row>
    <row r="40" spans="1:16" ht="93" thickTop="1" thickBot="1" x14ac:dyDescent="0.25">
      <c r="A40" s="58" t="s">
        <v>119</v>
      </c>
      <c r="B40" s="75" t="s">
        <v>120</v>
      </c>
      <c r="C40" s="75" t="s">
        <v>111</v>
      </c>
      <c r="D40" s="75" t="s">
        <v>121</v>
      </c>
      <c r="E40" s="113">
        <v>1235721.5</v>
      </c>
      <c r="F40" s="113">
        <v>1050121.5</v>
      </c>
      <c r="G40" s="113">
        <v>1029672.61</v>
      </c>
      <c r="H40" s="85">
        <f t="shared" si="4"/>
        <v>0.98052711995707165</v>
      </c>
      <c r="I40" s="113">
        <v>226112.86</v>
      </c>
      <c r="J40" s="113">
        <v>224809.86</v>
      </c>
      <c r="K40" s="85">
        <f t="shared" ref="K40:K42" si="15">J40/I40</f>
        <v>0.99423739100907393</v>
      </c>
      <c r="L40" s="113"/>
      <c r="M40" s="138"/>
      <c r="N40" s="113">
        <f>G40+J40</f>
        <v>1254482.47</v>
      </c>
      <c r="P40" s="12"/>
    </row>
    <row r="41" spans="1:16" ht="93" thickTop="1" thickBot="1" x14ac:dyDescent="0.25">
      <c r="A41" s="58" t="s">
        <v>122</v>
      </c>
      <c r="B41" s="75" t="s">
        <v>123</v>
      </c>
      <c r="C41" s="75" t="s">
        <v>111</v>
      </c>
      <c r="D41" s="75" t="s">
        <v>124</v>
      </c>
      <c r="E41" s="113">
        <v>3715400</v>
      </c>
      <c r="F41" s="113">
        <v>3715400</v>
      </c>
      <c r="G41" s="113">
        <v>3586900.32</v>
      </c>
      <c r="H41" s="85">
        <f t="shared" si="4"/>
        <v>0.96541430801528771</v>
      </c>
      <c r="I41" s="113"/>
      <c r="J41" s="113"/>
      <c r="K41" s="113"/>
      <c r="L41" s="113"/>
      <c r="M41" s="138"/>
      <c r="N41" s="113">
        <f t="shared" si="13"/>
        <v>3586900.32</v>
      </c>
      <c r="P41" s="17"/>
    </row>
    <row r="42" spans="1:16" ht="93" thickTop="1" thickBot="1" x14ac:dyDescent="0.25">
      <c r="A42" s="58" t="s">
        <v>125</v>
      </c>
      <c r="B42" s="75" t="s">
        <v>126</v>
      </c>
      <c r="C42" s="75" t="s">
        <v>111</v>
      </c>
      <c r="D42" s="75" t="s">
        <v>127</v>
      </c>
      <c r="E42" s="113">
        <v>3358580</v>
      </c>
      <c r="F42" s="113">
        <v>3526880</v>
      </c>
      <c r="G42" s="113">
        <v>3463650.99</v>
      </c>
      <c r="H42" s="85">
        <f t="shared" si="4"/>
        <v>0.98207225366329454</v>
      </c>
      <c r="I42" s="113">
        <v>400000</v>
      </c>
      <c r="J42" s="113">
        <v>398204</v>
      </c>
      <c r="K42" s="85">
        <f t="shared" si="15"/>
        <v>0.99551000000000001</v>
      </c>
      <c r="L42" s="113"/>
      <c r="M42" s="138"/>
      <c r="N42" s="113">
        <f>G42+J42</f>
        <v>3861854.99</v>
      </c>
      <c r="O42" s="50"/>
      <c r="P42" s="12"/>
    </row>
    <row r="43" spans="1:16" s="18" customFormat="1" ht="230.25" hidden="1" customHeight="1" thickTop="1" thickBot="1" x14ac:dyDescent="0.25">
      <c r="A43" s="59" t="s">
        <v>128</v>
      </c>
      <c r="B43" s="76" t="s">
        <v>129</v>
      </c>
      <c r="C43" s="76"/>
      <c r="D43" s="76" t="s">
        <v>130</v>
      </c>
      <c r="E43" s="114">
        <f>E44+E45</f>
        <v>0</v>
      </c>
      <c r="F43" s="114">
        <f>F44+F45</f>
        <v>0</v>
      </c>
      <c r="G43" s="114">
        <f>G44+G45</f>
        <v>0</v>
      </c>
      <c r="H43" s="85" t="e">
        <f t="shared" si="4"/>
        <v>#DIV/0!</v>
      </c>
      <c r="I43" s="97">
        <f>I44+I45</f>
        <v>0</v>
      </c>
      <c r="J43" s="97">
        <f>J44+J45</f>
        <v>0</v>
      </c>
      <c r="K43" s="98" t="e">
        <f t="shared" ref="K43:K45" si="16">J43/I43</f>
        <v>#DIV/0!</v>
      </c>
      <c r="L43" s="97"/>
      <c r="M43" s="97"/>
      <c r="N43" s="97">
        <f t="shared" si="13"/>
        <v>0</v>
      </c>
      <c r="O43" s="50"/>
      <c r="P43" s="22"/>
    </row>
    <row r="44" spans="1:16" s="18" customFormat="1" ht="367.5" hidden="1" customHeight="1" thickTop="1" thickBot="1" x14ac:dyDescent="0.25">
      <c r="A44" s="58" t="s">
        <v>131</v>
      </c>
      <c r="B44" s="75" t="s">
        <v>132</v>
      </c>
      <c r="C44" s="75" t="s">
        <v>111</v>
      </c>
      <c r="D44" s="75" t="s">
        <v>133</v>
      </c>
      <c r="E44" s="113"/>
      <c r="F44" s="113"/>
      <c r="G44" s="113"/>
      <c r="H44" s="85" t="e">
        <f t="shared" si="4"/>
        <v>#DIV/0!</v>
      </c>
      <c r="I44" s="95"/>
      <c r="J44" s="95"/>
      <c r="K44" s="93" t="e">
        <f t="shared" si="16"/>
        <v>#DIV/0!</v>
      </c>
      <c r="L44" s="95"/>
      <c r="M44" s="96"/>
      <c r="N44" s="95">
        <f t="shared" si="13"/>
        <v>0</v>
      </c>
      <c r="O44" s="50"/>
      <c r="P44" s="12"/>
    </row>
    <row r="45" spans="1:16" s="18" customFormat="1" ht="321.75" hidden="1" customHeight="1" thickTop="1" thickBot="1" x14ac:dyDescent="0.25">
      <c r="A45" s="58"/>
      <c r="B45" s="75" t="s">
        <v>453</v>
      </c>
      <c r="C45" s="75" t="s">
        <v>111</v>
      </c>
      <c r="D45" s="75" t="s">
        <v>454</v>
      </c>
      <c r="E45" s="113"/>
      <c r="F45" s="113"/>
      <c r="G45" s="113"/>
      <c r="H45" s="85" t="e">
        <f t="shared" si="4"/>
        <v>#DIV/0!</v>
      </c>
      <c r="I45" s="95"/>
      <c r="J45" s="95"/>
      <c r="K45" s="93" t="e">
        <f t="shared" si="16"/>
        <v>#DIV/0!</v>
      </c>
      <c r="L45" s="95"/>
      <c r="M45" s="96"/>
      <c r="N45" s="95">
        <f t="shared" si="13"/>
        <v>0</v>
      </c>
      <c r="O45" s="52"/>
      <c r="P45" s="12"/>
    </row>
    <row r="46" spans="1:16" s="18" customFormat="1" ht="184.5" thickTop="1" thickBot="1" x14ac:dyDescent="0.25">
      <c r="A46" s="58" t="s">
        <v>134</v>
      </c>
      <c r="B46" s="75" t="s">
        <v>135</v>
      </c>
      <c r="C46" s="75" t="s">
        <v>111</v>
      </c>
      <c r="D46" s="75" t="s">
        <v>136</v>
      </c>
      <c r="E46" s="113">
        <v>4309689</v>
      </c>
      <c r="F46" s="113">
        <v>4309689</v>
      </c>
      <c r="G46" s="113">
        <v>4304370.74</v>
      </c>
      <c r="H46" s="85">
        <f t="shared" si="4"/>
        <v>0.99876597592076832</v>
      </c>
      <c r="I46" s="113"/>
      <c r="J46" s="113"/>
      <c r="K46" s="85"/>
      <c r="L46" s="113"/>
      <c r="M46" s="138"/>
      <c r="N46" s="113">
        <f t="shared" si="13"/>
        <v>4304370.74</v>
      </c>
      <c r="O46" s="20"/>
      <c r="P46" s="12"/>
    </row>
    <row r="47" spans="1:16" s="18" customFormat="1" ht="184.5" thickTop="1" thickBot="1" x14ac:dyDescent="0.25">
      <c r="A47" s="57"/>
      <c r="B47" s="75" t="s">
        <v>137</v>
      </c>
      <c r="C47" s="75" t="s">
        <v>111</v>
      </c>
      <c r="D47" s="75" t="s">
        <v>138</v>
      </c>
      <c r="E47" s="113"/>
      <c r="F47" s="113">
        <v>2413596</v>
      </c>
      <c r="G47" s="113">
        <v>2409265.0099999998</v>
      </c>
      <c r="H47" s="85">
        <f t="shared" si="4"/>
        <v>0.9982055861875806</v>
      </c>
      <c r="I47" s="118"/>
      <c r="J47" s="118"/>
      <c r="K47" s="91"/>
      <c r="L47" s="161"/>
      <c r="M47" s="161"/>
      <c r="N47" s="113">
        <f t="shared" ref="N47:N50" si="17">G47+J47</f>
        <v>2409265.0099999998</v>
      </c>
      <c r="O47" s="20"/>
      <c r="P47" s="12"/>
    </row>
    <row r="48" spans="1:16" s="18" customFormat="1" ht="244.5" thickTop="1" thickBot="1" x14ac:dyDescent="0.25">
      <c r="A48" s="8"/>
      <c r="B48" s="76" t="s">
        <v>457</v>
      </c>
      <c r="C48" s="76"/>
      <c r="D48" s="76" t="s">
        <v>458</v>
      </c>
      <c r="E48" s="114">
        <f>E50+E49</f>
        <v>0</v>
      </c>
      <c r="F48" s="114">
        <f>F50+F49</f>
        <v>0</v>
      </c>
      <c r="G48" s="114">
        <f>G50+G49</f>
        <v>0</v>
      </c>
      <c r="H48" s="86">
        <v>0</v>
      </c>
      <c r="I48" s="114">
        <f>I50+I49</f>
        <v>1780336.07</v>
      </c>
      <c r="J48" s="114">
        <f>J50+J49</f>
        <v>1780335.27</v>
      </c>
      <c r="K48" s="86">
        <f>J48/I48</f>
        <v>0.99999955064663715</v>
      </c>
      <c r="L48" s="130"/>
      <c r="M48" s="130"/>
      <c r="N48" s="114">
        <f>G48+J48</f>
        <v>1780335.27</v>
      </c>
      <c r="O48" s="50" t="s">
        <v>433</v>
      </c>
      <c r="P48" s="12"/>
    </row>
    <row r="49" spans="1:16" s="18" customFormat="1" ht="230.25" thickTop="1" thickBot="1" x14ac:dyDescent="0.25">
      <c r="A49" s="8"/>
      <c r="B49" s="75" t="s">
        <v>474</v>
      </c>
      <c r="C49" s="75" t="s">
        <v>111</v>
      </c>
      <c r="D49" s="75" t="s">
        <v>475</v>
      </c>
      <c r="E49" s="113"/>
      <c r="F49" s="113"/>
      <c r="G49" s="113"/>
      <c r="H49" s="85"/>
      <c r="I49" s="113">
        <v>1780336.07</v>
      </c>
      <c r="J49" s="113">
        <v>1780335.27</v>
      </c>
      <c r="K49" s="85">
        <f t="shared" ref="K49:K56" si="18">J49/I49</f>
        <v>0.99999955064663715</v>
      </c>
      <c r="L49" s="139"/>
      <c r="M49" s="139"/>
      <c r="N49" s="113">
        <f>G49+J49</f>
        <v>1780335.27</v>
      </c>
      <c r="O49" s="50"/>
      <c r="P49" s="12"/>
    </row>
    <row r="50" spans="1:16" s="18" customFormat="1" ht="230.25" hidden="1" customHeight="1" thickTop="1" thickBot="1" x14ac:dyDescent="0.25">
      <c r="A50" s="57"/>
      <c r="B50" s="58" t="s">
        <v>459</v>
      </c>
      <c r="C50" s="58" t="s">
        <v>111</v>
      </c>
      <c r="D50" s="58" t="s">
        <v>460</v>
      </c>
      <c r="E50" s="118"/>
      <c r="F50" s="118"/>
      <c r="G50" s="118"/>
      <c r="H50" s="91"/>
      <c r="I50" s="102"/>
      <c r="J50" s="118"/>
      <c r="K50" s="103" t="e">
        <f t="shared" si="18"/>
        <v>#DIV/0!</v>
      </c>
      <c r="L50" s="105"/>
      <c r="M50" s="105"/>
      <c r="N50" s="102">
        <f t="shared" si="17"/>
        <v>0</v>
      </c>
      <c r="O50" s="50" t="s">
        <v>433</v>
      </c>
      <c r="P50" s="12"/>
    </row>
    <row r="51" spans="1:16" s="18" customFormat="1" ht="244.5" thickTop="1" thickBot="1" x14ac:dyDescent="0.25">
      <c r="A51" s="57"/>
      <c r="B51" s="76" t="s">
        <v>551</v>
      </c>
      <c r="C51" s="76"/>
      <c r="D51" s="76" t="s">
        <v>548</v>
      </c>
      <c r="E51" s="114">
        <f>SUM(E52:E53)</f>
        <v>0</v>
      </c>
      <c r="F51" s="114">
        <f>SUM(F52:F53)</f>
        <v>0</v>
      </c>
      <c r="G51" s="114">
        <f>SUM(G52:G53)</f>
        <v>0</v>
      </c>
      <c r="H51" s="86">
        <v>0</v>
      </c>
      <c r="I51" s="114">
        <f>SUM(I52:I53)</f>
        <v>15200000</v>
      </c>
      <c r="J51" s="114">
        <f>SUM(J52:J53)</f>
        <v>7014551.9100000001</v>
      </c>
      <c r="K51" s="86">
        <f>J51/I51</f>
        <v>0.46148367828947368</v>
      </c>
      <c r="L51" s="130"/>
      <c r="M51" s="130"/>
      <c r="N51" s="114">
        <f>G51+J51</f>
        <v>7014551.9100000001</v>
      </c>
      <c r="O51" s="50" t="s">
        <v>433</v>
      </c>
      <c r="P51" s="12"/>
    </row>
    <row r="52" spans="1:16" s="18" customFormat="1" ht="230.25" thickTop="1" thickBot="1" x14ac:dyDescent="0.25">
      <c r="A52" s="57"/>
      <c r="B52" s="75" t="s">
        <v>563</v>
      </c>
      <c r="C52" s="75" t="s">
        <v>111</v>
      </c>
      <c r="D52" s="75" t="s">
        <v>562</v>
      </c>
      <c r="E52" s="113"/>
      <c r="F52" s="113"/>
      <c r="G52" s="113"/>
      <c r="H52" s="85"/>
      <c r="I52" s="113">
        <v>8000000</v>
      </c>
      <c r="J52" s="113">
        <v>2323251.0299999998</v>
      </c>
      <c r="K52" s="85">
        <f t="shared" ref="K52" si="19">J52/I52</f>
        <v>0.29040637874999997</v>
      </c>
      <c r="L52" s="139"/>
      <c r="M52" s="139"/>
      <c r="N52" s="113">
        <f>G52+J52</f>
        <v>2323251.0299999998</v>
      </c>
      <c r="O52" s="52"/>
      <c r="P52" s="12"/>
    </row>
    <row r="53" spans="1:16" s="18" customFormat="1" ht="184.5" thickTop="1" thickBot="1" x14ac:dyDescent="0.25">
      <c r="A53" s="57"/>
      <c r="B53" s="75" t="s">
        <v>550</v>
      </c>
      <c r="C53" s="75" t="s">
        <v>111</v>
      </c>
      <c r="D53" s="75" t="s">
        <v>549</v>
      </c>
      <c r="E53" s="113"/>
      <c r="F53" s="113"/>
      <c r="G53" s="113"/>
      <c r="H53" s="85"/>
      <c r="I53" s="113">
        <v>7200000</v>
      </c>
      <c r="J53" s="113">
        <v>4691300.88</v>
      </c>
      <c r="K53" s="85">
        <f t="shared" si="18"/>
        <v>0.65156956666666666</v>
      </c>
      <c r="L53" s="139"/>
      <c r="M53" s="139"/>
      <c r="N53" s="113">
        <f>G53+J53</f>
        <v>4691300.88</v>
      </c>
      <c r="O53" s="52"/>
      <c r="P53" s="12"/>
    </row>
    <row r="54" spans="1:16" s="18" customFormat="1" ht="184.5" thickTop="1" thickBot="1" x14ac:dyDescent="0.25">
      <c r="A54" s="57"/>
      <c r="B54" s="76" t="s">
        <v>571</v>
      </c>
      <c r="C54" s="76"/>
      <c r="D54" s="76" t="s">
        <v>572</v>
      </c>
      <c r="E54" s="113"/>
      <c r="F54" s="114">
        <f>SUM(F55:F56)</f>
        <v>670100</v>
      </c>
      <c r="G54" s="114">
        <f>SUM(G55:G56)</f>
        <v>668067.15</v>
      </c>
      <c r="H54" s="86">
        <f t="shared" ref="H54:H55" si="20">G54/F54</f>
        <v>0.99696634830622299</v>
      </c>
      <c r="I54" s="114">
        <f>SUM(I55:I56)</f>
        <v>3151000</v>
      </c>
      <c r="J54" s="114">
        <f>SUM(J55:J56)</f>
        <v>2331606.85</v>
      </c>
      <c r="K54" s="86">
        <f>J54/I54</f>
        <v>0.73995774357346877</v>
      </c>
      <c r="L54" s="130"/>
      <c r="M54" s="130"/>
      <c r="N54" s="114">
        <f>G54+J54</f>
        <v>2999674</v>
      </c>
      <c r="O54" s="52"/>
      <c r="P54" s="12"/>
    </row>
    <row r="55" spans="1:16" s="18" customFormat="1" ht="184.5" thickTop="1" thickBot="1" x14ac:dyDescent="0.25">
      <c r="A55" s="57"/>
      <c r="B55" s="75" t="s">
        <v>573</v>
      </c>
      <c r="C55" s="75" t="s">
        <v>111</v>
      </c>
      <c r="D55" s="75" t="s">
        <v>574</v>
      </c>
      <c r="E55" s="113"/>
      <c r="F55" s="113">
        <v>670100</v>
      </c>
      <c r="G55" s="113">
        <v>668067.15</v>
      </c>
      <c r="H55" s="85">
        <f t="shared" si="20"/>
        <v>0.99696634830622299</v>
      </c>
      <c r="I55" s="113">
        <v>349091</v>
      </c>
      <c r="J55" s="113">
        <v>198387</v>
      </c>
      <c r="K55" s="85">
        <f t="shared" si="18"/>
        <v>0.56829594575626408</v>
      </c>
      <c r="L55" s="139"/>
      <c r="M55" s="139"/>
      <c r="N55" s="113">
        <f t="shared" ref="N55:N56" si="21">G55+J55</f>
        <v>866454.15</v>
      </c>
      <c r="O55" s="52"/>
      <c r="P55" s="12"/>
    </row>
    <row r="56" spans="1:16" s="18" customFormat="1" ht="184.5" thickTop="1" thickBot="1" x14ac:dyDescent="0.25">
      <c r="A56" s="57"/>
      <c r="B56" s="75" t="s">
        <v>575</v>
      </c>
      <c r="C56" s="75" t="s">
        <v>111</v>
      </c>
      <c r="D56" s="75" t="s">
        <v>576</v>
      </c>
      <c r="E56" s="113"/>
      <c r="F56" s="113"/>
      <c r="G56" s="113"/>
      <c r="H56" s="85"/>
      <c r="I56" s="113">
        <v>2801909</v>
      </c>
      <c r="J56" s="113">
        <v>2133219.85</v>
      </c>
      <c r="K56" s="85">
        <f t="shared" si="18"/>
        <v>0.76134515789056678</v>
      </c>
      <c r="L56" s="139"/>
      <c r="M56" s="139"/>
      <c r="N56" s="113">
        <f t="shared" si="21"/>
        <v>2133219.85</v>
      </c>
      <c r="O56" s="52"/>
      <c r="P56" s="12"/>
    </row>
    <row r="57" spans="1:16" ht="91.5" thickTop="1" thickBot="1" x14ac:dyDescent="0.25">
      <c r="A57" s="57" t="s">
        <v>142</v>
      </c>
      <c r="B57" s="77" t="s">
        <v>143</v>
      </c>
      <c r="C57" s="77"/>
      <c r="D57" s="78" t="s">
        <v>144</v>
      </c>
      <c r="E57" s="79">
        <f>SUM(E58:E69)-E63-E65-E67</f>
        <v>156088730</v>
      </c>
      <c r="F57" s="79">
        <f t="shared" ref="F57" si="22">SUM(F58:F69)-F63-F65-F67</f>
        <v>158205612</v>
      </c>
      <c r="G57" s="79">
        <f t="shared" ref="G57:J57" si="23">SUM(G58:G69)-G63-G65-G67</f>
        <v>138703162.43000001</v>
      </c>
      <c r="H57" s="80">
        <f>G57/F57</f>
        <v>0.8767271949240335</v>
      </c>
      <c r="I57" s="79">
        <f>SUM(I58:I69)-I63-I65-I67</f>
        <v>72358297.439999998</v>
      </c>
      <c r="J57" s="79">
        <f t="shared" si="23"/>
        <v>69254797.469999999</v>
      </c>
      <c r="K57" s="80">
        <f>J57/I57</f>
        <v>0.95710927316147199</v>
      </c>
      <c r="L57" s="79"/>
      <c r="M57" s="79"/>
      <c r="N57" s="81">
        <f>J57+G57</f>
        <v>207957959.90000001</v>
      </c>
      <c r="O57" s="53" t="b">
        <f>N57=N58+N59+N60+N61+N64+N68+N69</f>
        <v>1</v>
      </c>
      <c r="P57" s="24"/>
    </row>
    <row r="58" spans="1:16" ht="93" thickTop="1" thickBot="1" x14ac:dyDescent="0.25">
      <c r="A58" s="58" t="s">
        <v>145</v>
      </c>
      <c r="B58" s="75" t="s">
        <v>146</v>
      </c>
      <c r="C58" s="75" t="s">
        <v>147</v>
      </c>
      <c r="D58" s="75" t="s">
        <v>148</v>
      </c>
      <c r="E58" s="113">
        <v>63715953</v>
      </c>
      <c r="F58" s="113">
        <v>70365435</v>
      </c>
      <c r="G58" s="113">
        <v>61052505.450000003</v>
      </c>
      <c r="H58" s="85">
        <f>G58/F58</f>
        <v>0.86764908722585177</v>
      </c>
      <c r="I58" s="113">
        <v>55786703</v>
      </c>
      <c r="J58" s="113">
        <v>55221865.229999997</v>
      </c>
      <c r="K58" s="85">
        <f>J58/I58</f>
        <v>0.98987504656799663</v>
      </c>
      <c r="L58" s="113"/>
      <c r="M58" s="138"/>
      <c r="N58" s="113">
        <f>G58+J58</f>
        <v>116274370.68000001</v>
      </c>
      <c r="P58" s="17"/>
    </row>
    <row r="59" spans="1:16" ht="93" thickTop="1" thickBot="1" x14ac:dyDescent="0.25">
      <c r="A59" s="58" t="s">
        <v>149</v>
      </c>
      <c r="B59" s="75" t="s">
        <v>150</v>
      </c>
      <c r="C59" s="75" t="s">
        <v>151</v>
      </c>
      <c r="D59" s="75" t="s">
        <v>152</v>
      </c>
      <c r="E59" s="113">
        <v>18220999</v>
      </c>
      <c r="F59" s="113">
        <v>18020999</v>
      </c>
      <c r="G59" s="113">
        <v>14694983</v>
      </c>
      <c r="H59" s="85">
        <f t="shared" ref="H59:H61" si="24">G59/F59</f>
        <v>0.81543664699165674</v>
      </c>
      <c r="I59" s="113"/>
      <c r="J59" s="113"/>
      <c r="K59" s="85"/>
      <c r="L59" s="113"/>
      <c r="M59" s="138"/>
      <c r="N59" s="113">
        <f t="shared" ref="N59:N115" si="25">G59+J59</f>
        <v>14694983</v>
      </c>
      <c r="P59" s="24"/>
    </row>
    <row r="60" spans="1:16" ht="93" thickTop="1" thickBot="1" x14ac:dyDescent="0.25">
      <c r="A60" s="75" t="s">
        <v>153</v>
      </c>
      <c r="B60" s="75" t="s">
        <v>154</v>
      </c>
      <c r="C60" s="75" t="s">
        <v>155</v>
      </c>
      <c r="D60" s="75" t="s">
        <v>156</v>
      </c>
      <c r="E60" s="113">
        <v>18957732</v>
      </c>
      <c r="F60" s="113">
        <v>17507732</v>
      </c>
      <c r="G60" s="113">
        <v>15121266.35</v>
      </c>
      <c r="H60" s="85">
        <f t="shared" si="24"/>
        <v>0.8636907596026715</v>
      </c>
      <c r="I60" s="113">
        <v>11986984</v>
      </c>
      <c r="J60" s="113">
        <v>10943229.52</v>
      </c>
      <c r="K60" s="85">
        <f>J60/I60</f>
        <v>0.91292601374958038</v>
      </c>
      <c r="L60" s="113"/>
      <c r="M60" s="138"/>
      <c r="N60" s="113">
        <f t="shared" si="25"/>
        <v>26064495.869999997</v>
      </c>
      <c r="P60" s="24"/>
    </row>
    <row r="61" spans="1:16" ht="93" thickTop="1" thickBot="1" x14ac:dyDescent="0.25">
      <c r="A61" s="58" t="s">
        <v>157</v>
      </c>
      <c r="B61" s="75" t="s">
        <v>158</v>
      </c>
      <c r="C61" s="75" t="s">
        <v>159</v>
      </c>
      <c r="D61" s="75" t="s">
        <v>160</v>
      </c>
      <c r="E61" s="113">
        <v>26595495</v>
      </c>
      <c r="F61" s="113">
        <v>24297895</v>
      </c>
      <c r="G61" s="113">
        <v>22142136.109999999</v>
      </c>
      <c r="H61" s="85">
        <f t="shared" si="24"/>
        <v>0.91127795679419965</v>
      </c>
      <c r="I61" s="113">
        <v>1546267</v>
      </c>
      <c r="J61" s="113">
        <v>1223549.2</v>
      </c>
      <c r="K61" s="85">
        <f>J61/I61</f>
        <v>0.79129231885566975</v>
      </c>
      <c r="L61" s="113"/>
      <c r="M61" s="138"/>
      <c r="N61" s="113">
        <f t="shared" si="25"/>
        <v>23365685.309999999</v>
      </c>
      <c r="P61" s="24"/>
    </row>
    <row r="62" spans="1:16" ht="93" hidden="1" thickTop="1" thickBot="1" x14ac:dyDescent="0.25">
      <c r="A62" s="58" t="s">
        <v>161</v>
      </c>
      <c r="B62" s="101" t="s">
        <v>162</v>
      </c>
      <c r="C62" s="101" t="s">
        <v>163</v>
      </c>
      <c r="D62" s="101" t="s">
        <v>164</v>
      </c>
      <c r="E62" s="102"/>
      <c r="F62" s="102"/>
      <c r="G62" s="102"/>
      <c r="H62" s="103"/>
      <c r="I62" s="102"/>
      <c r="J62" s="102"/>
      <c r="K62" s="103" t="e">
        <f>J62/I62</f>
        <v>#DIV/0!</v>
      </c>
      <c r="L62" s="102"/>
      <c r="M62" s="104"/>
      <c r="N62" s="102">
        <f t="shared" si="25"/>
        <v>0</v>
      </c>
      <c r="P62" s="24"/>
    </row>
    <row r="63" spans="1:16" ht="93" thickTop="1" thickBot="1" x14ac:dyDescent="0.25">
      <c r="A63" s="58" t="s">
        <v>165</v>
      </c>
      <c r="B63" s="76" t="s">
        <v>166</v>
      </c>
      <c r="C63" s="76"/>
      <c r="D63" s="76" t="s">
        <v>167</v>
      </c>
      <c r="E63" s="114">
        <f>E64</f>
        <v>18156325</v>
      </c>
      <c r="F63" s="114">
        <f>F64</f>
        <v>17571325</v>
      </c>
      <c r="G63" s="114">
        <f t="shared" ref="G63" si="26">G64</f>
        <v>16138758.92</v>
      </c>
      <c r="H63" s="86">
        <f t="shared" ref="H63:H64" si="27">G63/F63</f>
        <v>0.91847136855074962</v>
      </c>
      <c r="I63" s="114">
        <f>I64</f>
        <v>3000000</v>
      </c>
      <c r="J63" s="114">
        <f t="shared" ref="J63" si="28">J64</f>
        <v>1842989.94</v>
      </c>
      <c r="K63" s="86">
        <f>J63/I63</f>
        <v>0.61432997999999994</v>
      </c>
      <c r="L63" s="114"/>
      <c r="M63" s="114"/>
      <c r="N63" s="114">
        <f t="shared" si="25"/>
        <v>17981748.859999999</v>
      </c>
      <c r="O63" s="50"/>
      <c r="P63" s="24"/>
    </row>
    <row r="64" spans="1:16" ht="138.75" thickTop="1" thickBot="1" x14ac:dyDescent="0.25">
      <c r="A64" s="58" t="s">
        <v>168</v>
      </c>
      <c r="B64" s="75" t="s">
        <v>169</v>
      </c>
      <c r="C64" s="75" t="s">
        <v>170</v>
      </c>
      <c r="D64" s="75" t="s">
        <v>171</v>
      </c>
      <c r="E64" s="113">
        <v>18156325</v>
      </c>
      <c r="F64" s="113">
        <v>17571325</v>
      </c>
      <c r="G64" s="113">
        <v>16138758.92</v>
      </c>
      <c r="H64" s="85">
        <f t="shared" si="27"/>
        <v>0.91847136855074962</v>
      </c>
      <c r="I64" s="113">
        <v>3000000</v>
      </c>
      <c r="J64" s="113">
        <v>1842989.94</v>
      </c>
      <c r="K64" s="85">
        <f>J64/I64</f>
        <v>0.61432997999999994</v>
      </c>
      <c r="L64" s="113"/>
      <c r="M64" s="138"/>
      <c r="N64" s="113">
        <f t="shared" si="25"/>
        <v>17981748.859999999</v>
      </c>
      <c r="P64" s="24"/>
    </row>
    <row r="65" spans="1:18" ht="138.75" hidden="1" customHeight="1" thickTop="1" thickBot="1" x14ac:dyDescent="0.25">
      <c r="A65" s="59" t="s">
        <v>172</v>
      </c>
      <c r="B65" s="106" t="s">
        <v>173</v>
      </c>
      <c r="C65" s="106"/>
      <c r="D65" s="106" t="s">
        <v>174</v>
      </c>
      <c r="E65" s="107">
        <f t="shared" ref="E65:G65" si="29">E66</f>
        <v>0</v>
      </c>
      <c r="F65" s="107">
        <f t="shared" si="29"/>
        <v>0</v>
      </c>
      <c r="G65" s="107">
        <f t="shared" si="29"/>
        <v>0</v>
      </c>
      <c r="H65" s="108"/>
      <c r="I65" s="162"/>
      <c r="J65" s="162"/>
      <c r="K65" s="163"/>
      <c r="L65" s="162"/>
      <c r="M65" s="162"/>
      <c r="N65" s="162">
        <f t="shared" si="25"/>
        <v>0</v>
      </c>
      <c r="O65" s="50"/>
      <c r="P65" s="24"/>
    </row>
    <row r="66" spans="1:18" ht="138.75" hidden="1" customHeight="1" thickTop="1" thickBot="1" x14ac:dyDescent="0.25">
      <c r="A66" s="58" t="s">
        <v>175</v>
      </c>
      <c r="B66" s="101" t="s">
        <v>176</v>
      </c>
      <c r="C66" s="101" t="s">
        <v>177</v>
      </c>
      <c r="D66" s="101" t="s">
        <v>178</v>
      </c>
      <c r="E66" s="102"/>
      <c r="F66" s="102"/>
      <c r="G66" s="102"/>
      <c r="H66" s="103"/>
      <c r="I66" s="118"/>
      <c r="J66" s="118"/>
      <c r="K66" s="118"/>
      <c r="L66" s="118"/>
      <c r="M66" s="160"/>
      <c r="N66" s="118">
        <f t="shared" si="25"/>
        <v>0</v>
      </c>
      <c r="P66" s="24"/>
    </row>
    <row r="67" spans="1:18" ht="93" thickTop="1" thickBot="1" x14ac:dyDescent="0.25">
      <c r="A67" s="58" t="s">
        <v>179</v>
      </c>
      <c r="B67" s="76" t="s">
        <v>180</v>
      </c>
      <c r="C67" s="76"/>
      <c r="D67" s="76" t="s">
        <v>181</v>
      </c>
      <c r="E67" s="114">
        <f>SUM(E68:E69)</f>
        <v>10442226</v>
      </c>
      <c r="F67" s="114">
        <f>SUM(F68:F69)</f>
        <v>10442226</v>
      </c>
      <c r="G67" s="114">
        <f t="shared" ref="G67:J67" si="30">SUM(G68:G69)</f>
        <v>9553512.5999999996</v>
      </c>
      <c r="H67" s="86">
        <f t="shared" ref="H67:H69" si="31">G67/F67</f>
        <v>0.91489234192019975</v>
      </c>
      <c r="I67" s="114">
        <f t="shared" si="30"/>
        <v>38343.440000000002</v>
      </c>
      <c r="J67" s="114">
        <f t="shared" si="30"/>
        <v>23163.58</v>
      </c>
      <c r="K67" s="86">
        <f>J67/I67</f>
        <v>0.60410802995245083</v>
      </c>
      <c r="L67" s="114"/>
      <c r="M67" s="114"/>
      <c r="N67" s="114">
        <f t="shared" si="25"/>
        <v>9576676.1799999997</v>
      </c>
      <c r="O67" s="50"/>
      <c r="P67" s="24"/>
    </row>
    <row r="68" spans="1:18" s="18" customFormat="1" ht="93" thickTop="1" thickBot="1" x14ac:dyDescent="0.25">
      <c r="A68" s="58" t="s">
        <v>182</v>
      </c>
      <c r="B68" s="75" t="s">
        <v>183</v>
      </c>
      <c r="C68" s="75" t="s">
        <v>177</v>
      </c>
      <c r="D68" s="92" t="s">
        <v>184</v>
      </c>
      <c r="E68" s="113">
        <v>3648776</v>
      </c>
      <c r="F68" s="113">
        <v>3648776</v>
      </c>
      <c r="G68" s="113">
        <v>3281786.6</v>
      </c>
      <c r="H68" s="85">
        <f t="shared" si="31"/>
        <v>0.89942123057156709</v>
      </c>
      <c r="I68" s="113">
        <v>38343.440000000002</v>
      </c>
      <c r="J68" s="113">
        <v>23163.58</v>
      </c>
      <c r="K68" s="85">
        <f>J68/I68</f>
        <v>0.60410802995245083</v>
      </c>
      <c r="L68" s="113"/>
      <c r="M68" s="138"/>
      <c r="N68" s="113">
        <f t="shared" si="25"/>
        <v>3304950.18</v>
      </c>
      <c r="O68" s="20"/>
      <c r="P68" s="24"/>
    </row>
    <row r="69" spans="1:18" s="18" customFormat="1" ht="93" thickTop="1" thickBot="1" x14ac:dyDescent="0.25">
      <c r="A69" s="58" t="s">
        <v>185</v>
      </c>
      <c r="B69" s="75" t="s">
        <v>186</v>
      </c>
      <c r="C69" s="75" t="s">
        <v>177</v>
      </c>
      <c r="D69" s="92" t="s">
        <v>187</v>
      </c>
      <c r="E69" s="113">
        <v>6793450</v>
      </c>
      <c r="F69" s="113">
        <v>6793450</v>
      </c>
      <c r="G69" s="113">
        <v>6271726</v>
      </c>
      <c r="H69" s="85">
        <f t="shared" si="31"/>
        <v>0.92320190771993615</v>
      </c>
      <c r="I69" s="113"/>
      <c r="J69" s="113"/>
      <c r="K69" s="113"/>
      <c r="L69" s="113"/>
      <c r="M69" s="138"/>
      <c r="N69" s="113">
        <f t="shared" si="25"/>
        <v>6271726</v>
      </c>
      <c r="O69" s="20"/>
      <c r="P69" s="24"/>
    </row>
    <row r="70" spans="1:18" ht="99" customHeight="1" thickTop="1" thickBot="1" x14ac:dyDescent="0.25">
      <c r="A70" s="57" t="s">
        <v>190</v>
      </c>
      <c r="B70" s="77" t="s">
        <v>139</v>
      </c>
      <c r="C70" s="77"/>
      <c r="D70" s="78" t="s">
        <v>140</v>
      </c>
      <c r="E70" s="79">
        <f>SUM(E71:E115)-E71-E80-E94-E96-E113-E91-E83-E86-E98</f>
        <v>242168343.86999997</v>
      </c>
      <c r="F70" s="79">
        <f>SUM(F71:F115)-F71-F80-F94-F96-F113-F91-F83-F86-F98</f>
        <v>244000832.09</v>
      </c>
      <c r="G70" s="79">
        <f>SUM(G71:G115)-G71-G80-G94-G96-G113-G91-G83-G86-G98</f>
        <v>235419302.17000005</v>
      </c>
      <c r="H70" s="80">
        <f>G70/F70</f>
        <v>0.96482991534703189</v>
      </c>
      <c r="I70" s="79">
        <f>SUM(I71:I115)-I71-I80-I94-I96-I113-I91-I83-I86-I98</f>
        <v>220638750.57999992</v>
      </c>
      <c r="J70" s="79">
        <f>SUM(J71:J115)-J71-J80-J94-J96-J113-J91-J83-J86-J98</f>
        <v>199460047.03</v>
      </c>
      <c r="K70" s="80">
        <f>J70/I70</f>
        <v>0.9040118587767253</v>
      </c>
      <c r="L70" s="79"/>
      <c r="M70" s="79"/>
      <c r="N70" s="81">
        <f>J70+G70</f>
        <v>434879349.20000005</v>
      </c>
      <c r="O70" s="53" t="b">
        <f>N70=N72+N73+N74+N75+N76+N77+N78+N79+N81+N82+N84+N87+N88+N90+N92+N93+N95+N97+N112+N114+N115+N89+N99+N102+N106</f>
        <v>1</v>
      </c>
      <c r="P70" s="26"/>
      <c r="R70" s="25"/>
    </row>
    <row r="71" spans="1:18" ht="276" customHeight="1" thickTop="1" thickBot="1" x14ac:dyDescent="0.25">
      <c r="A71" s="59" t="s">
        <v>191</v>
      </c>
      <c r="B71" s="76" t="s">
        <v>192</v>
      </c>
      <c r="C71" s="76"/>
      <c r="D71" s="76" t="s">
        <v>193</v>
      </c>
      <c r="E71" s="114">
        <f t="shared" ref="E71:J71" si="32">SUM(E72:E76)</f>
        <v>66355000</v>
      </c>
      <c r="F71" s="114">
        <f>SUM(F72:F76)</f>
        <v>66355000</v>
      </c>
      <c r="G71" s="114">
        <f t="shared" si="32"/>
        <v>66276521.719999999</v>
      </c>
      <c r="H71" s="86">
        <f>G71/F71</f>
        <v>0.99881729666189434</v>
      </c>
      <c r="I71" s="114">
        <f t="shared" si="32"/>
        <v>150000</v>
      </c>
      <c r="J71" s="114">
        <f t="shared" si="32"/>
        <v>88529.4</v>
      </c>
      <c r="K71" s="86">
        <f t="shared" ref="K71:K72" si="33">J71/I71</f>
        <v>0.59019599999999994</v>
      </c>
      <c r="L71" s="114"/>
      <c r="M71" s="114"/>
      <c r="N71" s="114">
        <f t="shared" si="25"/>
        <v>66365051.119999997</v>
      </c>
      <c r="O71" s="27"/>
      <c r="P71" s="28"/>
      <c r="R71" s="29"/>
    </row>
    <row r="72" spans="1:18" s="18" customFormat="1" ht="93" thickTop="1" thickBot="1" x14ac:dyDescent="0.25">
      <c r="A72" s="58" t="s">
        <v>194</v>
      </c>
      <c r="B72" s="75" t="s">
        <v>195</v>
      </c>
      <c r="C72" s="75" t="s">
        <v>83</v>
      </c>
      <c r="D72" s="119" t="s">
        <v>196</v>
      </c>
      <c r="E72" s="113">
        <v>755000</v>
      </c>
      <c r="F72" s="113">
        <v>755000</v>
      </c>
      <c r="G72" s="113">
        <v>739622.15</v>
      </c>
      <c r="H72" s="85">
        <f>G72/F72</f>
        <v>0.97963198675496688</v>
      </c>
      <c r="I72" s="113">
        <v>150000</v>
      </c>
      <c r="J72" s="113">
        <v>88529.4</v>
      </c>
      <c r="K72" s="85">
        <f t="shared" si="33"/>
        <v>0.59019599999999994</v>
      </c>
      <c r="L72" s="113"/>
      <c r="M72" s="138"/>
      <c r="N72" s="113">
        <f t="shared" si="25"/>
        <v>828151.55</v>
      </c>
      <c r="O72" s="20"/>
      <c r="P72" s="26"/>
    </row>
    <row r="73" spans="1:18" s="18" customFormat="1" ht="93" thickTop="1" thickBot="1" x14ac:dyDescent="0.25">
      <c r="A73" s="58" t="s">
        <v>197</v>
      </c>
      <c r="B73" s="75" t="s">
        <v>198</v>
      </c>
      <c r="C73" s="75" t="s">
        <v>93</v>
      </c>
      <c r="D73" s="75" t="s">
        <v>199</v>
      </c>
      <c r="E73" s="113">
        <v>700000</v>
      </c>
      <c r="F73" s="113">
        <v>700000</v>
      </c>
      <c r="G73" s="113">
        <v>699490.37</v>
      </c>
      <c r="H73" s="85">
        <f t="shared" ref="H73:H115" si="34">G73/F73</f>
        <v>0.9992719571428571</v>
      </c>
      <c r="I73" s="113"/>
      <c r="J73" s="113"/>
      <c r="K73" s="113"/>
      <c r="L73" s="113"/>
      <c r="M73" s="138"/>
      <c r="N73" s="113">
        <f t="shared" si="25"/>
        <v>699490.37</v>
      </c>
      <c r="O73" s="20"/>
      <c r="P73" s="30"/>
    </row>
    <row r="74" spans="1:18" s="18" customFormat="1" ht="138.75" thickTop="1" thickBot="1" x14ac:dyDescent="0.25">
      <c r="A74" s="58" t="s">
        <v>200</v>
      </c>
      <c r="B74" s="75" t="s">
        <v>201</v>
      </c>
      <c r="C74" s="75" t="s">
        <v>93</v>
      </c>
      <c r="D74" s="75" t="s">
        <v>202</v>
      </c>
      <c r="E74" s="113">
        <v>19200000</v>
      </c>
      <c r="F74" s="113">
        <v>19200000</v>
      </c>
      <c r="G74" s="113">
        <v>19199999.329999998</v>
      </c>
      <c r="H74" s="85">
        <f t="shared" si="34"/>
        <v>0.99999996510416655</v>
      </c>
      <c r="I74" s="113"/>
      <c r="J74" s="113"/>
      <c r="K74" s="113"/>
      <c r="L74" s="113"/>
      <c r="M74" s="138"/>
      <c r="N74" s="113">
        <f t="shared" si="25"/>
        <v>19199999.329999998</v>
      </c>
      <c r="O74" s="20"/>
      <c r="P74" s="30"/>
    </row>
    <row r="75" spans="1:18" s="18" customFormat="1" ht="138.75" thickTop="1" thickBot="1" x14ac:dyDescent="0.25">
      <c r="A75" s="58" t="s">
        <v>203</v>
      </c>
      <c r="B75" s="75" t="s">
        <v>204</v>
      </c>
      <c r="C75" s="75" t="s">
        <v>93</v>
      </c>
      <c r="D75" s="75" t="s">
        <v>205</v>
      </c>
      <c r="E75" s="113">
        <v>700000</v>
      </c>
      <c r="F75" s="113">
        <v>700000</v>
      </c>
      <c r="G75" s="113">
        <v>637409.87</v>
      </c>
      <c r="H75" s="85">
        <f t="shared" si="34"/>
        <v>0.9105855285714286</v>
      </c>
      <c r="I75" s="113"/>
      <c r="J75" s="113"/>
      <c r="K75" s="113"/>
      <c r="L75" s="113"/>
      <c r="M75" s="138"/>
      <c r="N75" s="113">
        <f t="shared" si="25"/>
        <v>637409.87</v>
      </c>
      <c r="O75" s="50"/>
      <c r="P75" s="30"/>
    </row>
    <row r="76" spans="1:18" s="18" customFormat="1" ht="138.75" thickTop="1" thickBot="1" x14ac:dyDescent="0.25">
      <c r="A76" s="58" t="s">
        <v>206</v>
      </c>
      <c r="B76" s="75" t="s">
        <v>207</v>
      </c>
      <c r="C76" s="75" t="s">
        <v>93</v>
      </c>
      <c r="D76" s="75" t="s">
        <v>208</v>
      </c>
      <c r="E76" s="113">
        <v>45000000</v>
      </c>
      <c r="F76" s="113">
        <v>45000000</v>
      </c>
      <c r="G76" s="113">
        <v>45000000</v>
      </c>
      <c r="H76" s="85">
        <f t="shared" si="34"/>
        <v>1</v>
      </c>
      <c r="I76" s="113"/>
      <c r="J76" s="113"/>
      <c r="K76" s="113"/>
      <c r="L76" s="113"/>
      <c r="M76" s="138"/>
      <c r="N76" s="113">
        <f t="shared" si="25"/>
        <v>45000000</v>
      </c>
      <c r="O76" s="20"/>
      <c r="P76" s="30"/>
    </row>
    <row r="77" spans="1:18" s="18" customFormat="1" ht="138.75" thickTop="1" thickBot="1" x14ac:dyDescent="0.25">
      <c r="A77" s="58" t="s">
        <v>209</v>
      </c>
      <c r="B77" s="75" t="s">
        <v>210</v>
      </c>
      <c r="C77" s="75" t="s">
        <v>93</v>
      </c>
      <c r="D77" s="75" t="s">
        <v>211</v>
      </c>
      <c r="E77" s="113">
        <v>272462</v>
      </c>
      <c r="F77" s="113">
        <v>272462</v>
      </c>
      <c r="G77" s="113">
        <v>267429.2</v>
      </c>
      <c r="H77" s="85">
        <f t="shared" si="34"/>
        <v>0.98152843332281203</v>
      </c>
      <c r="I77" s="113"/>
      <c r="J77" s="113"/>
      <c r="K77" s="113"/>
      <c r="L77" s="113"/>
      <c r="M77" s="138"/>
      <c r="N77" s="113">
        <f t="shared" si="25"/>
        <v>267429.2</v>
      </c>
      <c r="O77" s="20"/>
      <c r="P77" s="30"/>
    </row>
    <row r="78" spans="1:18" s="18" customFormat="1" ht="165" customHeight="1" thickTop="1" thickBot="1" x14ac:dyDescent="0.25">
      <c r="A78" s="58"/>
      <c r="B78" s="75" t="s">
        <v>212</v>
      </c>
      <c r="C78" s="75" t="s">
        <v>93</v>
      </c>
      <c r="D78" s="75" t="s">
        <v>213</v>
      </c>
      <c r="E78" s="113">
        <v>2313890</v>
      </c>
      <c r="F78" s="113">
        <v>2213890</v>
      </c>
      <c r="G78" s="113">
        <v>2028428.94</v>
      </c>
      <c r="H78" s="85">
        <f t="shared" si="34"/>
        <v>0.9162284214662878</v>
      </c>
      <c r="I78" s="113"/>
      <c r="J78" s="113"/>
      <c r="K78" s="113"/>
      <c r="L78" s="113"/>
      <c r="M78" s="138"/>
      <c r="N78" s="113">
        <f>G78+J78</f>
        <v>2028428.94</v>
      </c>
      <c r="O78" s="50"/>
      <c r="P78" s="30"/>
    </row>
    <row r="79" spans="1:18" ht="93" thickTop="1" thickBot="1" x14ac:dyDescent="0.25">
      <c r="A79" s="58" t="s">
        <v>214</v>
      </c>
      <c r="B79" s="75" t="s">
        <v>215</v>
      </c>
      <c r="C79" s="75" t="s">
        <v>83</v>
      </c>
      <c r="D79" s="75" t="s">
        <v>216</v>
      </c>
      <c r="E79" s="113">
        <v>546559</v>
      </c>
      <c r="F79" s="113">
        <v>546559</v>
      </c>
      <c r="G79" s="113">
        <v>211794</v>
      </c>
      <c r="H79" s="85">
        <f t="shared" si="34"/>
        <v>0.38750436823837864</v>
      </c>
      <c r="I79" s="113"/>
      <c r="J79" s="113"/>
      <c r="K79" s="113"/>
      <c r="L79" s="113"/>
      <c r="M79" s="138"/>
      <c r="N79" s="113">
        <f t="shared" si="25"/>
        <v>211794</v>
      </c>
      <c r="P79" s="30"/>
    </row>
    <row r="80" spans="1:18" s="18" customFormat="1" ht="184.5" thickTop="1" thickBot="1" x14ac:dyDescent="0.25">
      <c r="A80" s="76" t="s">
        <v>217</v>
      </c>
      <c r="B80" s="76" t="s">
        <v>218</v>
      </c>
      <c r="C80" s="76"/>
      <c r="D80" s="76" t="s">
        <v>219</v>
      </c>
      <c r="E80" s="114">
        <f t="shared" ref="E80:J80" si="35">SUM(E81:E82)</f>
        <v>60322164.700000003</v>
      </c>
      <c r="F80" s="114">
        <f t="shared" ref="F80" si="36">SUM(F81:F82)</f>
        <v>59362231.920000002</v>
      </c>
      <c r="G80" s="114">
        <f t="shared" si="35"/>
        <v>59021526.960000001</v>
      </c>
      <c r="H80" s="86">
        <f t="shared" si="34"/>
        <v>0.99426057698674208</v>
      </c>
      <c r="I80" s="114">
        <f t="shared" si="35"/>
        <v>4025429.5</v>
      </c>
      <c r="J80" s="114">
        <f t="shared" si="35"/>
        <v>3754246.58</v>
      </c>
      <c r="K80" s="86">
        <f t="shared" ref="K80:K85" si="37">J80/I80</f>
        <v>0.93263255014154389</v>
      </c>
      <c r="L80" s="114"/>
      <c r="M80" s="114"/>
      <c r="N80" s="114">
        <f t="shared" si="25"/>
        <v>62775773.539999999</v>
      </c>
      <c r="O80" s="20"/>
      <c r="P80" s="31"/>
    </row>
    <row r="81" spans="1:16" ht="184.5" thickTop="1" thickBot="1" x14ac:dyDescent="0.25">
      <c r="A81" s="75" t="s">
        <v>220</v>
      </c>
      <c r="B81" s="75" t="s">
        <v>221</v>
      </c>
      <c r="C81" s="75" t="s">
        <v>72</v>
      </c>
      <c r="D81" s="75" t="s">
        <v>222</v>
      </c>
      <c r="E81" s="113">
        <v>50203552.700000003</v>
      </c>
      <c r="F81" s="113">
        <v>49733839.920000002</v>
      </c>
      <c r="G81" s="113">
        <v>49514147.969999999</v>
      </c>
      <c r="H81" s="85">
        <f t="shared" si="34"/>
        <v>0.99558264653697781</v>
      </c>
      <c r="I81" s="113">
        <v>2811342.29</v>
      </c>
      <c r="J81" s="113">
        <v>2545483.98</v>
      </c>
      <c r="K81" s="85">
        <f t="shared" si="37"/>
        <v>0.90543367453132151</v>
      </c>
      <c r="L81" s="113"/>
      <c r="M81" s="138"/>
      <c r="N81" s="113">
        <f t="shared" si="25"/>
        <v>52059631.949999996</v>
      </c>
      <c r="P81" s="26"/>
    </row>
    <row r="82" spans="1:16" ht="93" thickTop="1" thickBot="1" x14ac:dyDescent="0.25">
      <c r="A82" s="58" t="s">
        <v>223</v>
      </c>
      <c r="B82" s="75" t="s">
        <v>224</v>
      </c>
      <c r="C82" s="75" t="s">
        <v>68</v>
      </c>
      <c r="D82" s="75" t="s">
        <v>225</v>
      </c>
      <c r="E82" s="113">
        <v>10118612</v>
      </c>
      <c r="F82" s="113">
        <v>9628392</v>
      </c>
      <c r="G82" s="113">
        <v>9507378.9900000002</v>
      </c>
      <c r="H82" s="85">
        <f t="shared" si="34"/>
        <v>0.9874316490230145</v>
      </c>
      <c r="I82" s="113">
        <v>1214087.21</v>
      </c>
      <c r="J82" s="113">
        <v>1208762.6000000001</v>
      </c>
      <c r="K82" s="85">
        <f t="shared" si="37"/>
        <v>0.99561431011203894</v>
      </c>
      <c r="L82" s="113"/>
      <c r="M82" s="138"/>
      <c r="N82" s="113">
        <f t="shared" si="25"/>
        <v>10716141.59</v>
      </c>
      <c r="P82" s="26"/>
    </row>
    <row r="83" spans="1:16" ht="93" thickTop="1" thickBot="1" x14ac:dyDescent="0.25">
      <c r="A83" s="58"/>
      <c r="B83" s="76" t="s">
        <v>298</v>
      </c>
      <c r="C83" s="76"/>
      <c r="D83" s="76" t="s">
        <v>299</v>
      </c>
      <c r="E83" s="120">
        <f>E84+E85</f>
        <v>9057876.1699999999</v>
      </c>
      <c r="F83" s="120">
        <f>F84+F85</f>
        <v>9350424.1699999999</v>
      </c>
      <c r="G83" s="120">
        <f>G84+G85</f>
        <v>8975038.9000000004</v>
      </c>
      <c r="H83" s="86">
        <f t="shared" si="34"/>
        <v>0.95985366405040862</v>
      </c>
      <c r="I83" s="120">
        <f>I84+I85</f>
        <v>287425.5</v>
      </c>
      <c r="J83" s="120">
        <f>J84+J85</f>
        <v>287425.5</v>
      </c>
      <c r="K83" s="86">
        <f t="shared" si="37"/>
        <v>1</v>
      </c>
      <c r="L83" s="120"/>
      <c r="M83" s="120"/>
      <c r="N83" s="114">
        <f>G83+J83</f>
        <v>9262464.4000000004</v>
      </c>
      <c r="O83" s="50"/>
      <c r="P83" s="26"/>
    </row>
    <row r="84" spans="1:16" ht="93" thickTop="1" thickBot="1" x14ac:dyDescent="0.25">
      <c r="A84" s="58"/>
      <c r="B84" s="75" t="s">
        <v>300</v>
      </c>
      <c r="C84" s="75" t="s">
        <v>141</v>
      </c>
      <c r="D84" s="75" t="s">
        <v>301</v>
      </c>
      <c r="E84" s="121">
        <v>9057876.1699999999</v>
      </c>
      <c r="F84" s="121">
        <v>9350424.1699999999</v>
      </c>
      <c r="G84" s="121">
        <v>8975038.9000000004</v>
      </c>
      <c r="H84" s="85">
        <f t="shared" si="34"/>
        <v>0.95985366405040862</v>
      </c>
      <c r="I84" s="121">
        <v>287425.5</v>
      </c>
      <c r="J84" s="142">
        <v>287425.5</v>
      </c>
      <c r="K84" s="85">
        <f t="shared" si="37"/>
        <v>1</v>
      </c>
      <c r="L84" s="142"/>
      <c r="M84" s="138"/>
      <c r="N84" s="113">
        <f t="shared" si="25"/>
        <v>9262464.4000000004</v>
      </c>
      <c r="P84" s="26"/>
    </row>
    <row r="85" spans="1:16" ht="276" hidden="1" customHeight="1" thickTop="1" thickBot="1" x14ac:dyDescent="0.25">
      <c r="A85" s="58"/>
      <c r="B85" s="101" t="s">
        <v>463</v>
      </c>
      <c r="C85" s="101" t="s">
        <v>141</v>
      </c>
      <c r="D85" s="101" t="s">
        <v>464</v>
      </c>
      <c r="E85" s="109"/>
      <c r="F85" s="109"/>
      <c r="G85" s="109"/>
      <c r="H85" s="93" t="e">
        <f t="shared" si="34"/>
        <v>#DIV/0!</v>
      </c>
      <c r="I85" s="109"/>
      <c r="J85" s="143"/>
      <c r="K85" s="103" t="e">
        <f t="shared" si="37"/>
        <v>#DIV/0!</v>
      </c>
      <c r="L85" s="110"/>
      <c r="M85" s="104"/>
      <c r="N85" s="102">
        <f t="shared" si="25"/>
        <v>0</v>
      </c>
      <c r="P85" s="26"/>
    </row>
    <row r="86" spans="1:16" ht="93" thickTop="1" thickBot="1" x14ac:dyDescent="0.25">
      <c r="A86" s="75"/>
      <c r="B86" s="76" t="s">
        <v>302</v>
      </c>
      <c r="C86" s="76"/>
      <c r="D86" s="76" t="s">
        <v>303</v>
      </c>
      <c r="E86" s="122">
        <f t="shared" ref="E86:G86" si="38">SUM(E87:E88)</f>
        <v>13200222</v>
      </c>
      <c r="F86" s="122">
        <f t="shared" ref="F86" si="39">SUM(F87:F88)</f>
        <v>12181522</v>
      </c>
      <c r="G86" s="122">
        <f t="shared" si="38"/>
        <v>11160029.9</v>
      </c>
      <c r="H86" s="86">
        <f t="shared" si="34"/>
        <v>0.91614413207150969</v>
      </c>
      <c r="I86" s="122">
        <f t="shared" ref="I86:J86" si="40">SUM(I87:I88)</f>
        <v>2306562.4899999998</v>
      </c>
      <c r="J86" s="122">
        <f t="shared" si="40"/>
        <v>2059143.81</v>
      </c>
      <c r="K86" s="86">
        <f t="shared" ref="K86:K88" si="41">J86/I86</f>
        <v>0.89273272193028697</v>
      </c>
      <c r="L86" s="122"/>
      <c r="M86" s="122"/>
      <c r="N86" s="114">
        <f t="shared" si="25"/>
        <v>13219173.710000001</v>
      </c>
      <c r="P86" s="26"/>
    </row>
    <row r="87" spans="1:16" ht="93" thickTop="1" thickBot="1" x14ac:dyDescent="0.25">
      <c r="A87" s="75"/>
      <c r="B87" s="75" t="s">
        <v>304</v>
      </c>
      <c r="C87" s="75" t="s">
        <v>141</v>
      </c>
      <c r="D87" s="75" t="s">
        <v>305</v>
      </c>
      <c r="E87" s="121">
        <v>5445868</v>
      </c>
      <c r="F87" s="121">
        <v>5527168</v>
      </c>
      <c r="G87" s="121">
        <v>5075637.82</v>
      </c>
      <c r="H87" s="85">
        <f t="shared" si="34"/>
        <v>0.91830713667469499</v>
      </c>
      <c r="I87" s="121">
        <v>2242546.4</v>
      </c>
      <c r="J87" s="142">
        <v>1997874.81</v>
      </c>
      <c r="K87" s="85">
        <f t="shared" si="41"/>
        <v>0.8908956398850878</v>
      </c>
      <c r="L87" s="142"/>
      <c r="M87" s="138"/>
      <c r="N87" s="113">
        <f t="shared" si="25"/>
        <v>7073512.6300000008</v>
      </c>
      <c r="P87" s="26"/>
    </row>
    <row r="88" spans="1:16" ht="48" thickTop="1" thickBot="1" x14ac:dyDescent="0.25">
      <c r="A88" s="75"/>
      <c r="B88" s="75" t="s">
        <v>306</v>
      </c>
      <c r="C88" s="75" t="s">
        <v>141</v>
      </c>
      <c r="D88" s="75" t="s">
        <v>307</v>
      </c>
      <c r="E88" s="121">
        <v>7754354</v>
      </c>
      <c r="F88" s="121">
        <v>6654354</v>
      </c>
      <c r="G88" s="121">
        <v>6084392.0800000001</v>
      </c>
      <c r="H88" s="85">
        <f t="shared" si="34"/>
        <v>0.91434752043549228</v>
      </c>
      <c r="I88" s="121">
        <v>64016.09</v>
      </c>
      <c r="J88" s="142">
        <v>61269</v>
      </c>
      <c r="K88" s="85">
        <f t="shared" si="41"/>
        <v>0.95708750721888836</v>
      </c>
      <c r="L88" s="142"/>
      <c r="M88" s="138"/>
      <c r="N88" s="113">
        <f t="shared" si="25"/>
        <v>6145661.0800000001</v>
      </c>
      <c r="P88" s="26"/>
    </row>
    <row r="89" spans="1:16" ht="230.25" thickTop="1" thickBot="1" x14ac:dyDescent="0.25">
      <c r="A89" s="75"/>
      <c r="B89" s="75" t="s">
        <v>540</v>
      </c>
      <c r="C89" s="75" t="s">
        <v>141</v>
      </c>
      <c r="D89" s="75" t="s">
        <v>541</v>
      </c>
      <c r="E89" s="121">
        <v>715000</v>
      </c>
      <c r="F89" s="121">
        <v>715000</v>
      </c>
      <c r="G89" s="121">
        <v>590054.49</v>
      </c>
      <c r="H89" s="85">
        <f>G89/F89</f>
        <v>0.82525103496503494</v>
      </c>
      <c r="I89" s="121"/>
      <c r="J89" s="142"/>
      <c r="K89" s="85"/>
      <c r="L89" s="142"/>
      <c r="M89" s="138"/>
      <c r="N89" s="113">
        <f t="shared" ref="N89" si="42">G89+J89</f>
        <v>590054.49</v>
      </c>
      <c r="P89" s="26"/>
    </row>
    <row r="90" spans="1:16" ht="276" thickTop="1" thickBot="1" x14ac:dyDescent="0.25">
      <c r="A90" s="58" t="s">
        <v>226</v>
      </c>
      <c r="B90" s="75" t="s">
        <v>227</v>
      </c>
      <c r="C90" s="75" t="s">
        <v>68</v>
      </c>
      <c r="D90" s="75" t="s">
        <v>228</v>
      </c>
      <c r="E90" s="113">
        <v>4673200</v>
      </c>
      <c r="F90" s="113">
        <v>4173200</v>
      </c>
      <c r="G90" s="113">
        <v>3712338.98</v>
      </c>
      <c r="H90" s="85">
        <f t="shared" si="34"/>
        <v>0.88956651490462957</v>
      </c>
      <c r="I90" s="139"/>
      <c r="J90" s="113"/>
      <c r="K90" s="113"/>
      <c r="L90" s="113"/>
      <c r="M90" s="138"/>
      <c r="N90" s="113">
        <f t="shared" si="25"/>
        <v>3712338.98</v>
      </c>
      <c r="P90" s="30"/>
    </row>
    <row r="91" spans="1:16" ht="93" thickTop="1" thickBot="1" x14ac:dyDescent="0.25">
      <c r="A91" s="76" t="s">
        <v>229</v>
      </c>
      <c r="B91" s="76" t="s">
        <v>230</v>
      </c>
      <c r="C91" s="76"/>
      <c r="D91" s="76" t="s">
        <v>231</v>
      </c>
      <c r="E91" s="114">
        <f>E92</f>
        <v>142618</v>
      </c>
      <c r="F91" s="114">
        <f>F92</f>
        <v>142618</v>
      </c>
      <c r="G91" s="114">
        <f t="shared" ref="G91" si="43">G92</f>
        <v>138017.60000000001</v>
      </c>
      <c r="H91" s="86">
        <f t="shared" si="34"/>
        <v>0.96774320212034948</v>
      </c>
      <c r="I91" s="114"/>
      <c r="J91" s="114"/>
      <c r="K91" s="86"/>
      <c r="L91" s="114"/>
      <c r="M91" s="114"/>
      <c r="N91" s="114">
        <f t="shared" si="25"/>
        <v>138017.60000000001</v>
      </c>
      <c r="O91" s="50"/>
      <c r="P91" s="30"/>
    </row>
    <row r="92" spans="1:16" ht="184.5" thickTop="1" thickBot="1" x14ac:dyDescent="0.25">
      <c r="A92" s="75" t="s">
        <v>232</v>
      </c>
      <c r="B92" s="75" t="s">
        <v>233</v>
      </c>
      <c r="C92" s="75" t="s">
        <v>68</v>
      </c>
      <c r="D92" s="75" t="s">
        <v>234</v>
      </c>
      <c r="E92" s="113">
        <v>142618</v>
      </c>
      <c r="F92" s="113">
        <v>142618</v>
      </c>
      <c r="G92" s="113">
        <v>138017.60000000001</v>
      </c>
      <c r="H92" s="85">
        <f t="shared" si="34"/>
        <v>0.96774320212034948</v>
      </c>
      <c r="I92" s="139"/>
      <c r="J92" s="113"/>
      <c r="K92" s="113"/>
      <c r="L92" s="113"/>
      <c r="M92" s="138"/>
      <c r="N92" s="113">
        <f t="shared" si="25"/>
        <v>138017.60000000001</v>
      </c>
      <c r="P92" s="30"/>
    </row>
    <row r="93" spans="1:16" ht="230.25" thickTop="1" thickBot="1" x14ac:dyDescent="0.25">
      <c r="A93" s="58" t="s">
        <v>235</v>
      </c>
      <c r="B93" s="75" t="s">
        <v>236</v>
      </c>
      <c r="C93" s="75" t="s">
        <v>88</v>
      </c>
      <c r="D93" s="75" t="s">
        <v>237</v>
      </c>
      <c r="E93" s="113">
        <v>3222500</v>
      </c>
      <c r="F93" s="113">
        <v>2722500</v>
      </c>
      <c r="G93" s="113">
        <v>2401573.14</v>
      </c>
      <c r="H93" s="85">
        <f t="shared" si="34"/>
        <v>0.88212052892561987</v>
      </c>
      <c r="I93" s="139"/>
      <c r="J93" s="113"/>
      <c r="K93" s="113"/>
      <c r="L93" s="113"/>
      <c r="M93" s="138"/>
      <c r="N93" s="113">
        <f t="shared" si="25"/>
        <v>2401573.14</v>
      </c>
      <c r="P93" s="30"/>
    </row>
    <row r="94" spans="1:16" s="18" customFormat="1" ht="93" thickTop="1" thickBot="1" x14ac:dyDescent="0.25">
      <c r="A94" s="76" t="s">
        <v>238</v>
      </c>
      <c r="B94" s="76" t="s">
        <v>239</v>
      </c>
      <c r="C94" s="76"/>
      <c r="D94" s="76" t="s">
        <v>240</v>
      </c>
      <c r="E94" s="114">
        <f t="shared" ref="E94:G94" si="44">E95</f>
        <v>1110000</v>
      </c>
      <c r="F94" s="114">
        <f t="shared" si="44"/>
        <v>1110000</v>
      </c>
      <c r="G94" s="114">
        <f t="shared" si="44"/>
        <v>1106487.3600000001</v>
      </c>
      <c r="H94" s="86">
        <f t="shared" si="34"/>
        <v>0.99683545945945951</v>
      </c>
      <c r="I94" s="114"/>
      <c r="J94" s="114"/>
      <c r="K94" s="86"/>
      <c r="L94" s="114"/>
      <c r="M94" s="114"/>
      <c r="N94" s="114">
        <f>G94+J94</f>
        <v>1106487.3600000001</v>
      </c>
      <c r="O94" s="50"/>
      <c r="P94" s="31"/>
    </row>
    <row r="95" spans="1:16" ht="138.75" thickTop="1" thickBot="1" x14ac:dyDescent="0.25">
      <c r="A95" s="75" t="s">
        <v>241</v>
      </c>
      <c r="B95" s="75" t="s">
        <v>242</v>
      </c>
      <c r="C95" s="75" t="s">
        <v>83</v>
      </c>
      <c r="D95" s="75" t="s">
        <v>243</v>
      </c>
      <c r="E95" s="113">
        <v>1110000</v>
      </c>
      <c r="F95" s="113">
        <v>1110000</v>
      </c>
      <c r="G95" s="113">
        <v>1106487.3600000001</v>
      </c>
      <c r="H95" s="85">
        <f t="shared" si="34"/>
        <v>0.99683545945945951</v>
      </c>
      <c r="I95" s="113"/>
      <c r="J95" s="113"/>
      <c r="K95" s="113"/>
      <c r="L95" s="113"/>
      <c r="M95" s="138"/>
      <c r="N95" s="113">
        <f t="shared" si="25"/>
        <v>1106487.3600000001</v>
      </c>
      <c r="P95" s="30"/>
    </row>
    <row r="96" spans="1:16" s="18" customFormat="1" ht="93" thickTop="1" thickBot="1" x14ac:dyDescent="0.25">
      <c r="A96" s="76" t="s">
        <v>244</v>
      </c>
      <c r="B96" s="76" t="s">
        <v>245</v>
      </c>
      <c r="C96" s="76"/>
      <c r="D96" s="76" t="s">
        <v>246</v>
      </c>
      <c r="E96" s="114">
        <f t="shared" ref="E96:J96" si="45">E97</f>
        <v>117000</v>
      </c>
      <c r="F96" s="114">
        <f t="shared" si="45"/>
        <v>117000</v>
      </c>
      <c r="G96" s="114">
        <f t="shared" si="45"/>
        <v>108480.07</v>
      </c>
      <c r="H96" s="86">
        <f t="shared" si="34"/>
        <v>0.92718008547008557</v>
      </c>
      <c r="I96" s="114">
        <f t="shared" si="45"/>
        <v>166232.67000000001</v>
      </c>
      <c r="J96" s="114">
        <f t="shared" si="45"/>
        <v>166232.67000000001</v>
      </c>
      <c r="K96" s="86">
        <f t="shared" ref="K96" si="46">J96/I96</f>
        <v>1</v>
      </c>
      <c r="L96" s="114"/>
      <c r="M96" s="114"/>
      <c r="N96" s="114">
        <f>G96+J96</f>
        <v>274712.74</v>
      </c>
      <c r="O96" s="50"/>
      <c r="P96" s="31"/>
    </row>
    <row r="97" spans="1:16" ht="93" thickTop="1" thickBot="1" x14ac:dyDescent="0.25">
      <c r="A97" s="75" t="s">
        <v>247</v>
      </c>
      <c r="B97" s="75" t="s">
        <v>248</v>
      </c>
      <c r="C97" s="75" t="s">
        <v>249</v>
      </c>
      <c r="D97" s="75" t="s">
        <v>250</v>
      </c>
      <c r="E97" s="113">
        <v>117000</v>
      </c>
      <c r="F97" s="113">
        <v>117000</v>
      </c>
      <c r="G97" s="113">
        <v>108480.07</v>
      </c>
      <c r="H97" s="85">
        <f t="shared" si="34"/>
        <v>0.92718008547008557</v>
      </c>
      <c r="I97" s="113">
        <v>166232.67000000001</v>
      </c>
      <c r="J97" s="113">
        <v>166232.67000000001</v>
      </c>
      <c r="K97" s="85">
        <f t="shared" ref="K97" si="47">J97/I97</f>
        <v>1</v>
      </c>
      <c r="L97" s="113"/>
      <c r="M97" s="138"/>
      <c r="N97" s="113">
        <f>G97+J97</f>
        <v>274712.74</v>
      </c>
      <c r="P97" s="30"/>
    </row>
    <row r="98" spans="1:16" ht="244.5" thickTop="1" thickBot="1" x14ac:dyDescent="0.25">
      <c r="A98" s="75"/>
      <c r="B98" s="76" t="s">
        <v>476</v>
      </c>
      <c r="C98" s="76"/>
      <c r="D98" s="76" t="s">
        <v>477</v>
      </c>
      <c r="E98" s="114">
        <f>E99+E102+E106+E109</f>
        <v>0</v>
      </c>
      <c r="F98" s="114">
        <f>F99+F102+F106+F109</f>
        <v>0</v>
      </c>
      <c r="G98" s="114">
        <f t="shared" ref="G98" si="48">G99+G102+G106+G109</f>
        <v>0</v>
      </c>
      <c r="H98" s="86">
        <v>0</v>
      </c>
      <c r="I98" s="114">
        <f>I99+I102+I106+I109</f>
        <v>115129731.14</v>
      </c>
      <c r="J98" s="114">
        <f>J99+J102+J106+J109</f>
        <v>114450146.28999999</v>
      </c>
      <c r="K98" s="86">
        <f>J98/I98</f>
        <v>0.99409722542326084</v>
      </c>
      <c r="L98" s="113"/>
      <c r="M98" s="138"/>
      <c r="N98" s="114">
        <f>G98+J98</f>
        <v>114450146.28999999</v>
      </c>
      <c r="O98" s="50" t="s">
        <v>433</v>
      </c>
      <c r="P98" s="30"/>
    </row>
    <row r="99" spans="1:16" ht="276" thickTop="1" thickBot="1" x14ac:dyDescent="0.7">
      <c r="A99" s="75"/>
      <c r="B99" s="166" t="s">
        <v>478</v>
      </c>
      <c r="C99" s="166" t="s">
        <v>88</v>
      </c>
      <c r="D99" s="123" t="s">
        <v>479</v>
      </c>
      <c r="E99" s="172"/>
      <c r="F99" s="172"/>
      <c r="G99" s="172"/>
      <c r="H99" s="172"/>
      <c r="I99" s="172">
        <v>62333359.840000004</v>
      </c>
      <c r="J99" s="172">
        <v>62036798.5</v>
      </c>
      <c r="K99" s="184">
        <f>J99/I99</f>
        <v>0.99524233346700341</v>
      </c>
      <c r="L99" s="113"/>
      <c r="M99" s="138"/>
      <c r="N99" s="172">
        <f>G99+J99</f>
        <v>62036798.5</v>
      </c>
      <c r="P99" s="30"/>
    </row>
    <row r="100" spans="1:16" ht="228.75" customHeight="1" thickTop="1" thickBot="1" x14ac:dyDescent="0.25">
      <c r="A100" s="75"/>
      <c r="B100" s="178"/>
      <c r="C100" s="178"/>
      <c r="D100" s="124" t="s">
        <v>480</v>
      </c>
      <c r="E100" s="173"/>
      <c r="F100" s="173"/>
      <c r="G100" s="173"/>
      <c r="H100" s="173"/>
      <c r="I100" s="173"/>
      <c r="J100" s="173"/>
      <c r="K100" s="185"/>
      <c r="L100" s="113"/>
      <c r="M100" s="138"/>
      <c r="N100" s="173"/>
      <c r="P100" s="30"/>
    </row>
    <row r="101" spans="1:16" ht="230.25" thickTop="1" thickBot="1" x14ac:dyDescent="0.25">
      <c r="A101" s="75"/>
      <c r="B101" s="167"/>
      <c r="C101" s="167"/>
      <c r="D101" s="126" t="s">
        <v>481</v>
      </c>
      <c r="E101" s="174"/>
      <c r="F101" s="174"/>
      <c r="G101" s="174"/>
      <c r="H101" s="174"/>
      <c r="I101" s="174"/>
      <c r="J101" s="174"/>
      <c r="K101" s="186"/>
      <c r="L101" s="113"/>
      <c r="M101" s="138"/>
      <c r="N101" s="174"/>
      <c r="P101" s="30"/>
    </row>
    <row r="102" spans="1:16" ht="255" customHeight="1" thickTop="1" thickBot="1" x14ac:dyDescent="0.7">
      <c r="A102" s="75"/>
      <c r="B102" s="166" t="s">
        <v>482</v>
      </c>
      <c r="C102" s="166" t="s">
        <v>88</v>
      </c>
      <c r="D102" s="123" t="s">
        <v>483</v>
      </c>
      <c r="E102" s="172"/>
      <c r="F102" s="172"/>
      <c r="G102" s="172"/>
      <c r="H102" s="172"/>
      <c r="I102" s="172">
        <v>34451671.969999999</v>
      </c>
      <c r="J102" s="172">
        <v>34091260.789999999</v>
      </c>
      <c r="K102" s="184">
        <f>J102/I102</f>
        <v>0.98953864473358966</v>
      </c>
      <c r="L102" s="113"/>
      <c r="M102" s="138"/>
      <c r="N102" s="172">
        <f>G102+J102</f>
        <v>34091260.789999999</v>
      </c>
      <c r="P102" s="30"/>
    </row>
    <row r="103" spans="1:16" ht="270.75" customHeight="1" thickTop="1" thickBot="1" x14ac:dyDescent="0.25">
      <c r="A103" s="75"/>
      <c r="B103" s="178"/>
      <c r="C103" s="178"/>
      <c r="D103" s="124" t="s">
        <v>484</v>
      </c>
      <c r="E103" s="173"/>
      <c r="F103" s="173"/>
      <c r="G103" s="173"/>
      <c r="H103" s="173"/>
      <c r="I103" s="173"/>
      <c r="J103" s="173"/>
      <c r="K103" s="185"/>
      <c r="L103" s="113"/>
      <c r="M103" s="138"/>
      <c r="N103" s="173"/>
      <c r="P103" s="30"/>
    </row>
    <row r="104" spans="1:16" ht="276" thickTop="1" thickBot="1" x14ac:dyDescent="0.25">
      <c r="A104" s="75"/>
      <c r="B104" s="178"/>
      <c r="C104" s="178"/>
      <c r="D104" s="124" t="s">
        <v>485</v>
      </c>
      <c r="E104" s="173"/>
      <c r="F104" s="173"/>
      <c r="G104" s="173"/>
      <c r="H104" s="173"/>
      <c r="I104" s="173"/>
      <c r="J104" s="173"/>
      <c r="K104" s="185"/>
      <c r="L104" s="113"/>
      <c r="M104" s="138"/>
      <c r="N104" s="173"/>
      <c r="P104" s="30"/>
    </row>
    <row r="105" spans="1:16" ht="138.75" thickTop="1" thickBot="1" x14ac:dyDescent="0.25">
      <c r="A105" s="75"/>
      <c r="B105" s="167"/>
      <c r="C105" s="167"/>
      <c r="D105" s="126" t="s">
        <v>486</v>
      </c>
      <c r="E105" s="174"/>
      <c r="F105" s="174"/>
      <c r="G105" s="174"/>
      <c r="H105" s="174"/>
      <c r="I105" s="174"/>
      <c r="J105" s="174"/>
      <c r="K105" s="186"/>
      <c r="L105" s="113"/>
      <c r="M105" s="138"/>
      <c r="N105" s="174"/>
      <c r="P105" s="30"/>
    </row>
    <row r="106" spans="1:16" ht="276" thickTop="1" thickBot="1" x14ac:dyDescent="0.7">
      <c r="A106" s="75"/>
      <c r="B106" s="166" t="s">
        <v>487</v>
      </c>
      <c r="C106" s="166" t="s">
        <v>88</v>
      </c>
      <c r="D106" s="123" t="s">
        <v>488</v>
      </c>
      <c r="E106" s="172"/>
      <c r="F106" s="172"/>
      <c r="G106" s="172"/>
      <c r="H106" s="172"/>
      <c r="I106" s="172">
        <v>18344699.329999998</v>
      </c>
      <c r="J106" s="172">
        <v>18322087</v>
      </c>
      <c r="K106" s="184">
        <f>J106/I106</f>
        <v>0.99876736437086111</v>
      </c>
      <c r="L106" s="113"/>
      <c r="M106" s="138"/>
      <c r="N106" s="172">
        <f>G106+J106</f>
        <v>18322087</v>
      </c>
      <c r="P106" s="30"/>
    </row>
    <row r="107" spans="1:16" ht="276" thickTop="1" thickBot="1" x14ac:dyDescent="0.25">
      <c r="A107" s="75"/>
      <c r="B107" s="178"/>
      <c r="C107" s="178"/>
      <c r="D107" s="124" t="s">
        <v>489</v>
      </c>
      <c r="E107" s="173"/>
      <c r="F107" s="173"/>
      <c r="G107" s="173"/>
      <c r="H107" s="173"/>
      <c r="I107" s="173"/>
      <c r="J107" s="173"/>
      <c r="K107" s="185"/>
      <c r="L107" s="113"/>
      <c r="M107" s="138"/>
      <c r="N107" s="173"/>
      <c r="P107" s="30"/>
    </row>
    <row r="108" spans="1:16" ht="93" thickTop="1" thickBot="1" x14ac:dyDescent="0.25">
      <c r="A108" s="75"/>
      <c r="B108" s="167"/>
      <c r="C108" s="167"/>
      <c r="D108" s="126" t="s">
        <v>490</v>
      </c>
      <c r="E108" s="174"/>
      <c r="F108" s="174"/>
      <c r="G108" s="174"/>
      <c r="H108" s="174"/>
      <c r="I108" s="174"/>
      <c r="J108" s="174"/>
      <c r="K108" s="186"/>
      <c r="L108" s="113"/>
      <c r="M108" s="138"/>
      <c r="N108" s="174"/>
      <c r="P108" s="30"/>
    </row>
    <row r="109" spans="1:16" ht="276" hidden="1" thickTop="1" thickBot="1" x14ac:dyDescent="0.7">
      <c r="A109" s="75"/>
      <c r="B109" s="166" t="s">
        <v>491</v>
      </c>
      <c r="C109" s="166" t="s">
        <v>88</v>
      </c>
      <c r="D109" s="123" t="s">
        <v>492</v>
      </c>
      <c r="E109" s="172"/>
      <c r="F109" s="172"/>
      <c r="G109" s="172"/>
      <c r="H109" s="172"/>
      <c r="I109" s="175"/>
      <c r="J109" s="175"/>
      <c r="K109" s="181" t="e">
        <f>J109/I109</f>
        <v>#DIV/0!</v>
      </c>
      <c r="L109" s="95"/>
      <c r="M109" s="96"/>
      <c r="N109" s="175">
        <f t="shared" si="25"/>
        <v>0</v>
      </c>
      <c r="P109" s="30"/>
    </row>
    <row r="110" spans="1:16" ht="230.25" hidden="1" thickTop="1" thickBot="1" x14ac:dyDescent="0.25">
      <c r="A110" s="75"/>
      <c r="B110" s="178"/>
      <c r="C110" s="178"/>
      <c r="D110" s="124" t="s">
        <v>493</v>
      </c>
      <c r="E110" s="173"/>
      <c r="F110" s="173"/>
      <c r="G110" s="173"/>
      <c r="H110" s="173"/>
      <c r="I110" s="176"/>
      <c r="J110" s="176"/>
      <c r="K110" s="182"/>
      <c r="L110" s="95"/>
      <c r="M110" s="96"/>
      <c r="N110" s="176"/>
      <c r="P110" s="30"/>
    </row>
    <row r="111" spans="1:16" ht="48" hidden="1" thickTop="1" thickBot="1" x14ac:dyDescent="0.25">
      <c r="A111" s="75"/>
      <c r="B111" s="167"/>
      <c r="C111" s="167"/>
      <c r="D111" s="126" t="s">
        <v>494</v>
      </c>
      <c r="E111" s="174"/>
      <c r="F111" s="174"/>
      <c r="G111" s="174"/>
      <c r="H111" s="174"/>
      <c r="I111" s="177"/>
      <c r="J111" s="177"/>
      <c r="K111" s="183"/>
      <c r="L111" s="95"/>
      <c r="M111" s="96"/>
      <c r="N111" s="177"/>
      <c r="P111" s="30"/>
    </row>
    <row r="112" spans="1:16" ht="138.75" thickTop="1" thickBot="1" x14ac:dyDescent="0.25">
      <c r="A112" s="75"/>
      <c r="B112" s="75" t="s">
        <v>531</v>
      </c>
      <c r="C112" s="125" t="s">
        <v>93</v>
      </c>
      <c r="D112" s="125" t="s">
        <v>542</v>
      </c>
      <c r="E112" s="127">
        <f>2364150+100000+9322150+794919</f>
        <v>12581219</v>
      </c>
      <c r="F112" s="127">
        <v>12581219</v>
      </c>
      <c r="G112" s="127">
        <v>10397576.279999999</v>
      </c>
      <c r="H112" s="85">
        <f t="shared" si="34"/>
        <v>0.82643631590865718</v>
      </c>
      <c r="I112" s="127">
        <f>63587442+3098000+156881</f>
        <v>66842323</v>
      </c>
      <c r="J112" s="127">
        <v>47567532.799999997</v>
      </c>
      <c r="K112" s="85">
        <f t="shared" ref="K112" si="49">J112/I112</f>
        <v>0.71163793634161987</v>
      </c>
      <c r="L112" s="113"/>
      <c r="M112" s="138"/>
      <c r="N112" s="113">
        <f t="shared" si="25"/>
        <v>57965109.079999998</v>
      </c>
      <c r="P112" s="30"/>
    </row>
    <row r="113" spans="1:16" s="18" customFormat="1" ht="93" thickTop="1" thickBot="1" x14ac:dyDescent="0.25">
      <c r="A113" s="76" t="s">
        <v>251</v>
      </c>
      <c r="B113" s="76" t="s">
        <v>252</v>
      </c>
      <c r="C113" s="76"/>
      <c r="D113" s="76" t="s">
        <v>253</v>
      </c>
      <c r="E113" s="114">
        <f t="shared" ref="E113:J113" si="50">SUM(E114:E115)</f>
        <v>67538633</v>
      </c>
      <c r="F113" s="114">
        <f t="shared" ref="F113" si="51">SUM(F114:F115)</f>
        <v>72157206</v>
      </c>
      <c r="G113" s="114">
        <f t="shared" si="50"/>
        <v>69024004.629999995</v>
      </c>
      <c r="H113" s="86">
        <f t="shared" si="34"/>
        <v>0.95657812235689943</v>
      </c>
      <c r="I113" s="114">
        <f t="shared" si="50"/>
        <v>31731046.280000001</v>
      </c>
      <c r="J113" s="114">
        <f t="shared" si="50"/>
        <v>31086789.979999997</v>
      </c>
      <c r="K113" s="86">
        <f t="shared" ref="K113:K115" si="52">J113/I113</f>
        <v>0.97969634236718894</v>
      </c>
      <c r="L113" s="114"/>
      <c r="M113" s="114"/>
      <c r="N113" s="114">
        <f t="shared" si="25"/>
        <v>100110794.60999998</v>
      </c>
      <c r="O113" s="20"/>
      <c r="P113" s="31"/>
    </row>
    <row r="114" spans="1:16" ht="93" thickTop="1" thickBot="1" x14ac:dyDescent="0.25">
      <c r="A114" s="75" t="s">
        <v>254</v>
      </c>
      <c r="B114" s="75" t="s">
        <v>255</v>
      </c>
      <c r="C114" s="75" t="s">
        <v>97</v>
      </c>
      <c r="D114" s="92" t="s">
        <v>256</v>
      </c>
      <c r="E114" s="113">
        <v>24030039</v>
      </c>
      <c r="F114" s="113">
        <v>24895477</v>
      </c>
      <c r="G114" s="121">
        <v>24200197.260000002</v>
      </c>
      <c r="H114" s="85">
        <f t="shared" si="34"/>
        <v>0.97207204585796858</v>
      </c>
      <c r="I114" s="113">
        <v>16173046.279999999</v>
      </c>
      <c r="J114" s="113">
        <v>15706622.359999999</v>
      </c>
      <c r="K114" s="85">
        <f t="shared" si="52"/>
        <v>0.9711604164159976</v>
      </c>
      <c r="L114" s="113"/>
      <c r="M114" s="138"/>
      <c r="N114" s="113">
        <f t="shared" si="25"/>
        <v>39906819.620000005</v>
      </c>
      <c r="P114" s="26"/>
    </row>
    <row r="115" spans="1:16" ht="93" thickTop="1" thickBot="1" x14ac:dyDescent="0.25">
      <c r="A115" s="58" t="s">
        <v>257</v>
      </c>
      <c r="B115" s="75" t="s">
        <v>258</v>
      </c>
      <c r="C115" s="75" t="s">
        <v>97</v>
      </c>
      <c r="D115" s="92" t="s">
        <v>259</v>
      </c>
      <c r="E115" s="113">
        <v>43508594</v>
      </c>
      <c r="F115" s="113">
        <v>47261729</v>
      </c>
      <c r="G115" s="113">
        <v>44823807.369999997</v>
      </c>
      <c r="H115" s="85">
        <f t="shared" si="34"/>
        <v>0.94841657972352211</v>
      </c>
      <c r="I115" s="113">
        <v>15558000</v>
      </c>
      <c r="J115" s="113">
        <v>15380167.619999999</v>
      </c>
      <c r="K115" s="85">
        <f t="shared" si="52"/>
        <v>0.98856971461627452</v>
      </c>
      <c r="L115" s="113"/>
      <c r="M115" s="138"/>
      <c r="N115" s="113">
        <f t="shared" si="25"/>
        <v>60203974.989999995</v>
      </c>
      <c r="P115" s="26"/>
    </row>
    <row r="116" spans="1:16" s="11" customFormat="1" ht="92.25" customHeight="1" thickTop="1" thickBot="1" x14ac:dyDescent="0.25">
      <c r="A116" s="57" t="s">
        <v>270</v>
      </c>
      <c r="B116" s="77" t="s">
        <v>271</v>
      </c>
      <c r="C116" s="77"/>
      <c r="D116" s="78" t="s">
        <v>272</v>
      </c>
      <c r="E116" s="79">
        <f>SUM(E117:E124)-E122</f>
        <v>71351994</v>
      </c>
      <c r="F116" s="79">
        <f>SUM(F117:F124)-F122</f>
        <v>71310494</v>
      </c>
      <c r="G116" s="79">
        <f t="shared" ref="G116:J116" si="53">SUM(G117:G124)-G122</f>
        <v>67323443.620000005</v>
      </c>
      <c r="H116" s="80">
        <f>G116/F116</f>
        <v>0.94408886888372989</v>
      </c>
      <c r="I116" s="79">
        <f t="shared" si="53"/>
        <v>4800304.3100000005</v>
      </c>
      <c r="J116" s="79">
        <f t="shared" si="53"/>
        <v>4340950.3</v>
      </c>
      <c r="K116" s="80">
        <f>J116/I116</f>
        <v>0.90430731463355896</v>
      </c>
      <c r="L116" s="79"/>
      <c r="M116" s="79"/>
      <c r="N116" s="81">
        <f>J116+G116</f>
        <v>71664393.920000002</v>
      </c>
      <c r="O116" s="53" t="b">
        <f>N116=N117+N118+N119+N120+N123+N124+N121</f>
        <v>1</v>
      </c>
      <c r="P116" s="30"/>
    </row>
    <row r="117" spans="1:16" ht="93" thickTop="1" thickBot="1" x14ac:dyDescent="0.25">
      <c r="A117" s="58" t="s">
        <v>273</v>
      </c>
      <c r="B117" s="75" t="s">
        <v>274</v>
      </c>
      <c r="C117" s="75" t="s">
        <v>275</v>
      </c>
      <c r="D117" s="75" t="s">
        <v>276</v>
      </c>
      <c r="E117" s="113">
        <v>1156300</v>
      </c>
      <c r="F117" s="113">
        <v>522229.91</v>
      </c>
      <c r="G117" s="113">
        <v>522229.91</v>
      </c>
      <c r="H117" s="85">
        <f>G117/F117</f>
        <v>1</v>
      </c>
      <c r="I117" s="113"/>
      <c r="J117" s="113"/>
      <c r="K117" s="113"/>
      <c r="L117" s="113"/>
      <c r="M117" s="138"/>
      <c r="N117" s="113">
        <f t="shared" ref="N117:N140" si="54">G117+J117</f>
        <v>522229.91</v>
      </c>
      <c r="P117" s="30"/>
    </row>
    <row r="118" spans="1:16" ht="93" thickTop="1" thickBot="1" x14ac:dyDescent="0.25">
      <c r="A118" s="58" t="s">
        <v>277</v>
      </c>
      <c r="B118" s="75" t="s">
        <v>278</v>
      </c>
      <c r="C118" s="75" t="s">
        <v>279</v>
      </c>
      <c r="D118" s="75" t="s">
        <v>280</v>
      </c>
      <c r="E118" s="113">
        <v>16592119</v>
      </c>
      <c r="F118" s="113">
        <v>16592119</v>
      </c>
      <c r="G118" s="113">
        <v>16131740.93</v>
      </c>
      <c r="H118" s="85">
        <f t="shared" ref="H118:H120" si="55">G118/F118</f>
        <v>0.97225320828521056</v>
      </c>
      <c r="I118" s="113">
        <v>1253010.0900000001</v>
      </c>
      <c r="J118" s="113">
        <v>1194869.29</v>
      </c>
      <c r="K118" s="85">
        <f t="shared" ref="K118:K123" si="56">J118/I118</f>
        <v>0.95359909671597298</v>
      </c>
      <c r="L118" s="113"/>
      <c r="M118" s="138"/>
      <c r="N118" s="113">
        <f t="shared" si="54"/>
        <v>17326610.219999999</v>
      </c>
      <c r="P118" s="26"/>
    </row>
    <row r="119" spans="1:16" ht="93" thickTop="1" thickBot="1" x14ac:dyDescent="0.25">
      <c r="A119" s="58" t="s">
        <v>281</v>
      </c>
      <c r="B119" s="75" t="s">
        <v>282</v>
      </c>
      <c r="C119" s="75" t="s">
        <v>279</v>
      </c>
      <c r="D119" s="75" t="s">
        <v>283</v>
      </c>
      <c r="E119" s="113">
        <v>2531546</v>
      </c>
      <c r="F119" s="113">
        <v>2531546</v>
      </c>
      <c r="G119" s="113">
        <v>2398838.04</v>
      </c>
      <c r="H119" s="85">
        <f t="shared" si="55"/>
        <v>0.94757829405430516</v>
      </c>
      <c r="I119" s="113">
        <v>256260.01</v>
      </c>
      <c r="J119" s="113">
        <v>172290.19</v>
      </c>
      <c r="K119" s="85">
        <f t="shared" si="56"/>
        <v>0.67232569763811367</v>
      </c>
      <c r="L119" s="113"/>
      <c r="M119" s="138"/>
      <c r="N119" s="113">
        <f t="shared" si="54"/>
        <v>2571128.23</v>
      </c>
      <c r="P119" s="26"/>
    </row>
    <row r="120" spans="1:16" ht="138.75" thickTop="1" thickBot="1" x14ac:dyDescent="0.25">
      <c r="A120" s="58" t="s">
        <v>284</v>
      </c>
      <c r="B120" s="75" t="s">
        <v>285</v>
      </c>
      <c r="C120" s="75" t="s">
        <v>286</v>
      </c>
      <c r="D120" s="75" t="s">
        <v>287</v>
      </c>
      <c r="E120" s="113">
        <v>19898862</v>
      </c>
      <c r="F120" s="113">
        <v>20553932.09</v>
      </c>
      <c r="G120" s="113">
        <v>19793325.23</v>
      </c>
      <c r="H120" s="85">
        <f t="shared" si="55"/>
        <v>0.96299458144215366</v>
      </c>
      <c r="I120" s="113">
        <v>3016236.19</v>
      </c>
      <c r="J120" s="113">
        <v>2737450.23</v>
      </c>
      <c r="K120" s="85">
        <f t="shared" si="56"/>
        <v>0.90757157515572418</v>
      </c>
      <c r="L120" s="113"/>
      <c r="M120" s="138"/>
      <c r="N120" s="113">
        <f t="shared" si="54"/>
        <v>22530775.460000001</v>
      </c>
      <c r="P120" s="26"/>
    </row>
    <row r="121" spans="1:16" ht="48" thickTop="1" thickBot="1" x14ac:dyDescent="0.25">
      <c r="A121" s="58"/>
      <c r="B121" s="75" t="s">
        <v>532</v>
      </c>
      <c r="C121" s="75" t="s">
        <v>533</v>
      </c>
      <c r="D121" s="75" t="s">
        <v>534</v>
      </c>
      <c r="E121" s="113">
        <v>197759</v>
      </c>
      <c r="F121" s="113">
        <v>197759</v>
      </c>
      <c r="G121" s="113">
        <v>197567.74</v>
      </c>
      <c r="H121" s="85">
        <f>G121/F121</f>
        <v>0.99903286323252039</v>
      </c>
      <c r="I121" s="113"/>
      <c r="J121" s="113"/>
      <c r="K121" s="85"/>
      <c r="L121" s="113"/>
      <c r="M121" s="138"/>
      <c r="N121" s="113">
        <f t="shared" si="54"/>
        <v>197567.74</v>
      </c>
      <c r="P121" s="26"/>
    </row>
    <row r="122" spans="1:16" ht="93" thickTop="1" thickBot="1" x14ac:dyDescent="0.25">
      <c r="A122" s="76" t="s">
        <v>288</v>
      </c>
      <c r="B122" s="76" t="s">
        <v>289</v>
      </c>
      <c r="C122" s="76"/>
      <c r="D122" s="76" t="s">
        <v>290</v>
      </c>
      <c r="E122" s="114">
        <f t="shared" ref="E122:J122" si="57">SUM(E123:E124)</f>
        <v>30975408</v>
      </c>
      <c r="F122" s="114">
        <f t="shared" ref="F122" si="58">SUM(F123:F124)</f>
        <v>30912908</v>
      </c>
      <c r="G122" s="114">
        <f t="shared" si="57"/>
        <v>28279741.77</v>
      </c>
      <c r="H122" s="86">
        <f>G122/F122</f>
        <v>0.91481984710076447</v>
      </c>
      <c r="I122" s="114">
        <f t="shared" si="57"/>
        <v>274798.02</v>
      </c>
      <c r="J122" s="114">
        <f t="shared" si="57"/>
        <v>236340.59</v>
      </c>
      <c r="K122" s="86">
        <f t="shared" si="56"/>
        <v>0.86005201201959158</v>
      </c>
      <c r="L122" s="114"/>
      <c r="M122" s="114"/>
      <c r="N122" s="114">
        <f t="shared" si="54"/>
        <v>28516082.359999999</v>
      </c>
      <c r="P122" s="26"/>
    </row>
    <row r="123" spans="1:16" ht="93" thickTop="1" thickBot="1" x14ac:dyDescent="0.25">
      <c r="A123" s="75" t="s">
        <v>291</v>
      </c>
      <c r="B123" s="75" t="s">
        <v>292</v>
      </c>
      <c r="C123" s="75" t="s">
        <v>293</v>
      </c>
      <c r="D123" s="75" t="s">
        <v>294</v>
      </c>
      <c r="E123" s="113">
        <v>25361387</v>
      </c>
      <c r="F123" s="113">
        <v>25421387</v>
      </c>
      <c r="G123" s="113">
        <v>25259478.800000001</v>
      </c>
      <c r="H123" s="85">
        <f t="shared" ref="H123:H124" si="59">G123/F123</f>
        <v>0.99363102414514204</v>
      </c>
      <c r="I123" s="113">
        <v>274798.02</v>
      </c>
      <c r="J123" s="113">
        <v>236340.59</v>
      </c>
      <c r="K123" s="85">
        <f t="shared" si="56"/>
        <v>0.86005201201959158</v>
      </c>
      <c r="L123" s="113"/>
      <c r="M123" s="138"/>
      <c r="N123" s="113">
        <f t="shared" si="54"/>
        <v>25495819.390000001</v>
      </c>
      <c r="P123" s="30"/>
    </row>
    <row r="124" spans="1:16" ht="93" thickTop="1" thickBot="1" x14ac:dyDescent="0.25">
      <c r="A124" s="75" t="s">
        <v>295</v>
      </c>
      <c r="B124" s="75" t="s">
        <v>296</v>
      </c>
      <c r="C124" s="75" t="s">
        <v>293</v>
      </c>
      <c r="D124" s="75" t="s">
        <v>297</v>
      </c>
      <c r="E124" s="113">
        <v>5614021</v>
      </c>
      <c r="F124" s="113">
        <v>5491521</v>
      </c>
      <c r="G124" s="113">
        <v>3020262.97</v>
      </c>
      <c r="H124" s="85">
        <f t="shared" si="59"/>
        <v>0.54998660116204601</v>
      </c>
      <c r="I124" s="113"/>
      <c r="J124" s="113"/>
      <c r="K124" s="113"/>
      <c r="L124" s="113"/>
      <c r="M124" s="138"/>
      <c r="N124" s="113">
        <f t="shared" si="54"/>
        <v>3020262.97</v>
      </c>
      <c r="P124" s="30"/>
    </row>
    <row r="125" spans="1:16" ht="77.25" customHeight="1" thickTop="1" thickBot="1" x14ac:dyDescent="0.25">
      <c r="A125" s="57" t="s">
        <v>308</v>
      </c>
      <c r="B125" s="77" t="s">
        <v>309</v>
      </c>
      <c r="C125" s="77"/>
      <c r="D125" s="78" t="s">
        <v>310</v>
      </c>
      <c r="E125" s="79">
        <f>SUM(E126:E140)-E126-E129-E131-E137-E134</f>
        <v>104592462</v>
      </c>
      <c r="F125" s="79">
        <f>SUM(F126:F140)-F126-F129-F131-F137-F134</f>
        <v>99143016</v>
      </c>
      <c r="G125" s="79">
        <f>SUM(G126:G140)-G126-G129-G131-G137-G134</f>
        <v>97409966.86999999</v>
      </c>
      <c r="H125" s="80">
        <f>G125/F125</f>
        <v>0.98251970537188404</v>
      </c>
      <c r="I125" s="79">
        <f>SUM(I126:I140)-I126-I129-I131-I137-I134</f>
        <v>31422620.130000003</v>
      </c>
      <c r="J125" s="79">
        <f>SUM(J126:J140)-J126-J129-J131-J137-J134</f>
        <v>28345771.080000002</v>
      </c>
      <c r="K125" s="80">
        <f>J125/I125</f>
        <v>0.90208171574265217</v>
      </c>
      <c r="L125" s="79"/>
      <c r="M125" s="79"/>
      <c r="N125" s="81">
        <f>J125+G125</f>
        <v>125755737.94999999</v>
      </c>
      <c r="O125" s="53" t="b">
        <f>N125=N127+N128+N130+N132+N133+N135+N138+N139+N140+N136</f>
        <v>1</v>
      </c>
      <c r="P125" s="26"/>
    </row>
    <row r="126" spans="1:16" s="18" customFormat="1" ht="93" thickTop="1" thickBot="1" x14ac:dyDescent="0.25">
      <c r="A126" s="59" t="s">
        <v>311</v>
      </c>
      <c r="B126" s="76" t="s">
        <v>312</v>
      </c>
      <c r="C126" s="76"/>
      <c r="D126" s="76" t="s">
        <v>313</v>
      </c>
      <c r="E126" s="122">
        <f t="shared" ref="E126:G126" si="60">SUM(E127:E128)</f>
        <v>29233742</v>
      </c>
      <c r="F126" s="122">
        <f t="shared" ref="F126" si="61">SUM(F127:F128)</f>
        <v>24633742</v>
      </c>
      <c r="G126" s="122">
        <f t="shared" si="60"/>
        <v>24615750.710000001</v>
      </c>
      <c r="H126" s="86">
        <f>G126/F126</f>
        <v>0.99926964851706257</v>
      </c>
      <c r="I126" s="122"/>
      <c r="J126" s="122"/>
      <c r="K126" s="86"/>
      <c r="L126" s="122"/>
      <c r="M126" s="122"/>
      <c r="N126" s="114">
        <f t="shared" si="54"/>
        <v>24615750.710000001</v>
      </c>
      <c r="O126" s="50"/>
      <c r="P126" s="32"/>
    </row>
    <row r="127" spans="1:16" s="35" customFormat="1" ht="93" thickTop="1" thickBot="1" x14ac:dyDescent="0.25">
      <c r="A127" s="58" t="s">
        <v>314</v>
      </c>
      <c r="B127" s="75" t="s">
        <v>315</v>
      </c>
      <c r="C127" s="75" t="s">
        <v>316</v>
      </c>
      <c r="D127" s="75" t="s">
        <v>317</v>
      </c>
      <c r="E127" s="121">
        <v>25132670</v>
      </c>
      <c r="F127" s="121">
        <v>21532670</v>
      </c>
      <c r="G127" s="113">
        <v>21530377.02</v>
      </c>
      <c r="H127" s="85">
        <f t="shared" ref="H127:H136" si="62">G127/F127</f>
        <v>0.99989351158031026</v>
      </c>
      <c r="I127" s="113"/>
      <c r="J127" s="113"/>
      <c r="K127" s="113"/>
      <c r="L127" s="113"/>
      <c r="M127" s="138"/>
      <c r="N127" s="113">
        <f t="shared" si="54"/>
        <v>21530377.02</v>
      </c>
      <c r="O127" s="33"/>
      <c r="P127" s="34"/>
    </row>
    <row r="128" spans="1:16" s="35" customFormat="1" ht="93" thickTop="1" thickBot="1" x14ac:dyDescent="0.25">
      <c r="A128" s="58" t="s">
        <v>318</v>
      </c>
      <c r="B128" s="75" t="s">
        <v>319</v>
      </c>
      <c r="C128" s="75" t="s">
        <v>316</v>
      </c>
      <c r="D128" s="75" t="s">
        <v>320</v>
      </c>
      <c r="E128" s="121">
        <v>4101072</v>
      </c>
      <c r="F128" s="121">
        <v>3101072</v>
      </c>
      <c r="G128" s="113">
        <v>3085373.69</v>
      </c>
      <c r="H128" s="85">
        <f t="shared" si="62"/>
        <v>0.99493777958073848</v>
      </c>
      <c r="I128" s="113"/>
      <c r="J128" s="113"/>
      <c r="K128" s="113"/>
      <c r="L128" s="113"/>
      <c r="M128" s="138"/>
      <c r="N128" s="113">
        <f t="shared" si="54"/>
        <v>3085373.69</v>
      </c>
      <c r="O128" s="33"/>
      <c r="P128" s="34"/>
    </row>
    <row r="129" spans="1:16" s="18" customFormat="1" ht="93" thickTop="1" thickBot="1" x14ac:dyDescent="0.25">
      <c r="A129" s="59" t="s">
        <v>321</v>
      </c>
      <c r="B129" s="76" t="s">
        <v>322</v>
      </c>
      <c r="C129" s="76"/>
      <c r="D129" s="76" t="s">
        <v>323</v>
      </c>
      <c r="E129" s="122">
        <f t="shared" ref="E129:F129" si="63">E130</f>
        <v>53300</v>
      </c>
      <c r="F129" s="122">
        <f t="shared" si="63"/>
        <v>53300</v>
      </c>
      <c r="G129" s="122">
        <f>G130</f>
        <v>6600</v>
      </c>
      <c r="H129" s="86">
        <f t="shared" si="62"/>
        <v>0.12382739212007504</v>
      </c>
      <c r="I129" s="122"/>
      <c r="J129" s="122"/>
      <c r="K129" s="86"/>
      <c r="L129" s="122"/>
      <c r="M129" s="122"/>
      <c r="N129" s="114">
        <f t="shared" si="54"/>
        <v>6600</v>
      </c>
      <c r="O129" s="50"/>
      <c r="P129" s="36"/>
    </row>
    <row r="130" spans="1:16" s="35" customFormat="1" ht="93" thickTop="1" thickBot="1" x14ac:dyDescent="0.25">
      <c r="A130" s="58" t="s">
        <v>324</v>
      </c>
      <c r="B130" s="75" t="s">
        <v>325</v>
      </c>
      <c r="C130" s="75" t="s">
        <v>316</v>
      </c>
      <c r="D130" s="75" t="s">
        <v>326</v>
      </c>
      <c r="E130" s="121">
        <v>53300</v>
      </c>
      <c r="F130" s="121">
        <v>53300</v>
      </c>
      <c r="G130" s="121">
        <v>6600</v>
      </c>
      <c r="H130" s="85">
        <f t="shared" si="62"/>
        <v>0.12382739212007504</v>
      </c>
      <c r="I130" s="113"/>
      <c r="J130" s="121"/>
      <c r="K130" s="121"/>
      <c r="L130" s="121"/>
      <c r="M130" s="138"/>
      <c r="N130" s="113">
        <f t="shared" si="54"/>
        <v>6600</v>
      </c>
      <c r="O130" s="33"/>
      <c r="P130" s="34"/>
    </row>
    <row r="131" spans="1:16" ht="93" thickTop="1" thickBot="1" x14ac:dyDescent="0.25">
      <c r="A131" s="76" t="s">
        <v>327</v>
      </c>
      <c r="B131" s="76" t="s">
        <v>328</v>
      </c>
      <c r="C131" s="76"/>
      <c r="D131" s="76" t="s">
        <v>329</v>
      </c>
      <c r="E131" s="122">
        <f t="shared" ref="E131:J131" si="64">SUM(E132:E133)</f>
        <v>68617758</v>
      </c>
      <c r="F131" s="122">
        <f t="shared" ref="F131" si="65">SUM(F132:F133)</f>
        <v>67941944</v>
      </c>
      <c r="G131" s="122">
        <f t="shared" si="64"/>
        <v>66980375.550000004</v>
      </c>
      <c r="H131" s="86">
        <f t="shared" si="62"/>
        <v>0.98584720434257822</v>
      </c>
      <c r="I131" s="122">
        <f t="shared" si="64"/>
        <v>29087403.199999999</v>
      </c>
      <c r="J131" s="122">
        <f t="shared" si="64"/>
        <v>26137545.629999999</v>
      </c>
      <c r="K131" s="86">
        <f t="shared" ref="K131:K137" si="66">J131/I131</f>
        <v>0.89858642417415935</v>
      </c>
      <c r="L131" s="122"/>
      <c r="M131" s="122"/>
      <c r="N131" s="114">
        <f t="shared" si="54"/>
        <v>93117921.180000007</v>
      </c>
      <c r="P131" s="26"/>
    </row>
    <row r="132" spans="1:16" s="35" customFormat="1" ht="93" thickTop="1" thickBot="1" x14ac:dyDescent="0.25">
      <c r="A132" s="75" t="s">
        <v>330</v>
      </c>
      <c r="B132" s="75" t="s">
        <v>331</v>
      </c>
      <c r="C132" s="75" t="s">
        <v>316</v>
      </c>
      <c r="D132" s="75" t="s">
        <v>332</v>
      </c>
      <c r="E132" s="121">
        <v>62193419</v>
      </c>
      <c r="F132" s="121">
        <v>61686605</v>
      </c>
      <c r="G132" s="121">
        <v>60748886.880000003</v>
      </c>
      <c r="H132" s="85">
        <f t="shared" si="62"/>
        <v>0.98479867517429431</v>
      </c>
      <c r="I132" s="121">
        <v>29087403.199999999</v>
      </c>
      <c r="J132" s="121">
        <v>26137545.629999999</v>
      </c>
      <c r="K132" s="85">
        <f t="shared" si="66"/>
        <v>0.89858642417415935</v>
      </c>
      <c r="L132" s="121"/>
      <c r="M132" s="138"/>
      <c r="N132" s="113">
        <f t="shared" si="54"/>
        <v>86886432.510000005</v>
      </c>
      <c r="O132" s="33"/>
      <c r="P132" s="34"/>
    </row>
    <row r="133" spans="1:16" s="35" customFormat="1" ht="138.75" thickTop="1" thickBot="1" x14ac:dyDescent="0.25">
      <c r="A133" s="75" t="s">
        <v>333</v>
      </c>
      <c r="B133" s="75" t="s">
        <v>334</v>
      </c>
      <c r="C133" s="75" t="s">
        <v>316</v>
      </c>
      <c r="D133" s="75" t="s">
        <v>335</v>
      </c>
      <c r="E133" s="121">
        <v>6424339</v>
      </c>
      <c r="F133" s="121">
        <v>6255339</v>
      </c>
      <c r="G133" s="121">
        <v>6231488.6699999999</v>
      </c>
      <c r="H133" s="85">
        <f t="shared" si="62"/>
        <v>0.99618720424264773</v>
      </c>
      <c r="I133" s="121"/>
      <c r="J133" s="121"/>
      <c r="K133" s="85"/>
      <c r="L133" s="121"/>
      <c r="M133" s="138"/>
      <c r="N133" s="113">
        <f t="shared" si="54"/>
        <v>6231488.6699999999</v>
      </c>
      <c r="O133" s="33"/>
      <c r="P133" s="34"/>
    </row>
    <row r="134" spans="1:16" s="35" customFormat="1" ht="93" thickTop="1" thickBot="1" x14ac:dyDescent="0.25">
      <c r="A134" s="58"/>
      <c r="B134" s="76" t="s">
        <v>393</v>
      </c>
      <c r="C134" s="76"/>
      <c r="D134" s="76" t="s">
        <v>394</v>
      </c>
      <c r="E134" s="122">
        <f>SUM(E135:E136)</f>
        <v>88281</v>
      </c>
      <c r="F134" s="122">
        <f>SUM(F135:F136)</f>
        <v>147135</v>
      </c>
      <c r="G134" s="122">
        <f>SUM(G135:G136)</f>
        <v>147135</v>
      </c>
      <c r="H134" s="86">
        <f t="shared" si="62"/>
        <v>1</v>
      </c>
      <c r="I134" s="122">
        <f t="shared" ref="I134:J134" si="67">I135</f>
        <v>2200000</v>
      </c>
      <c r="J134" s="122">
        <f t="shared" si="67"/>
        <v>2146506.35</v>
      </c>
      <c r="K134" s="86">
        <f t="shared" si="66"/>
        <v>0.97568470454545464</v>
      </c>
      <c r="L134" s="122"/>
      <c r="M134" s="122"/>
      <c r="N134" s="114">
        <f t="shared" si="54"/>
        <v>2293641.35</v>
      </c>
      <c r="O134" s="33"/>
      <c r="P134" s="34"/>
    </row>
    <row r="135" spans="1:16" s="35" customFormat="1" ht="230.25" thickTop="1" thickBot="1" x14ac:dyDescent="0.25">
      <c r="A135" s="58"/>
      <c r="B135" s="75" t="s">
        <v>395</v>
      </c>
      <c r="C135" s="75" t="s">
        <v>316</v>
      </c>
      <c r="D135" s="75" t="s">
        <v>518</v>
      </c>
      <c r="E135" s="113"/>
      <c r="F135" s="113"/>
      <c r="G135" s="113"/>
      <c r="H135" s="85"/>
      <c r="I135" s="113">
        <v>2200000</v>
      </c>
      <c r="J135" s="113">
        <v>2146506.35</v>
      </c>
      <c r="K135" s="85">
        <f t="shared" si="66"/>
        <v>0.97568470454545464</v>
      </c>
      <c r="L135" s="113"/>
      <c r="M135" s="138"/>
      <c r="N135" s="113">
        <f t="shared" si="54"/>
        <v>2146506.35</v>
      </c>
      <c r="O135" s="33"/>
      <c r="P135" s="34"/>
    </row>
    <row r="136" spans="1:16" s="35" customFormat="1" ht="138.75" thickTop="1" thickBot="1" x14ac:dyDescent="0.25">
      <c r="A136" s="58"/>
      <c r="B136" s="75" t="s">
        <v>544</v>
      </c>
      <c r="C136" s="75" t="s">
        <v>316</v>
      </c>
      <c r="D136" s="75" t="s">
        <v>545</v>
      </c>
      <c r="E136" s="113">
        <v>88281</v>
      </c>
      <c r="F136" s="113">
        <v>147135</v>
      </c>
      <c r="G136" s="113">
        <v>147135</v>
      </c>
      <c r="H136" s="85">
        <f t="shared" si="62"/>
        <v>1</v>
      </c>
      <c r="I136" s="113"/>
      <c r="J136" s="113"/>
      <c r="K136" s="85"/>
      <c r="L136" s="113"/>
      <c r="M136" s="138"/>
      <c r="N136" s="113">
        <f t="shared" si="54"/>
        <v>147135</v>
      </c>
      <c r="O136" s="33"/>
      <c r="P136" s="34"/>
    </row>
    <row r="137" spans="1:16" ht="93" thickTop="1" thickBot="1" x14ac:dyDescent="0.25">
      <c r="A137" s="67" t="s">
        <v>336</v>
      </c>
      <c r="B137" s="76" t="s">
        <v>337</v>
      </c>
      <c r="C137" s="76"/>
      <c r="D137" s="76" t="s">
        <v>338</v>
      </c>
      <c r="E137" s="122">
        <f t="shared" ref="E137:J137" si="68">SUM(E138:E140)</f>
        <v>6599381</v>
      </c>
      <c r="F137" s="122">
        <f t="shared" ref="F137" si="69">SUM(F138:F140)</f>
        <v>6366895</v>
      </c>
      <c r="G137" s="122">
        <f t="shared" si="68"/>
        <v>5660105.6100000003</v>
      </c>
      <c r="H137" s="86">
        <f t="shared" ref="H137:H143" si="70">G137/F137</f>
        <v>0.88898994093667327</v>
      </c>
      <c r="I137" s="122">
        <f t="shared" si="68"/>
        <v>135216.93</v>
      </c>
      <c r="J137" s="122">
        <f t="shared" si="68"/>
        <v>61719.1</v>
      </c>
      <c r="K137" s="86">
        <f t="shared" si="66"/>
        <v>0.45644506201997043</v>
      </c>
      <c r="L137" s="122"/>
      <c r="M137" s="122"/>
      <c r="N137" s="114">
        <f t="shared" si="54"/>
        <v>5721824.71</v>
      </c>
      <c r="O137" s="50"/>
      <c r="P137" s="26"/>
    </row>
    <row r="138" spans="1:16" s="35" customFormat="1" ht="184.5" thickTop="1" thickBot="1" x14ac:dyDescent="0.25">
      <c r="A138" s="68" t="s">
        <v>339</v>
      </c>
      <c r="B138" s="128" t="s">
        <v>340</v>
      </c>
      <c r="C138" s="128" t="s">
        <v>316</v>
      </c>
      <c r="D138" s="75" t="s">
        <v>341</v>
      </c>
      <c r="E138" s="121">
        <v>870057</v>
      </c>
      <c r="F138" s="121">
        <v>570057</v>
      </c>
      <c r="G138" s="113">
        <v>398314.18</v>
      </c>
      <c r="H138" s="85">
        <f t="shared" si="70"/>
        <v>0.69872693432411148</v>
      </c>
      <c r="I138" s="113"/>
      <c r="J138" s="113"/>
      <c r="K138" s="113"/>
      <c r="L138" s="113"/>
      <c r="M138" s="138"/>
      <c r="N138" s="113">
        <f t="shared" si="54"/>
        <v>398314.18</v>
      </c>
      <c r="O138" s="33"/>
      <c r="P138" s="34"/>
    </row>
    <row r="139" spans="1:16" s="35" customFormat="1" ht="138.75" thickTop="1" thickBot="1" x14ac:dyDescent="0.25">
      <c r="A139" s="68" t="s">
        <v>342</v>
      </c>
      <c r="B139" s="128" t="s">
        <v>343</v>
      </c>
      <c r="C139" s="128" t="s">
        <v>316</v>
      </c>
      <c r="D139" s="75" t="s">
        <v>344</v>
      </c>
      <c r="E139" s="121">
        <v>3791300</v>
      </c>
      <c r="F139" s="121">
        <v>3791300</v>
      </c>
      <c r="G139" s="113">
        <v>3257275</v>
      </c>
      <c r="H139" s="85">
        <f t="shared" si="70"/>
        <v>0.85914462057869334</v>
      </c>
      <c r="I139" s="113"/>
      <c r="J139" s="113"/>
      <c r="K139" s="113"/>
      <c r="L139" s="113"/>
      <c r="M139" s="138"/>
      <c r="N139" s="113">
        <f t="shared" si="54"/>
        <v>3257275</v>
      </c>
      <c r="O139" s="33"/>
      <c r="P139" s="34"/>
    </row>
    <row r="140" spans="1:16" s="35" customFormat="1" ht="93" thickTop="1" thickBot="1" x14ac:dyDescent="0.25">
      <c r="A140" s="68" t="s">
        <v>345</v>
      </c>
      <c r="B140" s="128" t="s">
        <v>346</v>
      </c>
      <c r="C140" s="128" t="s">
        <v>316</v>
      </c>
      <c r="D140" s="75" t="s">
        <v>347</v>
      </c>
      <c r="E140" s="121">
        <v>1938024</v>
      </c>
      <c r="F140" s="121">
        <v>2005538</v>
      </c>
      <c r="G140" s="113">
        <v>2004516.43</v>
      </c>
      <c r="H140" s="85">
        <f t="shared" si="70"/>
        <v>0.99949062545810652</v>
      </c>
      <c r="I140" s="113">
        <v>135216.93</v>
      </c>
      <c r="J140" s="113">
        <v>61719.1</v>
      </c>
      <c r="K140" s="85">
        <f t="shared" ref="K140" si="71">J140/I140</f>
        <v>0.45644506201997043</v>
      </c>
      <c r="L140" s="113"/>
      <c r="M140" s="138"/>
      <c r="N140" s="113">
        <f t="shared" si="54"/>
        <v>2066235.53</v>
      </c>
      <c r="O140" s="33"/>
      <c r="P140" s="34"/>
    </row>
    <row r="141" spans="1:16" ht="91.5" thickTop="1" thickBot="1" x14ac:dyDescent="0.25">
      <c r="A141" s="57" t="s">
        <v>350</v>
      </c>
      <c r="B141" s="77" t="s">
        <v>260</v>
      </c>
      <c r="C141" s="77"/>
      <c r="D141" s="78" t="s">
        <v>261</v>
      </c>
      <c r="E141" s="79">
        <f>SUM(E142:E155)-E142-E151</f>
        <v>536781648</v>
      </c>
      <c r="F141" s="79">
        <f>SUM(F142:F155)-F142-F151</f>
        <v>533055510</v>
      </c>
      <c r="G141" s="79">
        <f>SUM(G142:G155)-G142-G151</f>
        <v>500313973.87</v>
      </c>
      <c r="H141" s="80">
        <f t="shared" si="70"/>
        <v>0.93857762368875997</v>
      </c>
      <c r="I141" s="79">
        <f>SUM(I142:I155)-I142-I151</f>
        <v>37865539</v>
      </c>
      <c r="J141" s="79">
        <f>SUM(J142:J155)-J142-J151</f>
        <v>33653977.579999998</v>
      </c>
      <c r="K141" s="80">
        <f>J141/I141</f>
        <v>0.88877587560552085</v>
      </c>
      <c r="L141" s="79"/>
      <c r="M141" s="79"/>
      <c r="N141" s="81">
        <f>J141+G141</f>
        <v>533967951.44999999</v>
      </c>
      <c r="O141" s="53" t="b">
        <f>N141=N143+N144+N145+N146+N149+N150+N152+N154+N155+N148+N147</f>
        <v>1</v>
      </c>
      <c r="P141" s="37"/>
    </row>
    <row r="142" spans="1:16" s="18" customFormat="1" ht="93" thickTop="1" thickBot="1" x14ac:dyDescent="0.25">
      <c r="A142" s="76" t="s">
        <v>351</v>
      </c>
      <c r="B142" s="76" t="s">
        <v>352</v>
      </c>
      <c r="C142" s="76"/>
      <c r="D142" s="76" t="s">
        <v>353</v>
      </c>
      <c r="E142" s="114">
        <f t="shared" ref="E142:J142" si="72">SUM(E143:E148)</f>
        <v>166424908</v>
      </c>
      <c r="F142" s="114">
        <f t="shared" ref="F142" si="73">SUM(F143:F148)</f>
        <v>178220008</v>
      </c>
      <c r="G142" s="114">
        <f>SUM(G143:G148)</f>
        <v>177051056.53999999</v>
      </c>
      <c r="H142" s="86">
        <f t="shared" si="70"/>
        <v>0.99344096393486858</v>
      </c>
      <c r="I142" s="114">
        <f t="shared" si="72"/>
        <v>20095277</v>
      </c>
      <c r="J142" s="114">
        <f t="shared" si="72"/>
        <v>17350263.48</v>
      </c>
      <c r="K142" s="86">
        <f t="shared" ref="K142:K143" si="74">J142/I142</f>
        <v>0.86340006559750337</v>
      </c>
      <c r="L142" s="114"/>
      <c r="M142" s="114"/>
      <c r="N142" s="114">
        <f t="shared" ref="N142:N192" si="75">G142+J142</f>
        <v>194401320.01999998</v>
      </c>
      <c r="O142" s="20"/>
      <c r="P142" s="37"/>
    </row>
    <row r="143" spans="1:16" ht="93" thickTop="1" thickBot="1" x14ac:dyDescent="0.25">
      <c r="A143" s="75" t="s">
        <v>354</v>
      </c>
      <c r="B143" s="75" t="s">
        <v>355</v>
      </c>
      <c r="C143" s="75" t="s">
        <v>264</v>
      </c>
      <c r="D143" s="75" t="s">
        <v>356</v>
      </c>
      <c r="E143" s="121">
        <v>7438600</v>
      </c>
      <c r="F143" s="121">
        <v>8938600</v>
      </c>
      <c r="G143" s="121">
        <v>7789603.3099999996</v>
      </c>
      <c r="H143" s="85">
        <f t="shared" si="70"/>
        <v>0.87145675049784077</v>
      </c>
      <c r="I143" s="121">
        <v>6156681</v>
      </c>
      <c r="J143" s="142">
        <v>4389032.2300000004</v>
      </c>
      <c r="K143" s="85">
        <f t="shared" si="74"/>
        <v>0.71288933599125903</v>
      </c>
      <c r="L143" s="142"/>
      <c r="M143" s="138"/>
      <c r="N143" s="113">
        <f t="shared" si="75"/>
        <v>12178635.539999999</v>
      </c>
      <c r="P143" s="37"/>
    </row>
    <row r="144" spans="1:16" ht="138.75" customHeight="1" thickTop="1" thickBot="1" x14ac:dyDescent="0.25">
      <c r="A144" s="58"/>
      <c r="B144" s="75" t="s">
        <v>376</v>
      </c>
      <c r="C144" s="75" t="s">
        <v>359</v>
      </c>
      <c r="D144" s="75" t="s">
        <v>377</v>
      </c>
      <c r="E144" s="121">
        <v>123000000</v>
      </c>
      <c r="F144" s="121">
        <v>134000000</v>
      </c>
      <c r="G144" s="121">
        <v>134000000</v>
      </c>
      <c r="H144" s="85">
        <f t="shared" ref="H144:H155" si="76">G144/F144</f>
        <v>1</v>
      </c>
      <c r="I144" s="121"/>
      <c r="J144" s="142"/>
      <c r="K144" s="142"/>
      <c r="L144" s="142"/>
      <c r="M144" s="138"/>
      <c r="N144" s="113">
        <f t="shared" si="75"/>
        <v>134000000</v>
      </c>
      <c r="P144" s="37"/>
    </row>
    <row r="145" spans="1:16" ht="93" thickTop="1" thickBot="1" x14ac:dyDescent="0.25">
      <c r="A145" s="58"/>
      <c r="B145" s="75" t="s">
        <v>378</v>
      </c>
      <c r="C145" s="75" t="s">
        <v>359</v>
      </c>
      <c r="D145" s="75" t="s">
        <v>379</v>
      </c>
      <c r="E145" s="121">
        <v>32259100</v>
      </c>
      <c r="F145" s="121">
        <v>31630000</v>
      </c>
      <c r="G145" s="121">
        <v>31630000</v>
      </c>
      <c r="H145" s="85">
        <f>G145/F145</f>
        <v>1</v>
      </c>
      <c r="I145" s="121">
        <v>2322604</v>
      </c>
      <c r="J145" s="142">
        <v>1510381.77</v>
      </c>
      <c r="K145" s="85">
        <f t="shared" ref="K145:K153" si="77">J145/I145</f>
        <v>0.65029672298850771</v>
      </c>
      <c r="L145" s="142"/>
      <c r="M145" s="138"/>
      <c r="N145" s="113">
        <f t="shared" si="75"/>
        <v>33140381.77</v>
      </c>
      <c r="P145" s="37"/>
    </row>
    <row r="146" spans="1:16" ht="93" thickTop="1" thickBot="1" x14ac:dyDescent="0.25">
      <c r="A146" s="58" t="s">
        <v>357</v>
      </c>
      <c r="B146" s="75" t="s">
        <v>358</v>
      </c>
      <c r="C146" s="75" t="s">
        <v>359</v>
      </c>
      <c r="D146" s="75" t="s">
        <v>360</v>
      </c>
      <c r="E146" s="121"/>
      <c r="F146" s="121"/>
      <c r="G146" s="121"/>
      <c r="H146" s="85"/>
      <c r="I146" s="121">
        <v>11237500</v>
      </c>
      <c r="J146" s="142">
        <v>11072617.550000001</v>
      </c>
      <c r="K146" s="85">
        <f t="shared" si="77"/>
        <v>0.98532747942157961</v>
      </c>
      <c r="L146" s="142"/>
      <c r="M146" s="138"/>
      <c r="N146" s="113">
        <f t="shared" si="75"/>
        <v>11072617.550000001</v>
      </c>
      <c r="O146" s="50"/>
      <c r="P146" s="37"/>
    </row>
    <row r="147" spans="1:16" ht="93" thickTop="1" thickBot="1" x14ac:dyDescent="0.25">
      <c r="A147" s="58"/>
      <c r="B147" s="75" t="s">
        <v>560</v>
      </c>
      <c r="C147" s="75" t="s">
        <v>359</v>
      </c>
      <c r="D147" s="75" t="s">
        <v>561</v>
      </c>
      <c r="E147" s="121">
        <v>3727208</v>
      </c>
      <c r="F147" s="121">
        <v>3651408</v>
      </c>
      <c r="G147" s="121">
        <v>3631453.23</v>
      </c>
      <c r="H147" s="85">
        <f t="shared" si="76"/>
        <v>0.99453504785003488</v>
      </c>
      <c r="I147" s="121"/>
      <c r="J147" s="142"/>
      <c r="K147" s="85"/>
      <c r="L147" s="142"/>
      <c r="M147" s="138"/>
      <c r="N147" s="113">
        <f t="shared" si="75"/>
        <v>3631453.23</v>
      </c>
      <c r="O147" s="50"/>
      <c r="P147" s="37"/>
    </row>
    <row r="148" spans="1:16" ht="93" thickTop="1" thickBot="1" x14ac:dyDescent="0.25">
      <c r="A148" s="58" t="s">
        <v>361</v>
      </c>
      <c r="B148" s="75" t="s">
        <v>362</v>
      </c>
      <c r="C148" s="75" t="s">
        <v>359</v>
      </c>
      <c r="D148" s="75" t="s">
        <v>363</v>
      </c>
      <c r="E148" s="121"/>
      <c r="F148" s="121"/>
      <c r="G148" s="121"/>
      <c r="H148" s="85"/>
      <c r="I148" s="121">
        <v>378492</v>
      </c>
      <c r="J148" s="142">
        <v>378231.93</v>
      </c>
      <c r="K148" s="85">
        <f t="shared" si="77"/>
        <v>0.99931287847563488</v>
      </c>
      <c r="L148" s="142"/>
      <c r="M148" s="138"/>
      <c r="N148" s="113">
        <f t="shared" si="75"/>
        <v>378231.93</v>
      </c>
      <c r="O148" s="50"/>
      <c r="P148" s="37"/>
    </row>
    <row r="149" spans="1:16" ht="184.5" thickTop="1" thickBot="1" x14ac:dyDescent="0.25">
      <c r="A149" s="58" t="s">
        <v>364</v>
      </c>
      <c r="B149" s="75" t="s">
        <v>365</v>
      </c>
      <c r="C149" s="75" t="s">
        <v>359</v>
      </c>
      <c r="D149" s="75" t="s">
        <v>366</v>
      </c>
      <c r="E149" s="121">
        <f>5608100+3599000</f>
        <v>9207100</v>
      </c>
      <c r="F149" s="121">
        <v>12061700</v>
      </c>
      <c r="G149" s="121">
        <v>12047324.710000001</v>
      </c>
      <c r="H149" s="85">
        <f t="shared" si="76"/>
        <v>0.99880818707147423</v>
      </c>
      <c r="I149" s="121"/>
      <c r="J149" s="142"/>
      <c r="K149" s="142"/>
      <c r="L149" s="142"/>
      <c r="M149" s="138"/>
      <c r="N149" s="113">
        <f t="shared" si="75"/>
        <v>12047324.710000001</v>
      </c>
      <c r="O149" s="50"/>
      <c r="P149" s="37"/>
    </row>
    <row r="150" spans="1:16" ht="62.25" thickTop="1" thickBot="1" x14ac:dyDescent="0.25">
      <c r="A150" s="58"/>
      <c r="B150" s="75" t="s">
        <v>368</v>
      </c>
      <c r="C150" s="75" t="s">
        <v>359</v>
      </c>
      <c r="D150" s="75" t="s">
        <v>369</v>
      </c>
      <c r="E150" s="121">
        <f>8500000+343537055</f>
        <v>352037055</v>
      </c>
      <c r="F150" s="121">
        <v>335561217</v>
      </c>
      <c r="G150" s="121">
        <v>304609820.23000002</v>
      </c>
      <c r="H150" s="85">
        <f t="shared" si="76"/>
        <v>0.90776229432378064</v>
      </c>
      <c r="I150" s="113">
        <f>4305138+3465124</f>
        <v>7770262</v>
      </c>
      <c r="J150" s="121">
        <v>6676473.5800000001</v>
      </c>
      <c r="K150" s="85">
        <f t="shared" si="77"/>
        <v>0.8592340361238785</v>
      </c>
      <c r="L150" s="121"/>
      <c r="M150" s="138"/>
      <c r="N150" s="113">
        <f t="shared" si="75"/>
        <v>311286293.81</v>
      </c>
      <c r="O150" s="52"/>
      <c r="P150" s="37"/>
    </row>
    <row r="151" spans="1:16" ht="93" thickTop="1" thickBot="1" x14ac:dyDescent="0.25">
      <c r="A151" s="58"/>
      <c r="B151" s="76" t="s">
        <v>262</v>
      </c>
      <c r="C151" s="76"/>
      <c r="D151" s="76" t="s">
        <v>434</v>
      </c>
      <c r="E151" s="122">
        <f>SUM(E152:E154)</f>
        <v>63000</v>
      </c>
      <c r="F151" s="122">
        <f>SUM(F152:F154)</f>
        <v>63000</v>
      </c>
      <c r="G151" s="122">
        <f>SUM(G152:G154)</f>
        <v>63000</v>
      </c>
      <c r="H151" s="86">
        <f>G151/F151</f>
        <v>1</v>
      </c>
      <c r="I151" s="122">
        <f>SUM(I152:I154)</f>
        <v>10000000</v>
      </c>
      <c r="J151" s="122">
        <f>SUM(J152:J154)</f>
        <v>9627240.5199999996</v>
      </c>
      <c r="K151" s="86">
        <f>J151/I151</f>
        <v>0.962724052</v>
      </c>
      <c r="L151" s="122"/>
      <c r="M151" s="153"/>
      <c r="N151" s="114">
        <f>G151+J151</f>
        <v>9690240.5199999996</v>
      </c>
      <c r="O151" s="50"/>
      <c r="P151" s="37"/>
    </row>
    <row r="152" spans="1:16" ht="93" thickTop="1" thickBot="1" x14ac:dyDescent="0.25">
      <c r="A152" s="58" t="s">
        <v>367</v>
      </c>
      <c r="B152" s="75" t="s">
        <v>263</v>
      </c>
      <c r="C152" s="75" t="s">
        <v>264</v>
      </c>
      <c r="D152" s="75" t="s">
        <v>435</v>
      </c>
      <c r="E152" s="121"/>
      <c r="F152" s="121"/>
      <c r="G152" s="121"/>
      <c r="H152" s="85"/>
      <c r="I152" s="113">
        <v>10000000</v>
      </c>
      <c r="J152" s="121">
        <v>9627240.5199999996</v>
      </c>
      <c r="K152" s="85">
        <f>J152/I152</f>
        <v>0.962724052</v>
      </c>
      <c r="L152" s="121"/>
      <c r="M152" s="138"/>
      <c r="N152" s="113">
        <f t="shared" si="75"/>
        <v>9627240.5199999996</v>
      </c>
      <c r="O152" s="50"/>
      <c r="P152" s="30"/>
    </row>
    <row r="153" spans="1:16" ht="409.6" hidden="1" customHeight="1" thickTop="1" thickBot="1" x14ac:dyDescent="0.25">
      <c r="A153" s="58"/>
      <c r="B153" s="75" t="s">
        <v>495</v>
      </c>
      <c r="C153" s="75" t="s">
        <v>264</v>
      </c>
      <c r="D153" s="75" t="s">
        <v>496</v>
      </c>
      <c r="E153" s="121"/>
      <c r="F153" s="121"/>
      <c r="G153" s="121"/>
      <c r="H153" s="85" t="e">
        <f t="shared" si="76"/>
        <v>#DIV/0!</v>
      </c>
      <c r="I153" s="113">
        <v>0</v>
      </c>
      <c r="J153" s="121">
        <v>0</v>
      </c>
      <c r="K153" s="85" t="e">
        <f t="shared" si="77"/>
        <v>#DIV/0!</v>
      </c>
      <c r="L153" s="121"/>
      <c r="M153" s="138"/>
      <c r="N153" s="113">
        <f t="shared" si="75"/>
        <v>0</v>
      </c>
      <c r="P153" s="30"/>
    </row>
    <row r="154" spans="1:16" ht="184.5" thickTop="1" thickBot="1" x14ac:dyDescent="0.25">
      <c r="A154" s="58"/>
      <c r="B154" s="128" t="s">
        <v>348</v>
      </c>
      <c r="C154" s="128" t="s">
        <v>264</v>
      </c>
      <c r="D154" s="75" t="s">
        <v>349</v>
      </c>
      <c r="E154" s="121">
        <v>63000</v>
      </c>
      <c r="F154" s="121">
        <v>63000</v>
      </c>
      <c r="G154" s="113">
        <v>63000</v>
      </c>
      <c r="H154" s="85">
        <f t="shared" si="76"/>
        <v>1</v>
      </c>
      <c r="I154" s="113"/>
      <c r="J154" s="113"/>
      <c r="K154" s="113"/>
      <c r="L154" s="113"/>
      <c r="M154" s="138"/>
      <c r="N154" s="113">
        <f t="shared" si="75"/>
        <v>63000</v>
      </c>
      <c r="O154" s="164"/>
      <c r="P154" s="165"/>
    </row>
    <row r="155" spans="1:16" ht="93" thickTop="1" thickBot="1" x14ac:dyDescent="0.25">
      <c r="A155" s="58"/>
      <c r="B155" s="75" t="s">
        <v>508</v>
      </c>
      <c r="C155" s="75" t="s">
        <v>509</v>
      </c>
      <c r="D155" s="75" t="s">
        <v>510</v>
      </c>
      <c r="E155" s="121">
        <f>5000000+4049585</f>
        <v>9049585</v>
      </c>
      <c r="F155" s="121">
        <v>7149585</v>
      </c>
      <c r="G155" s="113">
        <v>6542772.3899999997</v>
      </c>
      <c r="H155" s="85">
        <f t="shared" si="76"/>
        <v>0.91512617725364476</v>
      </c>
      <c r="I155" s="113"/>
      <c r="J155" s="113"/>
      <c r="K155" s="113"/>
      <c r="L155" s="113"/>
      <c r="M155" s="138"/>
      <c r="N155" s="113">
        <f t="shared" si="75"/>
        <v>6542772.3899999997</v>
      </c>
      <c r="O155" s="164"/>
      <c r="P155" s="165"/>
    </row>
    <row r="156" spans="1:16" s="38" customFormat="1" ht="101.25" customHeight="1" thickTop="1" thickBot="1" x14ac:dyDescent="0.25">
      <c r="A156" s="60" t="s">
        <v>370</v>
      </c>
      <c r="B156" s="77" t="s">
        <v>31</v>
      </c>
      <c r="C156" s="77"/>
      <c r="D156" s="78" t="s">
        <v>371</v>
      </c>
      <c r="E156" s="79">
        <f>E157+E159+E172+E180+E183</f>
        <v>224357819.47999999</v>
      </c>
      <c r="F156" s="79">
        <f>F157+F159+F172+F180+F183</f>
        <v>208397400.47999999</v>
      </c>
      <c r="G156" s="79">
        <f>G157+G159+G172+G180+G183</f>
        <v>198510404.06999993</v>
      </c>
      <c r="H156" s="80">
        <f>G156/F156</f>
        <v>0.95255700701051249</v>
      </c>
      <c r="I156" s="79">
        <f>I157+I159+I172+I180+I183</f>
        <v>682710642.03999996</v>
      </c>
      <c r="J156" s="79">
        <f>J157+J159+J172+J180+J183</f>
        <v>592159782.75999999</v>
      </c>
      <c r="K156" s="80">
        <f>J156/I156</f>
        <v>0.867365683638055</v>
      </c>
      <c r="L156" s="79"/>
      <c r="M156" s="79"/>
      <c r="N156" s="81">
        <f>J156+G156</f>
        <v>790670186.82999992</v>
      </c>
      <c r="O156" s="53" t="b">
        <f>N156=N158+N160+N162+N163+N165+N166+N167+N171+N176+N179+N181+N184+N186+N187+N188+N189+N190+N191+N193+N195+N174+N164+N168</f>
        <v>1</v>
      </c>
      <c r="P156" s="51"/>
    </row>
    <row r="157" spans="1:16" s="38" customFormat="1" ht="91.5" thickTop="1" thickBot="1" x14ac:dyDescent="0.25">
      <c r="A157" s="82"/>
      <c r="B157" s="129" t="s">
        <v>414</v>
      </c>
      <c r="C157" s="129"/>
      <c r="D157" s="129" t="s">
        <v>415</v>
      </c>
      <c r="E157" s="130">
        <f>SUM(E158)</f>
        <v>190000</v>
      </c>
      <c r="F157" s="130">
        <f>SUM(F158)</f>
        <v>190000</v>
      </c>
      <c r="G157" s="130">
        <f>SUM(G158)</f>
        <v>189131.12</v>
      </c>
      <c r="H157" s="131">
        <f>G157/F157</f>
        <v>0.99542694736842108</v>
      </c>
      <c r="I157" s="130">
        <f>SUM(I158)</f>
        <v>1210000</v>
      </c>
      <c r="J157" s="130">
        <f t="shared" ref="J157" si="78">SUM(J158)</f>
        <v>263200</v>
      </c>
      <c r="K157" s="131">
        <f t="shared" ref="K157:K159" si="79">J157/I157</f>
        <v>0.21752066115702479</v>
      </c>
      <c r="L157" s="130"/>
      <c r="M157" s="130"/>
      <c r="N157" s="130">
        <f t="shared" si="75"/>
        <v>452331.12</v>
      </c>
      <c r="O157" s="39"/>
      <c r="P157" s="51"/>
    </row>
    <row r="158" spans="1:16" s="38" customFormat="1" ht="48" thickTop="1" thickBot="1" x14ac:dyDescent="0.25">
      <c r="A158" s="82"/>
      <c r="B158" s="75" t="s">
        <v>416</v>
      </c>
      <c r="C158" s="75" t="s">
        <v>417</v>
      </c>
      <c r="D158" s="75" t="s">
        <v>418</v>
      </c>
      <c r="E158" s="113">
        <v>190000</v>
      </c>
      <c r="F158" s="113">
        <v>190000</v>
      </c>
      <c r="G158" s="113">
        <v>189131.12</v>
      </c>
      <c r="H158" s="85">
        <f t="shared" ref="H158" si="80">G158/F158</f>
        <v>0.99542694736842108</v>
      </c>
      <c r="I158" s="113">
        <v>1210000</v>
      </c>
      <c r="J158" s="113">
        <v>263200</v>
      </c>
      <c r="K158" s="85">
        <f>J158/I158</f>
        <v>0.21752066115702479</v>
      </c>
      <c r="L158" s="113"/>
      <c r="M158" s="138"/>
      <c r="N158" s="113">
        <f t="shared" si="75"/>
        <v>452331.12</v>
      </c>
      <c r="O158" s="39"/>
      <c r="P158" s="51"/>
    </row>
    <row r="159" spans="1:16" s="38" customFormat="1" ht="62.25" thickTop="1" thickBot="1" x14ac:dyDescent="0.25">
      <c r="A159" s="82"/>
      <c r="B159" s="129" t="s">
        <v>265</v>
      </c>
      <c r="C159" s="129"/>
      <c r="D159" s="129" t="s">
        <v>266</v>
      </c>
      <c r="E159" s="132">
        <f>SUM(E160:E171)-E161-E169</f>
        <v>50000</v>
      </c>
      <c r="F159" s="132">
        <f>SUM(F160:F171)-F161-F169</f>
        <v>50000</v>
      </c>
      <c r="G159" s="132">
        <f>SUM(G160:G171)-G161-G169</f>
        <v>26000</v>
      </c>
      <c r="H159" s="131">
        <f>G159/F159</f>
        <v>0.52</v>
      </c>
      <c r="I159" s="132">
        <f>SUM(I160:I171)-I161-I169</f>
        <v>160663782.66</v>
      </c>
      <c r="J159" s="132">
        <f>SUM(J160:J171)-J161-J169</f>
        <v>116590758.28999999</v>
      </c>
      <c r="K159" s="131">
        <f t="shared" si="79"/>
        <v>0.7256816462284581</v>
      </c>
      <c r="L159" s="132"/>
      <c r="M159" s="132"/>
      <c r="N159" s="130">
        <f>G159+J159</f>
        <v>116616758.28999999</v>
      </c>
      <c r="O159" s="164"/>
      <c r="P159" s="165"/>
    </row>
    <row r="160" spans="1:16" s="38" customFormat="1" ht="93" customHeight="1" thickTop="1" thickBot="1" x14ac:dyDescent="0.25">
      <c r="A160" s="82"/>
      <c r="B160" s="75" t="s">
        <v>380</v>
      </c>
      <c r="C160" s="75" t="s">
        <v>268</v>
      </c>
      <c r="D160" s="75" t="s">
        <v>525</v>
      </c>
      <c r="E160" s="121"/>
      <c r="F160" s="121"/>
      <c r="G160" s="121"/>
      <c r="H160" s="121"/>
      <c r="I160" s="113">
        <f>4056835+2130164+4500000</f>
        <v>10686999</v>
      </c>
      <c r="J160" s="121">
        <v>5432296.5999999996</v>
      </c>
      <c r="K160" s="85">
        <f>J160/I160</f>
        <v>0.50830889008223912</v>
      </c>
      <c r="L160" s="121"/>
      <c r="M160" s="138"/>
      <c r="N160" s="113">
        <f t="shared" si="75"/>
        <v>5432296.5999999996</v>
      </c>
      <c r="O160" s="39"/>
      <c r="P160" s="51"/>
    </row>
    <row r="161" spans="1:16" s="38" customFormat="1" ht="93" thickTop="1" thickBot="1" x14ac:dyDescent="0.25">
      <c r="A161" s="60"/>
      <c r="B161" s="76" t="s">
        <v>267</v>
      </c>
      <c r="C161" s="76"/>
      <c r="D161" s="76" t="s">
        <v>526</v>
      </c>
      <c r="E161" s="114"/>
      <c r="F161" s="114"/>
      <c r="G161" s="114"/>
      <c r="H161" s="86"/>
      <c r="I161" s="114">
        <f>SUM(I162:I166)</f>
        <v>103181098.66</v>
      </c>
      <c r="J161" s="114">
        <f>SUM(J162:J166)</f>
        <v>70236697.439999998</v>
      </c>
      <c r="K161" s="86">
        <f t="shared" ref="K161:K162" si="81">J161/I161</f>
        <v>0.68071282775775011</v>
      </c>
      <c r="L161" s="114"/>
      <c r="M161" s="114"/>
      <c r="N161" s="114">
        <f t="shared" si="75"/>
        <v>70236697.439999998</v>
      </c>
      <c r="O161" s="39"/>
      <c r="P161" s="51"/>
    </row>
    <row r="162" spans="1:16" s="38" customFormat="1" ht="48" thickTop="1" thickBot="1" x14ac:dyDescent="0.25">
      <c r="A162" s="60"/>
      <c r="B162" s="75" t="s">
        <v>396</v>
      </c>
      <c r="C162" s="75" t="s">
        <v>268</v>
      </c>
      <c r="D162" s="75" t="s">
        <v>527</v>
      </c>
      <c r="E162" s="113"/>
      <c r="F162" s="113"/>
      <c r="G162" s="113"/>
      <c r="H162" s="113"/>
      <c r="I162" s="113">
        <f>31498395.66+46733650</f>
        <v>78232045.659999996</v>
      </c>
      <c r="J162" s="113">
        <v>47353416.890000001</v>
      </c>
      <c r="K162" s="85">
        <f t="shared" si="81"/>
        <v>0.60529437125804031</v>
      </c>
      <c r="L162" s="113"/>
      <c r="M162" s="138"/>
      <c r="N162" s="113">
        <f t="shared" si="75"/>
        <v>47353416.890000001</v>
      </c>
      <c r="O162" s="39"/>
      <c r="P162" s="51"/>
    </row>
    <row r="163" spans="1:16" s="38" customFormat="1" ht="48" thickTop="1" thickBot="1" x14ac:dyDescent="0.25">
      <c r="A163" s="60"/>
      <c r="B163" s="75" t="s">
        <v>519</v>
      </c>
      <c r="C163" s="75" t="s">
        <v>268</v>
      </c>
      <c r="D163" s="75" t="s">
        <v>528</v>
      </c>
      <c r="E163" s="113"/>
      <c r="F163" s="113"/>
      <c r="G163" s="113"/>
      <c r="H163" s="113"/>
      <c r="I163" s="113">
        <v>24670053</v>
      </c>
      <c r="J163" s="113">
        <v>22605262.550000001</v>
      </c>
      <c r="K163" s="85">
        <f t="shared" ref="K163:K164" si="82">J163/I163</f>
        <v>0.91630376918930823</v>
      </c>
      <c r="L163" s="113"/>
      <c r="M163" s="138"/>
      <c r="N163" s="113">
        <f t="shared" ref="N163" si="83">G163+J163</f>
        <v>22605262.550000001</v>
      </c>
      <c r="O163" s="39"/>
      <c r="P163" s="51"/>
    </row>
    <row r="164" spans="1:16" s="38" customFormat="1" ht="93" thickTop="1" thickBot="1" x14ac:dyDescent="0.25">
      <c r="A164" s="60"/>
      <c r="B164" s="75" t="s">
        <v>448</v>
      </c>
      <c r="C164" s="75" t="s">
        <v>268</v>
      </c>
      <c r="D164" s="75" t="s">
        <v>523</v>
      </c>
      <c r="E164" s="113"/>
      <c r="F164" s="113"/>
      <c r="G164" s="113"/>
      <c r="H164" s="113"/>
      <c r="I164" s="113">
        <v>29000</v>
      </c>
      <c r="J164" s="113">
        <v>28018</v>
      </c>
      <c r="K164" s="85">
        <f t="shared" si="82"/>
        <v>0.96613793103448276</v>
      </c>
      <c r="L164" s="113"/>
      <c r="M164" s="138"/>
      <c r="N164" s="113">
        <f t="shared" si="75"/>
        <v>28018</v>
      </c>
      <c r="O164" s="50"/>
      <c r="P164" s="51"/>
    </row>
    <row r="165" spans="1:16" s="38" customFormat="1" ht="48" thickTop="1" thickBot="1" x14ac:dyDescent="0.25">
      <c r="A165" s="60"/>
      <c r="B165" s="75" t="s">
        <v>397</v>
      </c>
      <c r="C165" s="75" t="s">
        <v>268</v>
      </c>
      <c r="D165" s="75" t="s">
        <v>529</v>
      </c>
      <c r="E165" s="113"/>
      <c r="F165" s="113"/>
      <c r="G165" s="113"/>
      <c r="H165" s="113"/>
      <c r="I165" s="113">
        <v>250000</v>
      </c>
      <c r="J165" s="113">
        <v>250000</v>
      </c>
      <c r="K165" s="85">
        <f t="shared" ref="K165" si="84">J165/I165</f>
        <v>1</v>
      </c>
      <c r="L165" s="113"/>
      <c r="M165" s="138"/>
      <c r="N165" s="113">
        <f t="shared" ref="N165" si="85">G165+J165</f>
        <v>250000</v>
      </c>
      <c r="O165" s="39"/>
      <c r="P165" s="51"/>
    </row>
    <row r="166" spans="1:16" s="38" customFormat="1" ht="93" hidden="1" thickTop="1" thickBot="1" x14ac:dyDescent="0.25">
      <c r="A166" s="82"/>
      <c r="B166" s="75" t="s">
        <v>520</v>
      </c>
      <c r="C166" s="75" t="s">
        <v>268</v>
      </c>
      <c r="D166" s="75" t="s">
        <v>524</v>
      </c>
      <c r="E166" s="113"/>
      <c r="F166" s="113"/>
      <c r="G166" s="113"/>
      <c r="H166" s="113"/>
      <c r="I166" s="113">
        <v>0</v>
      </c>
      <c r="J166" s="113">
        <v>0</v>
      </c>
      <c r="K166" s="85" t="e">
        <f t="shared" ref="K166:K172" si="86">J166/I166</f>
        <v>#DIV/0!</v>
      </c>
      <c r="L166" s="113"/>
      <c r="M166" s="138"/>
      <c r="N166" s="113">
        <f t="shared" si="75"/>
        <v>0</v>
      </c>
      <c r="O166" s="39"/>
      <c r="P166" s="51"/>
    </row>
    <row r="167" spans="1:16" s="38" customFormat="1" ht="93" thickTop="1" thickBot="1" x14ac:dyDescent="0.25">
      <c r="A167" s="8"/>
      <c r="B167" s="75" t="s">
        <v>398</v>
      </c>
      <c r="C167" s="75" t="s">
        <v>268</v>
      </c>
      <c r="D167" s="75" t="s">
        <v>530</v>
      </c>
      <c r="E167" s="113"/>
      <c r="F167" s="113"/>
      <c r="G167" s="113"/>
      <c r="H167" s="113"/>
      <c r="I167" s="113">
        <v>45345685</v>
      </c>
      <c r="J167" s="113">
        <v>39471764.25</v>
      </c>
      <c r="K167" s="85">
        <f t="shared" si="86"/>
        <v>0.87046351268042377</v>
      </c>
      <c r="L167" s="113"/>
      <c r="M167" s="138"/>
      <c r="N167" s="113">
        <f t="shared" si="75"/>
        <v>39471764.25</v>
      </c>
      <c r="O167" s="39"/>
      <c r="P167" s="51"/>
    </row>
    <row r="168" spans="1:16" s="38" customFormat="1" ht="93" thickTop="1" thickBot="1" x14ac:dyDescent="0.25">
      <c r="A168" s="82"/>
      <c r="B168" s="75" t="s">
        <v>449</v>
      </c>
      <c r="C168" s="75" t="s">
        <v>268</v>
      </c>
      <c r="D168" s="75" t="s">
        <v>450</v>
      </c>
      <c r="E168" s="113"/>
      <c r="F168" s="113"/>
      <c r="G168" s="113"/>
      <c r="H168" s="113"/>
      <c r="I168" s="113">
        <v>1450000</v>
      </c>
      <c r="J168" s="113">
        <v>1450000</v>
      </c>
      <c r="K168" s="85">
        <f t="shared" si="86"/>
        <v>1</v>
      </c>
      <c r="L168" s="113"/>
      <c r="M168" s="138"/>
      <c r="N168" s="113">
        <f t="shared" si="75"/>
        <v>1450000</v>
      </c>
      <c r="O168" s="39"/>
      <c r="P168" s="51"/>
    </row>
    <row r="169" spans="1:16" s="38" customFormat="1" ht="244.5" hidden="1" thickTop="1" thickBot="1" x14ac:dyDescent="0.25">
      <c r="A169" s="82"/>
      <c r="B169" s="76" t="s">
        <v>497</v>
      </c>
      <c r="C169" s="76"/>
      <c r="D169" s="76" t="s">
        <v>499</v>
      </c>
      <c r="E169" s="114">
        <f>E170</f>
        <v>0</v>
      </c>
      <c r="F169" s="114">
        <f>F170</f>
        <v>0</v>
      </c>
      <c r="G169" s="114">
        <f t="shared" ref="G169" si="87">G170</f>
        <v>0</v>
      </c>
      <c r="H169" s="86"/>
      <c r="I169" s="114">
        <f>I170</f>
        <v>0</v>
      </c>
      <c r="J169" s="114">
        <f>J170</f>
        <v>0</v>
      </c>
      <c r="K169" s="85" t="e">
        <f t="shared" si="86"/>
        <v>#DIV/0!</v>
      </c>
      <c r="L169" s="114"/>
      <c r="M169" s="114"/>
      <c r="N169" s="114">
        <f t="shared" si="75"/>
        <v>0</v>
      </c>
      <c r="O169" s="50" t="s">
        <v>433</v>
      </c>
      <c r="P169" s="51"/>
    </row>
    <row r="170" spans="1:16" s="38" customFormat="1" ht="138.75" hidden="1" thickTop="1" thickBot="1" x14ac:dyDescent="0.25">
      <c r="A170" s="82"/>
      <c r="B170" s="75" t="s">
        <v>498</v>
      </c>
      <c r="C170" s="75" t="s">
        <v>39</v>
      </c>
      <c r="D170" s="75" t="s">
        <v>500</v>
      </c>
      <c r="E170" s="113"/>
      <c r="F170" s="113"/>
      <c r="G170" s="113"/>
      <c r="H170" s="113"/>
      <c r="I170" s="113"/>
      <c r="J170" s="113">
        <v>0</v>
      </c>
      <c r="K170" s="85" t="e">
        <f t="shared" si="86"/>
        <v>#DIV/0!</v>
      </c>
      <c r="L170" s="113"/>
      <c r="M170" s="138"/>
      <c r="N170" s="113">
        <f t="shared" si="75"/>
        <v>0</v>
      </c>
      <c r="O170" s="39"/>
      <c r="P170" s="51"/>
    </row>
    <row r="171" spans="1:16" s="38" customFormat="1" ht="93" thickTop="1" thickBot="1" x14ac:dyDescent="0.25">
      <c r="A171" s="82"/>
      <c r="B171" s="75" t="s">
        <v>399</v>
      </c>
      <c r="C171" s="75" t="s">
        <v>39</v>
      </c>
      <c r="D171" s="75" t="s">
        <v>400</v>
      </c>
      <c r="E171" s="113">
        <v>50000</v>
      </c>
      <c r="F171" s="113">
        <v>50000</v>
      </c>
      <c r="G171" s="113">
        <v>26000</v>
      </c>
      <c r="H171" s="85">
        <f>G171/F171</f>
        <v>0.52</v>
      </c>
      <c r="I171" s="113"/>
      <c r="J171" s="113"/>
      <c r="K171" s="85"/>
      <c r="L171" s="113"/>
      <c r="M171" s="138"/>
      <c r="N171" s="113">
        <f>G171+J171</f>
        <v>26000</v>
      </c>
      <c r="O171" s="164"/>
      <c r="P171" s="165"/>
    </row>
    <row r="172" spans="1:16" s="38" customFormat="1" ht="91.5" thickTop="1" thickBot="1" x14ac:dyDescent="0.25">
      <c r="A172" s="57"/>
      <c r="B172" s="129" t="s">
        <v>381</v>
      </c>
      <c r="C172" s="129"/>
      <c r="D172" s="129" t="s">
        <v>382</v>
      </c>
      <c r="E172" s="130">
        <f>SUM(E173:E179)-E175-E178-E173</f>
        <v>199588761</v>
      </c>
      <c r="F172" s="130">
        <f>SUM(F173:F179)-F175-F178-F173</f>
        <v>179478342</v>
      </c>
      <c r="G172" s="130">
        <f>SUM(G173:G179)-G175-G178-G173</f>
        <v>173401872.52999994</v>
      </c>
      <c r="H172" s="131">
        <f t="shared" ref="H172" si="88">G172/F172</f>
        <v>0.96614371738513127</v>
      </c>
      <c r="I172" s="130">
        <f>SUM(I173:I179)-I175-I178-I173</f>
        <v>59174880</v>
      </c>
      <c r="J172" s="130">
        <f>SUM(J173:J179)-J175-J178-J173</f>
        <v>50505237.520000003</v>
      </c>
      <c r="K172" s="131">
        <f t="shared" si="86"/>
        <v>0.85349116922586077</v>
      </c>
      <c r="L172" s="130"/>
      <c r="M172" s="130"/>
      <c r="N172" s="130">
        <f>G172+J172</f>
        <v>223907110.04999995</v>
      </c>
      <c r="O172" s="39"/>
      <c r="P172" s="51"/>
    </row>
    <row r="173" spans="1:16" s="38" customFormat="1" ht="93" thickTop="1" thickBot="1" x14ac:dyDescent="0.25">
      <c r="A173" s="57"/>
      <c r="B173" s="76" t="s">
        <v>465</v>
      </c>
      <c r="C173" s="76"/>
      <c r="D173" s="76" t="s">
        <v>466</v>
      </c>
      <c r="E173" s="114">
        <f>E174</f>
        <v>505540</v>
      </c>
      <c r="F173" s="114">
        <f>F174</f>
        <v>505540</v>
      </c>
      <c r="G173" s="114">
        <f>G174</f>
        <v>158918.03</v>
      </c>
      <c r="H173" s="86">
        <f t="shared" ref="H173:H188" si="89">G173/F173</f>
        <v>0.31435302844483126</v>
      </c>
      <c r="I173" s="114">
        <f>I174</f>
        <v>0</v>
      </c>
      <c r="J173" s="114">
        <f>J174</f>
        <v>0</v>
      </c>
      <c r="K173" s="86">
        <v>0</v>
      </c>
      <c r="L173" s="114"/>
      <c r="M173" s="114"/>
      <c r="N173" s="114">
        <f t="shared" si="75"/>
        <v>158918.03</v>
      </c>
      <c r="O173" s="164" t="s">
        <v>433</v>
      </c>
      <c r="P173" s="165"/>
    </row>
    <row r="174" spans="1:16" s="38" customFormat="1" ht="48" thickTop="1" thickBot="1" x14ac:dyDescent="0.25">
      <c r="A174" s="57"/>
      <c r="B174" s="75" t="s">
        <v>467</v>
      </c>
      <c r="C174" s="75" t="s">
        <v>468</v>
      </c>
      <c r="D174" s="75" t="s">
        <v>469</v>
      </c>
      <c r="E174" s="113">
        <v>505540</v>
      </c>
      <c r="F174" s="113">
        <v>505540</v>
      </c>
      <c r="G174" s="113">
        <v>158918.03</v>
      </c>
      <c r="H174" s="85">
        <f>G174/F174</f>
        <v>0.31435302844483126</v>
      </c>
      <c r="I174" s="113"/>
      <c r="J174" s="113"/>
      <c r="K174" s="113"/>
      <c r="L174" s="113"/>
      <c r="M174" s="138"/>
      <c r="N174" s="113">
        <f t="shared" si="75"/>
        <v>158918.03</v>
      </c>
      <c r="O174" s="39"/>
      <c r="P174" s="51"/>
    </row>
    <row r="175" spans="1:16" s="38" customFormat="1" ht="93" thickTop="1" thickBot="1" x14ac:dyDescent="0.25">
      <c r="A175" s="57"/>
      <c r="B175" s="76" t="s">
        <v>401</v>
      </c>
      <c r="C175" s="76"/>
      <c r="D175" s="76" t="s">
        <v>402</v>
      </c>
      <c r="E175" s="114">
        <f>E176</f>
        <v>136783221</v>
      </c>
      <c r="F175" s="114">
        <f t="shared" ref="F175:G175" si="90">F176</f>
        <v>141437420</v>
      </c>
      <c r="G175" s="114">
        <f t="shared" si="90"/>
        <v>138536926.59999999</v>
      </c>
      <c r="H175" s="85">
        <f t="shared" si="89"/>
        <v>0.97949274385802565</v>
      </c>
      <c r="I175" s="114"/>
      <c r="J175" s="114"/>
      <c r="K175" s="86"/>
      <c r="L175" s="114"/>
      <c r="M175" s="114"/>
      <c r="N175" s="114">
        <f t="shared" si="75"/>
        <v>138536926.59999999</v>
      </c>
      <c r="O175" s="50"/>
      <c r="P175" s="51"/>
    </row>
    <row r="176" spans="1:16" s="38" customFormat="1" ht="48" thickTop="1" thickBot="1" x14ac:dyDescent="0.25">
      <c r="A176" s="57"/>
      <c r="B176" s="75" t="s">
        <v>403</v>
      </c>
      <c r="C176" s="75" t="s">
        <v>404</v>
      </c>
      <c r="D176" s="75" t="s">
        <v>405</v>
      </c>
      <c r="E176" s="113">
        <v>136783221</v>
      </c>
      <c r="F176" s="113">
        <v>141437420</v>
      </c>
      <c r="G176" s="113">
        <v>138536926.59999999</v>
      </c>
      <c r="H176" s="85">
        <f t="shared" si="89"/>
        <v>0.97949274385802565</v>
      </c>
      <c r="I176" s="113"/>
      <c r="J176" s="113"/>
      <c r="K176" s="113"/>
      <c r="L176" s="113"/>
      <c r="M176" s="138"/>
      <c r="N176" s="113">
        <f t="shared" si="75"/>
        <v>138536926.59999999</v>
      </c>
      <c r="O176" s="39"/>
      <c r="P176" s="51"/>
    </row>
    <row r="177" spans="1:16" s="38" customFormat="1" ht="62.25" hidden="1" thickTop="1" thickBot="1" x14ac:dyDescent="0.25">
      <c r="A177" s="57"/>
      <c r="B177" s="94" t="s">
        <v>511</v>
      </c>
      <c r="C177" s="94" t="s">
        <v>384</v>
      </c>
      <c r="D177" s="94" t="s">
        <v>512</v>
      </c>
      <c r="E177" s="95">
        <v>0</v>
      </c>
      <c r="F177" s="95">
        <v>0</v>
      </c>
      <c r="G177" s="95">
        <v>0</v>
      </c>
      <c r="H177" s="93" t="e">
        <f t="shared" si="89"/>
        <v>#DIV/0!</v>
      </c>
      <c r="I177" s="113"/>
      <c r="J177" s="113"/>
      <c r="K177" s="113"/>
      <c r="L177" s="113"/>
      <c r="M177" s="138"/>
      <c r="N177" s="113">
        <f t="shared" si="75"/>
        <v>0</v>
      </c>
      <c r="O177" s="50"/>
      <c r="P177" s="51"/>
    </row>
    <row r="178" spans="1:16" s="38" customFormat="1" ht="93" thickTop="1" thickBot="1" x14ac:dyDescent="0.25">
      <c r="A178" s="57"/>
      <c r="B178" s="76" t="s">
        <v>446</v>
      </c>
      <c r="C178" s="76"/>
      <c r="D178" s="76" t="s">
        <v>447</v>
      </c>
      <c r="E178" s="114">
        <f>E179</f>
        <v>62300000</v>
      </c>
      <c r="F178" s="114">
        <f>F179</f>
        <v>37535382</v>
      </c>
      <c r="G178" s="114">
        <f>G179</f>
        <v>34706027.899999999</v>
      </c>
      <c r="H178" s="86">
        <f t="shared" si="89"/>
        <v>0.92462167828743558</v>
      </c>
      <c r="I178" s="114">
        <f>I179</f>
        <v>59174880</v>
      </c>
      <c r="J178" s="114">
        <f>J179</f>
        <v>50505237.520000003</v>
      </c>
      <c r="K178" s="86">
        <f t="shared" ref="K178:K179" si="91">J178/I178</f>
        <v>0.85349116922586077</v>
      </c>
      <c r="L178" s="114"/>
      <c r="M178" s="153"/>
      <c r="N178" s="114">
        <f t="shared" si="75"/>
        <v>85211265.420000002</v>
      </c>
      <c r="O178" s="39"/>
      <c r="P178" s="51"/>
    </row>
    <row r="179" spans="1:16" s="38" customFormat="1" ht="138.75" thickTop="1" thickBot="1" x14ac:dyDescent="0.25">
      <c r="A179" s="8"/>
      <c r="B179" s="75" t="s">
        <v>383</v>
      </c>
      <c r="C179" s="75" t="s">
        <v>384</v>
      </c>
      <c r="D179" s="75" t="s">
        <v>385</v>
      </c>
      <c r="E179" s="121">
        <v>62300000</v>
      </c>
      <c r="F179" s="121">
        <v>37535382</v>
      </c>
      <c r="G179" s="121">
        <v>34706027.899999999</v>
      </c>
      <c r="H179" s="85">
        <f t="shared" si="89"/>
        <v>0.92462167828743558</v>
      </c>
      <c r="I179" s="121">
        <v>59174880</v>
      </c>
      <c r="J179" s="142">
        <v>50505237.520000003</v>
      </c>
      <c r="K179" s="85">
        <f t="shared" si="91"/>
        <v>0.85349116922586077</v>
      </c>
      <c r="L179" s="142"/>
      <c r="M179" s="138"/>
      <c r="N179" s="113">
        <f t="shared" si="75"/>
        <v>85211265.420000002</v>
      </c>
      <c r="O179" s="50"/>
      <c r="P179" s="51"/>
    </row>
    <row r="180" spans="1:16" s="38" customFormat="1" ht="47.25" thickTop="1" thickBot="1" x14ac:dyDescent="0.25">
      <c r="A180" s="8"/>
      <c r="B180" s="129" t="s">
        <v>32</v>
      </c>
      <c r="C180" s="8"/>
      <c r="D180" s="129" t="s">
        <v>33</v>
      </c>
      <c r="E180" s="132">
        <f>E181+E182</f>
        <v>5063364.9800000004</v>
      </c>
      <c r="F180" s="132">
        <f>F181+F182</f>
        <v>5063364.9800000004</v>
      </c>
      <c r="G180" s="132">
        <f>G181+G182</f>
        <v>5063009.1399999997</v>
      </c>
      <c r="H180" s="131">
        <f t="shared" si="89"/>
        <v>0.99992972262489344</v>
      </c>
      <c r="I180" s="132">
        <f>I181+I182</f>
        <v>2235000</v>
      </c>
      <c r="J180" s="132">
        <f>J181+J182</f>
        <v>2228201</v>
      </c>
      <c r="K180" s="131">
        <f>J180/I180</f>
        <v>0.99695794183445186</v>
      </c>
      <c r="L180" s="144"/>
      <c r="M180" s="144"/>
      <c r="N180" s="130">
        <f>G180+J180</f>
        <v>7291210.1399999997</v>
      </c>
      <c r="O180" s="39"/>
      <c r="P180" s="51"/>
    </row>
    <row r="181" spans="1:16" s="38" customFormat="1" ht="48" thickTop="1" thickBot="1" x14ac:dyDescent="0.25">
      <c r="A181" s="8"/>
      <c r="B181" s="75" t="s">
        <v>34</v>
      </c>
      <c r="C181" s="75" t="s">
        <v>501</v>
      </c>
      <c r="D181" s="75" t="s">
        <v>35</v>
      </c>
      <c r="E181" s="121">
        <v>5063364.9800000004</v>
      </c>
      <c r="F181" s="121">
        <v>5063364.9800000004</v>
      </c>
      <c r="G181" s="121">
        <v>5063009.1399999997</v>
      </c>
      <c r="H181" s="85">
        <f t="shared" si="89"/>
        <v>0.99992972262489344</v>
      </c>
      <c r="I181" s="121">
        <v>2235000</v>
      </c>
      <c r="J181" s="121">
        <v>2228201</v>
      </c>
      <c r="K181" s="85">
        <f>J181/I181</f>
        <v>0.99695794183445186</v>
      </c>
      <c r="L181" s="144"/>
      <c r="M181" s="144"/>
      <c r="N181" s="113">
        <f t="shared" si="75"/>
        <v>7291210.1399999997</v>
      </c>
      <c r="O181" s="39"/>
      <c r="P181" s="51"/>
    </row>
    <row r="182" spans="1:16" s="38" customFormat="1" ht="244.5" hidden="1" customHeight="1" thickTop="1" thickBot="1" x14ac:dyDescent="0.25">
      <c r="A182" s="57"/>
      <c r="B182" s="58" t="s">
        <v>451</v>
      </c>
      <c r="C182" s="58" t="s">
        <v>501</v>
      </c>
      <c r="D182" s="58" t="s">
        <v>452</v>
      </c>
      <c r="E182" s="133"/>
      <c r="F182" s="133"/>
      <c r="G182" s="133"/>
      <c r="H182" s="85" t="e">
        <f t="shared" si="89"/>
        <v>#DIV/0!</v>
      </c>
      <c r="I182" s="109">
        <v>0</v>
      </c>
      <c r="J182" s="133">
        <v>0</v>
      </c>
      <c r="K182" s="103">
        <v>0</v>
      </c>
      <c r="L182" s="111"/>
      <c r="M182" s="111"/>
      <c r="N182" s="102">
        <f t="shared" si="75"/>
        <v>0</v>
      </c>
      <c r="O182" s="50" t="s">
        <v>433</v>
      </c>
      <c r="P182" s="51"/>
    </row>
    <row r="183" spans="1:16" s="38" customFormat="1" ht="91.5" thickTop="1" thickBot="1" x14ac:dyDescent="0.25">
      <c r="A183" s="57"/>
      <c r="B183" s="129" t="s">
        <v>36</v>
      </c>
      <c r="C183" s="8"/>
      <c r="D183" s="129" t="s">
        <v>37</v>
      </c>
      <c r="E183" s="132">
        <f>SUM(E184:E195)-E192-E185</f>
        <v>19465693.5</v>
      </c>
      <c r="F183" s="132">
        <f>SUM(F184:F195)-F192-F185</f>
        <v>23615693.5</v>
      </c>
      <c r="G183" s="132">
        <f>SUM(G184:G195)-G192-G185</f>
        <v>19830391.280000001</v>
      </c>
      <c r="H183" s="131">
        <f t="shared" si="89"/>
        <v>0.83971242597639584</v>
      </c>
      <c r="I183" s="132">
        <f>SUM(I184:I195)-I192-I185</f>
        <v>459426979.38</v>
      </c>
      <c r="J183" s="132">
        <f>SUM(J184:J195)-J192-J185</f>
        <v>422572385.94999999</v>
      </c>
      <c r="K183" s="131">
        <f>J183/I183</f>
        <v>0.91978139054929786</v>
      </c>
      <c r="L183" s="144"/>
      <c r="M183" s="144"/>
      <c r="N183" s="130">
        <f t="shared" si="75"/>
        <v>442402777.23000002</v>
      </c>
      <c r="O183" s="39"/>
      <c r="P183" s="51"/>
    </row>
    <row r="184" spans="1:16" s="38" customFormat="1" ht="93" thickTop="1" thickBot="1" x14ac:dyDescent="0.25">
      <c r="A184" s="57"/>
      <c r="B184" s="75" t="s">
        <v>406</v>
      </c>
      <c r="C184" s="75" t="s">
        <v>407</v>
      </c>
      <c r="D184" s="75" t="s">
        <v>408</v>
      </c>
      <c r="E184" s="113">
        <v>6065000</v>
      </c>
      <c r="F184" s="113">
        <v>5515000</v>
      </c>
      <c r="G184" s="113">
        <v>4210348.04</v>
      </c>
      <c r="H184" s="85">
        <f t="shared" si="89"/>
        <v>0.76343572801450588</v>
      </c>
      <c r="I184" s="113"/>
      <c r="J184" s="113"/>
      <c r="K184" s="85"/>
      <c r="L184" s="113"/>
      <c r="M184" s="138"/>
      <c r="N184" s="113">
        <f t="shared" si="75"/>
        <v>4210348.04</v>
      </c>
      <c r="O184" s="39"/>
      <c r="P184" s="51"/>
    </row>
    <row r="185" spans="1:16" s="38" customFormat="1" ht="62.25" thickTop="1" thickBot="1" x14ac:dyDescent="0.25">
      <c r="A185" s="60"/>
      <c r="B185" s="76" t="s">
        <v>470</v>
      </c>
      <c r="C185" s="76"/>
      <c r="D185" s="76" t="s">
        <v>472</v>
      </c>
      <c r="E185" s="114">
        <f>E186</f>
        <v>1062625</v>
      </c>
      <c r="F185" s="114">
        <f>F186</f>
        <v>1062625</v>
      </c>
      <c r="G185" s="114">
        <f>G186</f>
        <v>1062625</v>
      </c>
      <c r="H185" s="86">
        <f t="shared" si="89"/>
        <v>1</v>
      </c>
      <c r="I185" s="114">
        <f>I186</f>
        <v>0</v>
      </c>
      <c r="J185" s="114">
        <f>J186</f>
        <v>0</v>
      </c>
      <c r="K185" s="86">
        <v>0</v>
      </c>
      <c r="L185" s="114"/>
      <c r="M185" s="153"/>
      <c r="N185" s="114">
        <f t="shared" si="75"/>
        <v>1062625</v>
      </c>
      <c r="O185" s="164" t="s">
        <v>433</v>
      </c>
      <c r="P185" s="165"/>
    </row>
    <row r="186" spans="1:16" s="38" customFormat="1" ht="93" thickTop="1" thickBot="1" x14ac:dyDescent="0.25">
      <c r="A186" s="57"/>
      <c r="B186" s="75" t="s">
        <v>471</v>
      </c>
      <c r="C186" s="75" t="s">
        <v>373</v>
      </c>
      <c r="D186" s="75" t="s">
        <v>473</v>
      </c>
      <c r="E186" s="113">
        <v>1062625</v>
      </c>
      <c r="F186" s="113">
        <v>1062625</v>
      </c>
      <c r="G186" s="113">
        <v>1062625</v>
      </c>
      <c r="H186" s="85">
        <f t="shared" si="89"/>
        <v>1</v>
      </c>
      <c r="I186" s="113"/>
      <c r="J186" s="113"/>
      <c r="K186" s="85"/>
      <c r="L186" s="113"/>
      <c r="M186" s="138"/>
      <c r="N186" s="113">
        <f t="shared" si="75"/>
        <v>1062625</v>
      </c>
      <c r="O186" s="39"/>
      <c r="P186" s="51"/>
    </row>
    <row r="187" spans="1:16" s="38" customFormat="1" ht="93" thickTop="1" thickBot="1" x14ac:dyDescent="0.25">
      <c r="A187" s="57"/>
      <c r="B187" s="75" t="s">
        <v>409</v>
      </c>
      <c r="C187" s="75" t="s">
        <v>373</v>
      </c>
      <c r="D187" s="75" t="s">
        <v>410</v>
      </c>
      <c r="E187" s="113">
        <v>755000</v>
      </c>
      <c r="F187" s="113">
        <v>755000</v>
      </c>
      <c r="G187" s="113">
        <v>669578.73</v>
      </c>
      <c r="H187" s="85">
        <f t="shared" si="89"/>
        <v>0.88685924503311253</v>
      </c>
      <c r="I187" s="113">
        <v>798808.78</v>
      </c>
      <c r="J187" s="113">
        <v>727000</v>
      </c>
      <c r="K187" s="85">
        <f>J187/I187</f>
        <v>0.91010516934979102</v>
      </c>
      <c r="L187" s="113"/>
      <c r="M187" s="138"/>
      <c r="N187" s="113">
        <f t="shared" si="75"/>
        <v>1396578.73</v>
      </c>
      <c r="O187" s="39"/>
      <c r="P187" s="51"/>
    </row>
    <row r="188" spans="1:16" s="38" customFormat="1" ht="62.25" thickTop="1" thickBot="1" x14ac:dyDescent="0.25">
      <c r="A188" s="57"/>
      <c r="B188" s="75" t="s">
        <v>372</v>
      </c>
      <c r="C188" s="75" t="s">
        <v>373</v>
      </c>
      <c r="D188" s="75" t="s">
        <v>374</v>
      </c>
      <c r="E188" s="121">
        <f>20000+8551370+42254</f>
        <v>8613624</v>
      </c>
      <c r="F188" s="121">
        <v>13513624</v>
      </c>
      <c r="G188" s="121">
        <v>11260550.58</v>
      </c>
      <c r="H188" s="85">
        <f t="shared" si="89"/>
        <v>0.83327393007234773</v>
      </c>
      <c r="I188" s="113">
        <f>57672+26381932.68+24401108.24+8800000+2884535+200870+16434368+195396</f>
        <v>79355881.920000002</v>
      </c>
      <c r="J188" s="121">
        <v>59607533.920000002</v>
      </c>
      <c r="K188" s="85">
        <f>J188/I188</f>
        <v>0.75114197558904783</v>
      </c>
      <c r="L188" s="121"/>
      <c r="M188" s="138"/>
      <c r="N188" s="113">
        <f t="shared" si="75"/>
        <v>70868084.5</v>
      </c>
      <c r="O188" s="164"/>
      <c r="P188" s="165"/>
    </row>
    <row r="189" spans="1:16" s="38" customFormat="1" ht="93" thickTop="1" thickBot="1" x14ac:dyDescent="0.25">
      <c r="A189" s="57"/>
      <c r="B189" s="75" t="s">
        <v>419</v>
      </c>
      <c r="C189" s="75" t="s">
        <v>39</v>
      </c>
      <c r="D189" s="75" t="s">
        <v>420</v>
      </c>
      <c r="E189" s="113"/>
      <c r="F189" s="113"/>
      <c r="G189" s="113"/>
      <c r="H189" s="113"/>
      <c r="I189" s="113">
        <v>112500</v>
      </c>
      <c r="J189" s="113">
        <v>57500</v>
      </c>
      <c r="K189" s="85">
        <f>J189/I189</f>
        <v>0.51111111111111107</v>
      </c>
      <c r="L189" s="113"/>
      <c r="M189" s="138"/>
      <c r="N189" s="113">
        <f t="shared" si="75"/>
        <v>57500</v>
      </c>
      <c r="O189" s="39"/>
      <c r="P189" s="51"/>
    </row>
    <row r="190" spans="1:16" s="38" customFormat="1" ht="93" thickTop="1" thickBot="1" x14ac:dyDescent="0.25">
      <c r="A190" s="57"/>
      <c r="B190" s="75" t="s">
        <v>188</v>
      </c>
      <c r="C190" s="75" t="s">
        <v>39</v>
      </c>
      <c r="D190" s="75" t="s">
        <v>189</v>
      </c>
      <c r="E190" s="121"/>
      <c r="F190" s="121"/>
      <c r="G190" s="121"/>
      <c r="H190" s="121"/>
      <c r="I190" s="113">
        <f>607091+8490727+321573606.6+42321000</f>
        <v>372992424.60000002</v>
      </c>
      <c r="J190" s="121">
        <v>358489184.88</v>
      </c>
      <c r="K190" s="85">
        <f>J190/I190</f>
        <v>0.96111653008622522</v>
      </c>
      <c r="L190" s="121"/>
      <c r="M190" s="138"/>
      <c r="N190" s="113">
        <f t="shared" si="75"/>
        <v>358489184.88</v>
      </c>
      <c r="O190" s="39"/>
      <c r="P190" s="51"/>
    </row>
    <row r="191" spans="1:16" s="38" customFormat="1" ht="93" thickTop="1" thickBot="1" x14ac:dyDescent="0.25">
      <c r="A191" s="57"/>
      <c r="B191" s="75" t="s">
        <v>38</v>
      </c>
      <c r="C191" s="75" t="s">
        <v>39</v>
      </c>
      <c r="D191" s="75" t="s">
        <v>40</v>
      </c>
      <c r="E191" s="113">
        <v>341770.5</v>
      </c>
      <c r="F191" s="113">
        <v>341770.5</v>
      </c>
      <c r="G191" s="113">
        <v>341770.5</v>
      </c>
      <c r="H191" s="85">
        <f t="shared" ref="H191:H192" si="92">G191/F191</f>
        <v>1</v>
      </c>
      <c r="I191" s="144"/>
      <c r="J191" s="144"/>
      <c r="K191" s="144"/>
      <c r="L191" s="144"/>
      <c r="M191" s="144"/>
      <c r="N191" s="113">
        <f t="shared" si="75"/>
        <v>341770.5</v>
      </c>
      <c r="O191" s="39"/>
      <c r="P191" s="51"/>
    </row>
    <row r="192" spans="1:16" s="38" customFormat="1" ht="48" thickTop="1" thickBot="1" x14ac:dyDescent="0.25">
      <c r="A192" s="57"/>
      <c r="B192" s="76" t="s">
        <v>41</v>
      </c>
      <c r="C192" s="76"/>
      <c r="D192" s="76" t="s">
        <v>375</v>
      </c>
      <c r="E192" s="122">
        <f>SUM(E193:E195)</f>
        <v>2627674</v>
      </c>
      <c r="F192" s="122">
        <f>SUM(F193:F195)</f>
        <v>2427674</v>
      </c>
      <c r="G192" s="122">
        <f>SUM(G193:G195)</f>
        <v>2285518.4300000002</v>
      </c>
      <c r="H192" s="86">
        <f t="shared" si="92"/>
        <v>0.94144371525995674</v>
      </c>
      <c r="I192" s="122">
        <f>SUM(I193:I195)</f>
        <v>6167364.0800000001</v>
      </c>
      <c r="J192" s="122">
        <f>SUM(J193:J195)</f>
        <v>3691167.15</v>
      </c>
      <c r="K192" s="86">
        <f>J192/I192</f>
        <v>0.59849995915921339</v>
      </c>
      <c r="L192" s="122"/>
      <c r="M192" s="122"/>
      <c r="N192" s="114">
        <f t="shared" si="75"/>
        <v>5976685.5800000001</v>
      </c>
      <c r="O192" s="39"/>
      <c r="P192" s="51"/>
    </row>
    <row r="193" spans="1:16" s="38" customFormat="1" ht="276" thickTop="1" thickBot="1" x14ac:dyDescent="0.7">
      <c r="A193" s="57"/>
      <c r="B193" s="166" t="s">
        <v>42</v>
      </c>
      <c r="C193" s="166" t="s">
        <v>39</v>
      </c>
      <c r="D193" s="134" t="s">
        <v>43</v>
      </c>
      <c r="E193" s="170"/>
      <c r="F193" s="170"/>
      <c r="G193" s="170"/>
      <c r="H193" s="170"/>
      <c r="I193" s="170">
        <f>4754696.21+479725.87+852942</f>
        <v>6087364.0800000001</v>
      </c>
      <c r="J193" s="170">
        <v>3616455.15</v>
      </c>
      <c r="K193" s="168">
        <f>J193/I193</f>
        <v>0.5940921394667098</v>
      </c>
      <c r="L193" s="170"/>
      <c r="M193" s="190"/>
      <c r="N193" s="170">
        <f>J193+G193</f>
        <v>3616455.15</v>
      </c>
      <c r="O193" s="39"/>
      <c r="P193" s="51"/>
    </row>
    <row r="194" spans="1:16" s="38" customFormat="1" ht="138.75" thickTop="1" thickBot="1" x14ac:dyDescent="0.25">
      <c r="A194" s="57"/>
      <c r="B194" s="167"/>
      <c r="C194" s="167"/>
      <c r="D194" s="135" t="s">
        <v>44</v>
      </c>
      <c r="E194" s="171"/>
      <c r="F194" s="171"/>
      <c r="G194" s="171"/>
      <c r="H194" s="171"/>
      <c r="I194" s="171"/>
      <c r="J194" s="171"/>
      <c r="K194" s="169"/>
      <c r="L194" s="171"/>
      <c r="M194" s="191"/>
      <c r="N194" s="171"/>
      <c r="O194" s="39"/>
      <c r="P194" s="51"/>
    </row>
    <row r="195" spans="1:16" s="38" customFormat="1" ht="48" thickTop="1" thickBot="1" x14ac:dyDescent="0.25">
      <c r="A195" s="57"/>
      <c r="B195" s="75" t="s">
        <v>45</v>
      </c>
      <c r="C195" s="75" t="s">
        <v>39</v>
      </c>
      <c r="D195" s="75" t="s">
        <v>46</v>
      </c>
      <c r="E195" s="113">
        <f>2407674+220000</f>
        <v>2627674</v>
      </c>
      <c r="F195" s="113">
        <v>2427674</v>
      </c>
      <c r="G195" s="113">
        <v>2285518.4300000002</v>
      </c>
      <c r="H195" s="85">
        <f t="shared" ref="H195" si="93">G195/F195</f>
        <v>0.94144371525995674</v>
      </c>
      <c r="I195" s="113">
        <v>80000</v>
      </c>
      <c r="J195" s="113">
        <v>74712</v>
      </c>
      <c r="K195" s="85">
        <f>J195/I195</f>
        <v>0.93389999999999995</v>
      </c>
      <c r="L195" s="113"/>
      <c r="M195" s="138"/>
      <c r="N195" s="113">
        <f t="shared" ref="N195:N216" si="94">G195+J195</f>
        <v>2360230.4300000002</v>
      </c>
      <c r="O195" s="39"/>
      <c r="P195" s="51"/>
    </row>
    <row r="196" spans="1:16" s="38" customFormat="1" ht="107.45" customHeight="1" thickTop="1" thickBot="1" x14ac:dyDescent="0.25">
      <c r="A196" s="60"/>
      <c r="B196" s="77" t="s">
        <v>47</v>
      </c>
      <c r="C196" s="77"/>
      <c r="D196" s="78" t="s">
        <v>48</v>
      </c>
      <c r="E196" s="79">
        <f>SUM(E197:E210)-E197-E204-E206-E209-E200</f>
        <v>75057428.549999997</v>
      </c>
      <c r="F196" s="79">
        <f>SUM(F197:F210)-F197-F204-F206-F209-F200</f>
        <v>60166678.260000005</v>
      </c>
      <c r="G196" s="79">
        <f>SUM(G197:G210)-G197-G204-G206-G209-G200</f>
        <v>34134502.609999999</v>
      </c>
      <c r="H196" s="80">
        <f>G196/F196</f>
        <v>0.56733234403424415</v>
      </c>
      <c r="I196" s="79">
        <f>SUM(I197:I210)-I197-I204-I206-I209-I200</f>
        <v>63631923.460000008</v>
      </c>
      <c r="J196" s="79">
        <f>SUM(J197:J210)-J197-J204-J206-J209-J200</f>
        <v>59463474.890000015</v>
      </c>
      <c r="K196" s="80">
        <f t="shared" ref="K196:K202" si="95">J196/I196</f>
        <v>0.93449123736420847</v>
      </c>
      <c r="L196" s="79"/>
      <c r="M196" s="79"/>
      <c r="N196" s="81">
        <f>J196+G196</f>
        <v>93597977.500000015</v>
      </c>
      <c r="O196" s="53" t="b">
        <f>N196=N198+N199+N201+N202+N203+N205+N207+N210+N208</f>
        <v>1</v>
      </c>
      <c r="P196" s="51"/>
    </row>
    <row r="197" spans="1:16" s="38" customFormat="1" ht="107.45" customHeight="1" thickTop="1" thickBot="1" x14ac:dyDescent="0.25">
      <c r="A197" s="60"/>
      <c r="B197" s="129" t="s">
        <v>386</v>
      </c>
      <c r="C197" s="129"/>
      <c r="D197" s="136" t="s">
        <v>387</v>
      </c>
      <c r="E197" s="130">
        <f>SUM(E198:E199)</f>
        <v>6591684</v>
      </c>
      <c r="F197" s="130">
        <f>SUM(F198:F199)</f>
        <v>6591684</v>
      </c>
      <c r="G197" s="130">
        <f>SUM(G198:G199)</f>
        <v>6111956.6799999997</v>
      </c>
      <c r="H197" s="131">
        <f>G197/F197</f>
        <v>0.92722234257588798</v>
      </c>
      <c r="I197" s="130">
        <f>SUM(I198:I199)</f>
        <v>1605234.46</v>
      </c>
      <c r="J197" s="130">
        <f>SUM(J198:J199)</f>
        <v>780685.63</v>
      </c>
      <c r="K197" s="131">
        <f t="shared" si="95"/>
        <v>0.48633744755267716</v>
      </c>
      <c r="L197" s="130"/>
      <c r="M197" s="130"/>
      <c r="N197" s="130">
        <f t="shared" si="94"/>
        <v>6892642.3099999996</v>
      </c>
      <c r="O197" s="164"/>
      <c r="P197" s="165"/>
    </row>
    <row r="198" spans="1:16" s="38" customFormat="1" ht="93" thickTop="1" thickBot="1" x14ac:dyDescent="0.25">
      <c r="A198" s="57"/>
      <c r="B198" s="75" t="s">
        <v>388</v>
      </c>
      <c r="C198" s="75" t="s">
        <v>389</v>
      </c>
      <c r="D198" s="75" t="s">
        <v>390</v>
      </c>
      <c r="E198" s="121">
        <v>4361250</v>
      </c>
      <c r="F198" s="121">
        <v>4361250</v>
      </c>
      <c r="G198" s="121">
        <v>3955012.81</v>
      </c>
      <c r="H198" s="85">
        <f>G198/F198</f>
        <v>0.90685303754657498</v>
      </c>
      <c r="I198" s="113">
        <v>1550000</v>
      </c>
      <c r="J198" s="113">
        <v>728851.7</v>
      </c>
      <c r="K198" s="85">
        <f t="shared" si="95"/>
        <v>0.4702269032258064</v>
      </c>
      <c r="L198" s="121"/>
      <c r="M198" s="138"/>
      <c r="N198" s="113">
        <f t="shared" si="94"/>
        <v>4683864.51</v>
      </c>
      <c r="O198" s="164"/>
      <c r="P198" s="165"/>
    </row>
    <row r="199" spans="1:16" s="38" customFormat="1" ht="48" thickTop="1" thickBot="1" x14ac:dyDescent="0.25">
      <c r="A199" s="57"/>
      <c r="B199" s="75" t="s">
        <v>391</v>
      </c>
      <c r="C199" s="75" t="s">
        <v>389</v>
      </c>
      <c r="D199" s="75" t="s">
        <v>392</v>
      </c>
      <c r="E199" s="121">
        <v>2230434</v>
      </c>
      <c r="F199" s="121">
        <v>2230434</v>
      </c>
      <c r="G199" s="121">
        <v>2156943.87</v>
      </c>
      <c r="H199" s="85">
        <f t="shared" ref="H199:H207" si="96">G199/F199</f>
        <v>0.96705119721094646</v>
      </c>
      <c r="I199" s="113">
        <v>55234.46</v>
      </c>
      <c r="J199" s="113">
        <v>51833.93</v>
      </c>
      <c r="K199" s="85">
        <f t="shared" si="95"/>
        <v>0.93843462939621392</v>
      </c>
      <c r="L199" s="121"/>
      <c r="M199" s="138"/>
      <c r="N199" s="113">
        <f t="shared" si="94"/>
        <v>2208777.8000000003</v>
      </c>
      <c r="O199" s="12"/>
      <c r="P199" s="51"/>
    </row>
    <row r="200" spans="1:16" s="38" customFormat="1" ht="62.25" thickTop="1" thickBot="1" x14ac:dyDescent="0.25">
      <c r="A200" s="57"/>
      <c r="B200" s="129" t="s">
        <v>513</v>
      </c>
      <c r="C200" s="129"/>
      <c r="D200" s="129" t="s">
        <v>514</v>
      </c>
      <c r="E200" s="132">
        <f>SUM(E201:E203)</f>
        <v>15007611</v>
      </c>
      <c r="F200" s="132">
        <f>SUM(F201:F203)</f>
        <v>23127811</v>
      </c>
      <c r="G200" s="132">
        <f>SUM(G201:G203)</f>
        <v>18060827.669999998</v>
      </c>
      <c r="H200" s="131">
        <f t="shared" si="96"/>
        <v>0.78091383875456255</v>
      </c>
      <c r="I200" s="132">
        <f t="shared" ref="I200:J200" si="97">SUM(I201:I203)</f>
        <v>57155255</v>
      </c>
      <c r="J200" s="132">
        <f t="shared" si="97"/>
        <v>55523265.640000001</v>
      </c>
      <c r="K200" s="131">
        <f t="shared" si="95"/>
        <v>0.97144638126450489</v>
      </c>
      <c r="L200" s="132"/>
      <c r="M200" s="132"/>
      <c r="N200" s="130">
        <f t="shared" ref="N200:N203" si="98">G200+J200</f>
        <v>73584093.310000002</v>
      </c>
      <c r="O200" s="164"/>
      <c r="P200" s="165"/>
    </row>
    <row r="201" spans="1:16" s="38" customFormat="1" ht="93" thickTop="1" thickBot="1" x14ac:dyDescent="0.25">
      <c r="A201" s="57"/>
      <c r="B201" s="75" t="s">
        <v>536</v>
      </c>
      <c r="C201" s="75" t="s">
        <v>516</v>
      </c>
      <c r="D201" s="75" t="s">
        <v>537</v>
      </c>
      <c r="E201" s="121">
        <v>4750000</v>
      </c>
      <c r="F201" s="121">
        <v>4750000</v>
      </c>
      <c r="G201" s="121">
        <v>3352808.95</v>
      </c>
      <c r="H201" s="85">
        <f t="shared" si="96"/>
        <v>0.70585451578947367</v>
      </c>
      <c r="I201" s="113"/>
      <c r="J201" s="121"/>
      <c r="K201" s="86"/>
      <c r="L201" s="121"/>
      <c r="M201" s="138"/>
      <c r="N201" s="113">
        <f t="shared" si="98"/>
        <v>3352808.95</v>
      </c>
      <c r="O201" s="52"/>
      <c r="P201" s="52"/>
    </row>
    <row r="202" spans="1:16" s="38" customFormat="1" ht="62.25" thickTop="1" thickBot="1" x14ac:dyDescent="0.25">
      <c r="A202" s="57"/>
      <c r="B202" s="75" t="s">
        <v>538</v>
      </c>
      <c r="C202" s="75" t="s">
        <v>516</v>
      </c>
      <c r="D202" s="75" t="s">
        <v>539</v>
      </c>
      <c r="E202" s="121">
        <v>1600000</v>
      </c>
      <c r="F202" s="121">
        <v>9720200</v>
      </c>
      <c r="G202" s="121">
        <v>9666010</v>
      </c>
      <c r="H202" s="85">
        <f t="shared" si="96"/>
        <v>0.99442501183103227</v>
      </c>
      <c r="I202" s="113">
        <v>47994800</v>
      </c>
      <c r="J202" s="121">
        <v>47768721.5</v>
      </c>
      <c r="K202" s="85">
        <f t="shared" si="95"/>
        <v>0.99528952094810275</v>
      </c>
      <c r="L202" s="121"/>
      <c r="M202" s="138"/>
      <c r="N202" s="113">
        <f>G202+J202</f>
        <v>57434731.5</v>
      </c>
      <c r="O202" s="52"/>
      <c r="P202" s="52"/>
    </row>
    <row r="203" spans="1:16" s="38" customFormat="1" ht="48" thickTop="1" thickBot="1" x14ac:dyDescent="0.25">
      <c r="A203" s="57"/>
      <c r="B203" s="75" t="s">
        <v>515</v>
      </c>
      <c r="C203" s="75" t="s">
        <v>516</v>
      </c>
      <c r="D203" s="75" t="s">
        <v>517</v>
      </c>
      <c r="E203" s="121">
        <f>8471546+186065</f>
        <v>8657611</v>
      </c>
      <c r="F203" s="121">
        <v>8657611</v>
      </c>
      <c r="G203" s="121">
        <v>5042008.72</v>
      </c>
      <c r="H203" s="85">
        <f t="shared" si="96"/>
        <v>0.58237875552505181</v>
      </c>
      <c r="I203" s="113">
        <f>5240000+3770000+150455</f>
        <v>9160455</v>
      </c>
      <c r="J203" s="121">
        <v>7754544.1399999997</v>
      </c>
      <c r="K203" s="85">
        <f>J203/I203</f>
        <v>0.84652390519903209</v>
      </c>
      <c r="L203" s="121"/>
      <c r="M203" s="138"/>
      <c r="N203" s="113">
        <f t="shared" si="98"/>
        <v>12796552.859999999</v>
      </c>
      <c r="O203" s="12"/>
      <c r="P203" s="51"/>
    </row>
    <row r="204" spans="1:16" s="38" customFormat="1" ht="91.5" thickTop="1" thickBot="1" x14ac:dyDescent="0.25">
      <c r="A204" s="57"/>
      <c r="B204" s="129" t="s">
        <v>411</v>
      </c>
      <c r="C204" s="129"/>
      <c r="D204" s="129" t="s">
        <v>412</v>
      </c>
      <c r="E204" s="132">
        <f>SUM(E205:E205)</f>
        <v>0</v>
      </c>
      <c r="F204" s="132">
        <f>SUM(F205:F205)</f>
        <v>0</v>
      </c>
      <c r="G204" s="132">
        <f>SUM(G205:G205)</f>
        <v>0</v>
      </c>
      <c r="H204" s="131">
        <v>0</v>
      </c>
      <c r="I204" s="132">
        <f>SUM(I205:I205)</f>
        <v>3956434</v>
      </c>
      <c r="J204" s="132">
        <f>SUM(J205:J205)</f>
        <v>2247873.62</v>
      </c>
      <c r="K204" s="131">
        <f t="shared" ref="K204:K207" si="99">J204/I204</f>
        <v>0.56815648131625607</v>
      </c>
      <c r="L204" s="132"/>
      <c r="M204" s="132"/>
      <c r="N204" s="130">
        <f t="shared" si="94"/>
        <v>2247873.62</v>
      </c>
      <c r="O204" s="164" t="s">
        <v>433</v>
      </c>
      <c r="P204" s="165"/>
    </row>
    <row r="205" spans="1:16" s="38" customFormat="1" ht="93" thickTop="1" thickBot="1" x14ac:dyDescent="0.25">
      <c r="A205" s="57"/>
      <c r="B205" s="75" t="s">
        <v>521</v>
      </c>
      <c r="C205" s="75" t="s">
        <v>413</v>
      </c>
      <c r="D205" s="75" t="s">
        <v>522</v>
      </c>
      <c r="E205" s="113"/>
      <c r="F205" s="113"/>
      <c r="G205" s="113"/>
      <c r="H205" s="85"/>
      <c r="I205" s="113">
        <v>3956434</v>
      </c>
      <c r="J205" s="113">
        <v>2247873.62</v>
      </c>
      <c r="K205" s="85">
        <f t="shared" si="99"/>
        <v>0.56815648131625607</v>
      </c>
      <c r="L205" s="113"/>
      <c r="M205" s="138"/>
      <c r="N205" s="113">
        <f t="shared" si="94"/>
        <v>2247873.62</v>
      </c>
      <c r="O205" s="39"/>
      <c r="P205" s="51"/>
    </row>
    <row r="206" spans="1:16" s="38" customFormat="1" ht="62.25" thickTop="1" thickBot="1" x14ac:dyDescent="0.25">
      <c r="A206" s="57"/>
      <c r="B206" s="129" t="s">
        <v>49</v>
      </c>
      <c r="C206" s="129"/>
      <c r="D206" s="129" t="s">
        <v>50</v>
      </c>
      <c r="E206" s="130">
        <f>SUM(E207)</f>
        <v>9330000</v>
      </c>
      <c r="F206" s="130">
        <f>SUM(F207)</f>
        <v>9880000</v>
      </c>
      <c r="G206" s="130">
        <f t="shared" ref="G206:J206" si="100">SUM(G207)</f>
        <v>9880000</v>
      </c>
      <c r="H206" s="131">
        <f t="shared" si="96"/>
        <v>1</v>
      </c>
      <c r="I206" s="130">
        <f t="shared" si="100"/>
        <v>915000</v>
      </c>
      <c r="J206" s="130">
        <f t="shared" si="100"/>
        <v>911650</v>
      </c>
      <c r="K206" s="131">
        <f t="shared" si="99"/>
        <v>0.99633879781420764</v>
      </c>
      <c r="L206" s="130"/>
      <c r="M206" s="130"/>
      <c r="N206" s="130">
        <f t="shared" si="94"/>
        <v>10791650</v>
      </c>
      <c r="O206" s="164"/>
      <c r="P206" s="165"/>
    </row>
    <row r="207" spans="1:16" s="38" customFormat="1" ht="48" thickTop="1" thickBot="1" x14ac:dyDescent="0.25">
      <c r="A207" s="57"/>
      <c r="B207" s="75" t="s">
        <v>51</v>
      </c>
      <c r="C207" s="75" t="s">
        <v>52</v>
      </c>
      <c r="D207" s="75" t="s">
        <v>53</v>
      </c>
      <c r="E207" s="113">
        <f>9330000</f>
        <v>9330000</v>
      </c>
      <c r="F207" s="113">
        <v>9880000</v>
      </c>
      <c r="G207" s="113">
        <v>9880000</v>
      </c>
      <c r="H207" s="85">
        <f t="shared" si="96"/>
        <v>1</v>
      </c>
      <c r="I207" s="113">
        <v>915000</v>
      </c>
      <c r="J207" s="113">
        <v>911650</v>
      </c>
      <c r="K207" s="85">
        <f t="shared" si="99"/>
        <v>0.99633879781420764</v>
      </c>
      <c r="L207" s="113"/>
      <c r="M207" s="138"/>
      <c r="N207" s="113">
        <f t="shared" si="94"/>
        <v>10791650</v>
      </c>
      <c r="O207" s="39"/>
      <c r="P207" s="51"/>
    </row>
    <row r="208" spans="1:16" s="38" customFormat="1" ht="62.25" thickTop="1" thickBot="1" x14ac:dyDescent="0.25">
      <c r="A208" s="57"/>
      <c r="B208" s="137">
        <v>8600</v>
      </c>
      <c r="C208" s="129" t="s">
        <v>24</v>
      </c>
      <c r="D208" s="137" t="s">
        <v>421</v>
      </c>
      <c r="E208" s="130">
        <v>1306400</v>
      </c>
      <c r="F208" s="130">
        <v>1306400</v>
      </c>
      <c r="G208" s="130">
        <v>81718.259999999995</v>
      </c>
      <c r="H208" s="131">
        <f>G208/F208</f>
        <v>6.2552250459277398E-2</v>
      </c>
      <c r="I208" s="130"/>
      <c r="J208" s="130"/>
      <c r="K208" s="130"/>
      <c r="L208" s="130"/>
      <c r="M208" s="151"/>
      <c r="N208" s="130">
        <f t="shared" si="94"/>
        <v>81718.259999999995</v>
      </c>
      <c r="O208" s="164"/>
      <c r="P208" s="165"/>
    </row>
    <row r="209" spans="1:27" s="38" customFormat="1" ht="62.25" thickTop="1" thickBot="1" x14ac:dyDescent="0.25">
      <c r="A209" s="57"/>
      <c r="B209" s="137">
        <v>8700</v>
      </c>
      <c r="C209" s="129"/>
      <c r="D209" s="137" t="s">
        <v>422</v>
      </c>
      <c r="E209" s="130">
        <f t="shared" ref="E209:J209" si="101">E210</f>
        <v>42821733.549999997</v>
      </c>
      <c r="F209" s="130">
        <f t="shared" si="101"/>
        <v>19260783.260000002</v>
      </c>
      <c r="G209" s="130">
        <f t="shared" si="101"/>
        <v>0</v>
      </c>
      <c r="H209" s="131">
        <f t="shared" ref="H209:H210" si="102">G209/F209</f>
        <v>0</v>
      </c>
      <c r="I209" s="130">
        <f t="shared" si="101"/>
        <v>0</v>
      </c>
      <c r="J209" s="130">
        <f t="shared" si="101"/>
        <v>0</v>
      </c>
      <c r="K209" s="131">
        <v>0</v>
      </c>
      <c r="L209" s="130"/>
      <c r="M209" s="130"/>
      <c r="N209" s="130">
        <f t="shared" si="94"/>
        <v>0</v>
      </c>
      <c r="O209" s="164"/>
      <c r="P209" s="165"/>
    </row>
    <row r="210" spans="1:27" s="38" customFormat="1" ht="62.25" thickTop="1" thickBot="1" x14ac:dyDescent="0.25">
      <c r="A210" s="57"/>
      <c r="B210" s="119">
        <v>8710</v>
      </c>
      <c r="C210" s="75" t="s">
        <v>29</v>
      </c>
      <c r="D210" s="92" t="s">
        <v>423</v>
      </c>
      <c r="E210" s="113">
        <v>42821733.549999997</v>
      </c>
      <c r="F210" s="113">
        <v>19260783.260000002</v>
      </c>
      <c r="G210" s="113">
        <v>0</v>
      </c>
      <c r="H210" s="85">
        <f t="shared" si="102"/>
        <v>0</v>
      </c>
      <c r="I210" s="113"/>
      <c r="J210" s="113"/>
      <c r="K210" s="85"/>
      <c r="L210" s="113"/>
      <c r="M210" s="138"/>
      <c r="N210" s="113">
        <f t="shared" si="94"/>
        <v>0</v>
      </c>
      <c r="O210" s="164"/>
      <c r="P210" s="165"/>
    </row>
    <row r="211" spans="1:27" s="38" customFormat="1" ht="103.7" customHeight="1" thickTop="1" thickBot="1" x14ac:dyDescent="0.25">
      <c r="A211" s="60"/>
      <c r="B211" s="77" t="s">
        <v>54</v>
      </c>
      <c r="C211" s="77"/>
      <c r="D211" s="78" t="s">
        <v>55</v>
      </c>
      <c r="E211" s="79">
        <f>SUM(E212:E218)-E212-E214</f>
        <v>455843187.47000003</v>
      </c>
      <c r="F211" s="79">
        <f>SUM(F212:F218)-F212-F214</f>
        <v>490881351.47000003</v>
      </c>
      <c r="G211" s="79">
        <f>SUM(G212:G218)-G212-G214</f>
        <v>488136136.59000003</v>
      </c>
      <c r="H211" s="80">
        <f>G211/F211</f>
        <v>0.99440757960802717</v>
      </c>
      <c r="I211" s="79">
        <f>SUM(I212:I218)-I212-I214</f>
        <v>199639567.36000001</v>
      </c>
      <c r="J211" s="79">
        <f>SUM(J212:J218)-J212-J214</f>
        <v>185167039.83000001</v>
      </c>
      <c r="K211" s="80">
        <f>J211/I211</f>
        <v>0.92750671762425518</v>
      </c>
      <c r="L211" s="79"/>
      <c r="M211" s="79"/>
      <c r="N211" s="81">
        <f>J211+G211</f>
        <v>673303176.42000008</v>
      </c>
      <c r="O211" s="53" t="b">
        <f>N211=N213+N215+N216+N217+N218</f>
        <v>1</v>
      </c>
      <c r="P211" s="164"/>
      <c r="Q211" s="165"/>
    </row>
    <row r="212" spans="1:27" s="38" customFormat="1" ht="103.7" customHeight="1" thickTop="1" thickBot="1" x14ac:dyDescent="0.25">
      <c r="A212" s="60"/>
      <c r="B212" s="129" t="s">
        <v>424</v>
      </c>
      <c r="C212" s="129"/>
      <c r="D212" s="129" t="s">
        <v>425</v>
      </c>
      <c r="E212" s="130">
        <f t="shared" ref="E212:J212" si="103">E213</f>
        <v>328100700</v>
      </c>
      <c r="F212" s="130">
        <f t="shared" si="103"/>
        <v>328100700</v>
      </c>
      <c r="G212" s="130">
        <f t="shared" si="103"/>
        <v>328100700</v>
      </c>
      <c r="H212" s="131">
        <f>G212/F212</f>
        <v>1</v>
      </c>
      <c r="I212" s="130">
        <f t="shared" si="103"/>
        <v>0</v>
      </c>
      <c r="J212" s="130">
        <f t="shared" si="103"/>
        <v>0</v>
      </c>
      <c r="K212" s="131">
        <v>0</v>
      </c>
      <c r="L212" s="130"/>
      <c r="M212" s="130"/>
      <c r="N212" s="130">
        <f t="shared" si="94"/>
        <v>328100700</v>
      </c>
      <c r="O212" s="164" t="s">
        <v>433</v>
      </c>
      <c r="P212" s="165"/>
    </row>
    <row r="213" spans="1:27" s="38" customFormat="1" ht="103.7" customHeight="1" thickTop="1" thickBot="1" x14ac:dyDescent="0.25">
      <c r="A213" s="60"/>
      <c r="B213" s="119">
        <v>9110</v>
      </c>
      <c r="C213" s="75" t="s">
        <v>28</v>
      </c>
      <c r="D213" s="92" t="s">
        <v>426</v>
      </c>
      <c r="E213" s="113">
        <v>328100700</v>
      </c>
      <c r="F213" s="113">
        <v>328100700</v>
      </c>
      <c r="G213" s="113">
        <v>328100700</v>
      </c>
      <c r="H213" s="85">
        <f>G213/F213</f>
        <v>1</v>
      </c>
      <c r="I213" s="113"/>
      <c r="J213" s="113"/>
      <c r="K213" s="113"/>
      <c r="L213" s="113"/>
      <c r="M213" s="138"/>
      <c r="N213" s="113">
        <f t="shared" si="94"/>
        <v>328100700</v>
      </c>
      <c r="O213" s="12"/>
    </row>
    <row r="214" spans="1:27" s="38" customFormat="1" ht="136.5" thickTop="1" thickBot="1" x14ac:dyDescent="0.25">
      <c r="A214" s="60"/>
      <c r="B214" s="129" t="s">
        <v>56</v>
      </c>
      <c r="C214" s="129"/>
      <c r="D214" s="129" t="s">
        <v>57</v>
      </c>
      <c r="E214" s="130">
        <f>SUM(E215:E216)</f>
        <v>1312400</v>
      </c>
      <c r="F214" s="130">
        <f>SUM(F215:F216)</f>
        <v>1464400</v>
      </c>
      <c r="G214" s="130">
        <f t="shared" ref="G214" si="104">SUM(G215:G216)</f>
        <v>1304060.6299999999</v>
      </c>
      <c r="H214" s="131">
        <f t="shared" ref="H214:H218" si="105">G214/F214</f>
        <v>0.89050848811800043</v>
      </c>
      <c r="I214" s="130">
        <f t="shared" ref="I214:J214" si="106">SUM(I215:I216)</f>
        <v>10000000</v>
      </c>
      <c r="J214" s="130">
        <f t="shared" si="106"/>
        <v>10000000</v>
      </c>
      <c r="K214" s="131">
        <f t="shared" ref="K214" si="107">J214/I214</f>
        <v>1</v>
      </c>
      <c r="L214" s="130"/>
      <c r="M214" s="130"/>
      <c r="N214" s="130">
        <f t="shared" si="94"/>
        <v>11304060.629999999</v>
      </c>
      <c r="O214" s="164"/>
      <c r="P214" s="165"/>
    </row>
    <row r="215" spans="1:27" s="38" customFormat="1" ht="184.5" thickTop="1" thickBot="1" x14ac:dyDescent="0.25">
      <c r="A215" s="57"/>
      <c r="B215" s="75" t="s">
        <v>58</v>
      </c>
      <c r="C215" s="75" t="s">
        <v>28</v>
      </c>
      <c r="D215" s="75" t="s">
        <v>59</v>
      </c>
      <c r="E215" s="113">
        <v>1163700</v>
      </c>
      <c r="F215" s="113">
        <v>1163700</v>
      </c>
      <c r="G215" s="113">
        <v>1021653.63</v>
      </c>
      <c r="H215" s="85">
        <f t="shared" si="105"/>
        <v>0.87793557617942775</v>
      </c>
      <c r="I215" s="113"/>
      <c r="J215" s="113"/>
      <c r="K215" s="113"/>
      <c r="L215" s="113"/>
      <c r="M215" s="138"/>
      <c r="N215" s="113">
        <f t="shared" si="94"/>
        <v>1021653.63</v>
      </c>
      <c r="O215" s="39"/>
      <c r="P215" s="51"/>
    </row>
    <row r="216" spans="1:27" s="38" customFormat="1" ht="60.75" thickTop="1" thickBot="1" x14ac:dyDescent="0.8">
      <c r="A216" s="57"/>
      <c r="B216" s="75" t="s">
        <v>60</v>
      </c>
      <c r="C216" s="75" t="s">
        <v>28</v>
      </c>
      <c r="D216" s="75" t="s">
        <v>61</v>
      </c>
      <c r="E216" s="113">
        <v>148700</v>
      </c>
      <c r="F216" s="113">
        <v>300700</v>
      </c>
      <c r="G216" s="113">
        <v>282407</v>
      </c>
      <c r="H216" s="85">
        <f t="shared" si="105"/>
        <v>0.93916528101097441</v>
      </c>
      <c r="I216" s="113">
        <v>10000000</v>
      </c>
      <c r="J216" s="113">
        <v>10000000</v>
      </c>
      <c r="K216" s="85">
        <f t="shared" ref="K216" si="108">J216/I216</f>
        <v>1</v>
      </c>
      <c r="L216" s="113"/>
      <c r="M216" s="138"/>
      <c r="N216" s="113">
        <f t="shared" si="94"/>
        <v>10282407</v>
      </c>
      <c r="O216" s="54"/>
      <c r="P216" s="51"/>
    </row>
    <row r="217" spans="1:27" s="38" customFormat="1" ht="136.5" thickTop="1" thickBot="1" x14ac:dyDescent="0.25">
      <c r="A217" s="57"/>
      <c r="B217" s="129" t="s">
        <v>62</v>
      </c>
      <c r="C217" s="129" t="s">
        <v>28</v>
      </c>
      <c r="D217" s="129" t="s">
        <v>63</v>
      </c>
      <c r="E217" s="139">
        <f>126273956.47+120000+36131</f>
        <v>126430087.47</v>
      </c>
      <c r="F217" s="139">
        <v>161316251.47</v>
      </c>
      <c r="G217" s="139">
        <v>158731375.96000001</v>
      </c>
      <c r="H217" s="140">
        <f t="shared" si="105"/>
        <v>0.98397634778613297</v>
      </c>
      <c r="I217" s="139">
        <f>189486698.36+152869</f>
        <v>189639567.36000001</v>
      </c>
      <c r="J217" s="139">
        <v>175167039.83000001</v>
      </c>
      <c r="K217" s="140">
        <f t="shared" ref="K217" si="109">J217/I217</f>
        <v>0.92368403001823851</v>
      </c>
      <c r="L217" s="130"/>
      <c r="M217" s="130"/>
      <c r="N217" s="139">
        <f t="shared" ref="N217:N218" si="110">G217+J217</f>
        <v>333898415.79000002</v>
      </c>
      <c r="O217" s="39"/>
      <c r="P217" s="51"/>
    </row>
    <row r="218" spans="1:27" s="38" customFormat="1" ht="367.5" hidden="1" thickTop="1" thickBot="1" x14ac:dyDescent="0.25">
      <c r="A218" s="57"/>
      <c r="B218" s="88" t="s">
        <v>547</v>
      </c>
      <c r="C218" s="88" t="s">
        <v>28</v>
      </c>
      <c r="D218" s="88" t="s">
        <v>546</v>
      </c>
      <c r="E218" s="89">
        <v>0</v>
      </c>
      <c r="F218" s="89">
        <v>0</v>
      </c>
      <c r="G218" s="89">
        <v>0</v>
      </c>
      <c r="H218" s="87" t="e">
        <f t="shared" si="105"/>
        <v>#DIV/0!</v>
      </c>
      <c r="I218" s="89"/>
      <c r="J218" s="89"/>
      <c r="K218" s="87"/>
      <c r="L218" s="89"/>
      <c r="M218" s="90"/>
      <c r="N218" s="89">
        <f t="shared" si="110"/>
        <v>0</v>
      </c>
      <c r="O218" s="39"/>
      <c r="P218" s="51"/>
    </row>
    <row r="219" spans="1:27" s="38" customFormat="1" ht="71.45" customHeight="1" thickTop="1" thickBot="1" x14ac:dyDescent="0.25">
      <c r="A219" s="60"/>
      <c r="B219" s="63" t="s">
        <v>427</v>
      </c>
      <c r="C219" s="63" t="s">
        <v>427</v>
      </c>
      <c r="D219" s="64" t="s">
        <v>436</v>
      </c>
      <c r="E219" s="65">
        <f>E14+E19+E57+E70+E116+E125+E141+E156+E196+E211</f>
        <v>4287618795.5899992</v>
      </c>
      <c r="F219" s="65">
        <f>F14+F19+F57+F70+F116+F125+F141+F156+F196+F211</f>
        <v>4240491565.8699999</v>
      </c>
      <c r="G219" s="65">
        <f>G14+G19+G57+G70+G116+G125+G141+G156+G196+G211</f>
        <v>4083591847.5399995</v>
      </c>
      <c r="H219" s="66">
        <f>G219/F219</f>
        <v>0.96299963910014053</v>
      </c>
      <c r="I219" s="65">
        <f>I14+I19+I57+I70+I116+I125+I141+I156+I196+I211</f>
        <v>1645585325.9000001</v>
      </c>
      <c r="J219" s="65">
        <f>J14+J19+J57+J70+J116+J125+J141+J156+J196+J211</f>
        <v>1467141360.6800001</v>
      </c>
      <c r="K219" s="66">
        <f>J219/I219</f>
        <v>0.8915620099356405</v>
      </c>
      <c r="L219" s="65" t="e">
        <f>#REF!+#REF!+#REF!+#REF!+#REF!+#REF!++L133+L142+L207+L166+L187+L199+L151+#REF!+#REF!</f>
        <v>#REF!</v>
      </c>
      <c r="M219" s="65" t="e">
        <f>#REF!+#REF!+#REF!+#REF!+#REF!+#REF!++M133+M142+M207+M166+M187+M199+M151+#REF!+#REF!</f>
        <v>#REF!</v>
      </c>
      <c r="N219" s="65">
        <f>N14+N19+N57+N70+N116+N125+N141+N156+N196+N211</f>
        <v>5550733208.2200003</v>
      </c>
      <c r="O219" s="53" t="b">
        <f>N219=J219+G219</f>
        <v>1</v>
      </c>
      <c r="P219" s="51"/>
    </row>
    <row r="220" spans="1:27" s="38" customFormat="1" ht="62.25" thickTop="1" thickBot="1" x14ac:dyDescent="0.25">
      <c r="A220" s="57"/>
      <c r="B220" s="8" t="s">
        <v>47</v>
      </c>
      <c r="C220" s="147"/>
      <c r="D220" s="148" t="s">
        <v>441</v>
      </c>
      <c r="E220" s="149">
        <f>E221</f>
        <v>790000</v>
      </c>
      <c r="F220" s="149">
        <f t="shared" ref="F220:G220" si="111">F221</f>
        <v>790000</v>
      </c>
      <c r="G220" s="149">
        <f t="shared" si="111"/>
        <v>790000</v>
      </c>
      <c r="H220" s="140">
        <f t="shared" ref="H220:H221" si="112">G220/F220</f>
        <v>1</v>
      </c>
      <c r="I220" s="149">
        <f>I221</f>
        <v>8941082.5</v>
      </c>
      <c r="J220" s="149">
        <f>J221</f>
        <v>98583.980000000025</v>
      </c>
      <c r="K220" s="140">
        <f t="shared" ref="K220:K221" si="113">J220/I220</f>
        <v>1.1025955749765202E-2</v>
      </c>
      <c r="L220" s="149"/>
      <c r="M220" s="149"/>
      <c r="N220" s="139">
        <f t="shared" ref="N220:N227" si="114">G220+J220</f>
        <v>888583.98</v>
      </c>
      <c r="O220" s="164"/>
      <c r="P220" s="165"/>
    </row>
    <row r="221" spans="1:27" s="38" customFormat="1" ht="62.25" thickTop="1" thickBot="1" x14ac:dyDescent="0.25">
      <c r="A221" s="57"/>
      <c r="B221" s="129" t="s">
        <v>439</v>
      </c>
      <c r="C221" s="147"/>
      <c r="D221" s="150" t="s">
        <v>442</v>
      </c>
      <c r="E221" s="151">
        <f>E222+E227+E225</f>
        <v>790000</v>
      </c>
      <c r="F221" s="151">
        <f t="shared" ref="F221:G221" si="115">F222+F227+F225</f>
        <v>790000</v>
      </c>
      <c r="G221" s="151">
        <f t="shared" si="115"/>
        <v>790000</v>
      </c>
      <c r="H221" s="131">
        <f t="shared" si="112"/>
        <v>1</v>
      </c>
      <c r="I221" s="151">
        <f>I222+I227+I225</f>
        <v>8941082.5</v>
      </c>
      <c r="J221" s="151">
        <f>J222+J227+J225</f>
        <v>98583.980000000025</v>
      </c>
      <c r="K221" s="131">
        <f t="shared" si="113"/>
        <v>1.1025955749765202E-2</v>
      </c>
      <c r="L221" s="151"/>
      <c r="M221" s="151"/>
      <c r="N221" s="130">
        <f t="shared" si="114"/>
        <v>888583.98</v>
      </c>
      <c r="O221" s="164"/>
      <c r="P221" s="165"/>
    </row>
    <row r="222" spans="1:27" s="38" customFormat="1" ht="184.5" thickTop="1" thickBot="1" x14ac:dyDescent="0.25">
      <c r="A222" s="60"/>
      <c r="B222" s="76" t="s">
        <v>440</v>
      </c>
      <c r="C222" s="147"/>
      <c r="D222" s="152" t="s">
        <v>443</v>
      </c>
      <c r="E222" s="153">
        <f>E223+E224</f>
        <v>790000</v>
      </c>
      <c r="F222" s="153">
        <f>F223+F224</f>
        <v>790000</v>
      </c>
      <c r="G222" s="153">
        <f>G223+G224</f>
        <v>790000</v>
      </c>
      <c r="H222" s="86">
        <f>G222/F222</f>
        <v>1</v>
      </c>
      <c r="I222" s="153">
        <f>I223+I224</f>
        <v>0</v>
      </c>
      <c r="J222" s="153">
        <f>J223+J224</f>
        <v>168878.21000000002</v>
      </c>
      <c r="K222" s="86"/>
      <c r="L222" s="153"/>
      <c r="M222" s="153"/>
      <c r="N222" s="114">
        <f t="shared" si="114"/>
        <v>958878.21</v>
      </c>
      <c r="O222" s="164"/>
      <c r="P222" s="165"/>
    </row>
    <row r="223" spans="1:27" s="38" customFormat="1" ht="184.5" customHeight="1" thickTop="1" thickBot="1" x14ac:dyDescent="0.25">
      <c r="A223" s="60"/>
      <c r="B223" s="145" t="s">
        <v>437</v>
      </c>
      <c r="C223" s="145" t="s">
        <v>88</v>
      </c>
      <c r="D223" s="146" t="s">
        <v>444</v>
      </c>
      <c r="E223" s="138">
        <v>790000</v>
      </c>
      <c r="F223" s="138">
        <v>790000</v>
      </c>
      <c r="G223" s="138">
        <v>790000</v>
      </c>
      <c r="H223" s="85">
        <f>G223/F223</f>
        <v>1</v>
      </c>
      <c r="I223" s="138">
        <v>260000</v>
      </c>
      <c r="J223" s="138">
        <v>260000</v>
      </c>
      <c r="K223" s="85">
        <f>J223/I223</f>
        <v>1</v>
      </c>
      <c r="L223" s="149"/>
      <c r="M223" s="149"/>
      <c r="N223" s="113">
        <f>G223+J223</f>
        <v>1050000</v>
      </c>
      <c r="O223" s="164"/>
      <c r="P223" s="165"/>
    </row>
    <row r="224" spans="1:27" s="38" customFormat="1" ht="184.5" thickTop="1" thickBot="1" x14ac:dyDescent="1.2">
      <c r="A224" s="60"/>
      <c r="B224" s="145" t="s">
        <v>438</v>
      </c>
      <c r="C224" s="145" t="s">
        <v>88</v>
      </c>
      <c r="D224" s="146" t="s">
        <v>445</v>
      </c>
      <c r="E224" s="149"/>
      <c r="F224" s="149"/>
      <c r="G224" s="149"/>
      <c r="H224" s="131"/>
      <c r="I224" s="138">
        <v>-260000</v>
      </c>
      <c r="J224" s="138">
        <f>-91121.79</f>
        <v>-91121.79</v>
      </c>
      <c r="K224" s="85">
        <f>J224/I224</f>
        <v>0.35046842307692305</v>
      </c>
      <c r="L224" s="149"/>
      <c r="M224" s="149"/>
      <c r="N224" s="113">
        <f t="shared" si="114"/>
        <v>-91121.79</v>
      </c>
      <c r="O224" s="83"/>
      <c r="P224" s="51"/>
      <c r="AA224" s="56"/>
    </row>
    <row r="225" spans="1:27" s="38" customFormat="1" ht="138.75" thickTop="1" thickBot="1" x14ac:dyDescent="1.2">
      <c r="A225" s="60"/>
      <c r="B225" s="154" t="s">
        <v>557</v>
      </c>
      <c r="C225" s="154"/>
      <c r="D225" s="155" t="s">
        <v>556</v>
      </c>
      <c r="E225" s="153">
        <f>E226</f>
        <v>0</v>
      </c>
      <c r="F225" s="153">
        <f>F226</f>
        <v>0</v>
      </c>
      <c r="G225" s="153">
        <f>G226</f>
        <v>0</v>
      </c>
      <c r="H225" s="86">
        <v>0</v>
      </c>
      <c r="I225" s="153">
        <f>I226</f>
        <v>0</v>
      </c>
      <c r="J225" s="153">
        <f>J226</f>
        <v>-70294.23</v>
      </c>
      <c r="K225" s="86"/>
      <c r="L225" s="153"/>
      <c r="M225" s="153"/>
      <c r="N225" s="114">
        <f t="shared" ref="N225" si="116">G225+J225</f>
        <v>-70294.23</v>
      </c>
      <c r="O225" s="164" t="s">
        <v>433</v>
      </c>
      <c r="P225" s="165"/>
      <c r="AA225" s="56"/>
    </row>
    <row r="226" spans="1:27" s="38" customFormat="1" ht="138.75" thickTop="1" thickBot="1" x14ac:dyDescent="1.2">
      <c r="A226" s="60"/>
      <c r="B226" s="145" t="s">
        <v>558</v>
      </c>
      <c r="C226" s="145" t="s">
        <v>88</v>
      </c>
      <c r="D226" s="146" t="s">
        <v>559</v>
      </c>
      <c r="E226" s="138"/>
      <c r="F226" s="138"/>
      <c r="G226" s="138"/>
      <c r="H226" s="85"/>
      <c r="I226" s="138">
        <v>0</v>
      </c>
      <c r="J226" s="138">
        <v>-70294.23</v>
      </c>
      <c r="K226" s="85"/>
      <c r="L226" s="149"/>
      <c r="M226" s="149"/>
      <c r="N226" s="113">
        <f>G226+J226</f>
        <v>-70294.23</v>
      </c>
      <c r="O226" s="83"/>
      <c r="P226" s="51"/>
      <c r="AA226" s="56"/>
    </row>
    <row r="227" spans="1:27" s="38" customFormat="1" ht="138.75" thickTop="1" thickBot="1" x14ac:dyDescent="1.2">
      <c r="A227" s="60"/>
      <c r="B227" s="154" t="s">
        <v>555</v>
      </c>
      <c r="C227" s="147"/>
      <c r="D227" s="152" t="s">
        <v>552</v>
      </c>
      <c r="E227" s="153">
        <f>E228</f>
        <v>0</v>
      </c>
      <c r="F227" s="153">
        <f t="shared" ref="F227:G227" si="117">F228</f>
        <v>0</v>
      </c>
      <c r="G227" s="153">
        <f t="shared" si="117"/>
        <v>0</v>
      </c>
      <c r="H227" s="86">
        <v>0</v>
      </c>
      <c r="I227" s="153">
        <f t="shared" ref="I227" si="118">I228</f>
        <v>8941082.5</v>
      </c>
      <c r="J227" s="153">
        <f t="shared" ref="J227" si="119">J228</f>
        <v>0</v>
      </c>
      <c r="K227" s="86">
        <f>J227/I227</f>
        <v>0</v>
      </c>
      <c r="L227" s="153"/>
      <c r="M227" s="153"/>
      <c r="N227" s="114">
        <f t="shared" si="114"/>
        <v>0</v>
      </c>
      <c r="O227" s="164" t="s">
        <v>433</v>
      </c>
      <c r="P227" s="165"/>
      <c r="AA227" s="56"/>
    </row>
    <row r="228" spans="1:27" s="38" customFormat="1" ht="138.75" thickTop="1" thickBot="1" x14ac:dyDescent="1.2">
      <c r="A228" s="60"/>
      <c r="B228" s="145" t="s">
        <v>554</v>
      </c>
      <c r="C228" s="145" t="s">
        <v>39</v>
      </c>
      <c r="D228" s="146" t="s">
        <v>553</v>
      </c>
      <c r="E228" s="149"/>
      <c r="F228" s="149"/>
      <c r="G228" s="149"/>
      <c r="H228" s="131"/>
      <c r="I228" s="138">
        <v>8941082.5</v>
      </c>
      <c r="J228" s="138">
        <v>0</v>
      </c>
      <c r="K228" s="86">
        <f>J228/I228</f>
        <v>0</v>
      </c>
      <c r="L228" s="149"/>
      <c r="M228" s="149"/>
      <c r="N228" s="113">
        <f>G228+J228</f>
        <v>0</v>
      </c>
      <c r="O228" s="83"/>
      <c r="P228" s="51"/>
      <c r="AA228" s="56"/>
    </row>
    <row r="229" spans="1:27" s="38" customFormat="1" ht="119.25" customHeight="1" thickTop="1" thickBot="1" x14ac:dyDescent="0.25">
      <c r="A229" s="60"/>
      <c r="B229" s="63" t="s">
        <v>427</v>
      </c>
      <c r="C229" s="63" t="s">
        <v>427</v>
      </c>
      <c r="D229" s="64" t="s">
        <v>428</v>
      </c>
      <c r="E229" s="65">
        <f>E219+E220</f>
        <v>4288408795.5899992</v>
      </c>
      <c r="F229" s="65">
        <f>F219+F220</f>
        <v>4241281565.8699999</v>
      </c>
      <c r="G229" s="65">
        <f>G219+G220</f>
        <v>4084381847.5399995</v>
      </c>
      <c r="H229" s="66">
        <f>G229/F229</f>
        <v>0.96300653095220379</v>
      </c>
      <c r="I229" s="65">
        <f>I219+I220</f>
        <v>1654526408.4000001</v>
      </c>
      <c r="J229" s="65">
        <f>J219+J220</f>
        <v>1467239944.6600001</v>
      </c>
      <c r="K229" s="66">
        <f>J229/I229</f>
        <v>0.88680358150274896</v>
      </c>
      <c r="L229" s="65" t="e">
        <f>#REF!+#REF!+#REF!+#REF!+#REF!+#REF!++L140+L149+L213+L179+L193+#REF!+L159+#REF!+#REF!</f>
        <v>#REF!</v>
      </c>
      <c r="M229" s="65" t="e">
        <f>#REF!+#REF!+#REF!+#REF!+#REF!+#REF!++M140+M149+M213+M179+M193+#REF!+M159+#REF!+#REF!</f>
        <v>#REF!</v>
      </c>
      <c r="N229" s="65">
        <f>N219+N220</f>
        <v>5551621792.1999998</v>
      </c>
      <c r="O229" s="53" t="b">
        <f>N229=J229+G229</f>
        <v>1</v>
      </c>
      <c r="P229" s="51"/>
      <c r="S229" s="65">
        <f>N229/(I229+F229)*100</f>
        <v>94.162188056801213</v>
      </c>
      <c r="T229" s="65">
        <f>G229/F229*100</f>
        <v>96.300653095220383</v>
      </c>
    </row>
    <row r="230" spans="1:27" ht="46.5" thickTop="1" x14ac:dyDescent="0.2">
      <c r="A230" s="196" t="s">
        <v>535</v>
      </c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40"/>
    </row>
    <row r="231" spans="1:27" ht="45.75" x14ac:dyDescent="0.65">
      <c r="A231" s="41"/>
      <c r="B231" s="42"/>
      <c r="C231" s="42"/>
      <c r="D231" s="43" t="s">
        <v>566</v>
      </c>
      <c r="E231"/>
      <c r="F231"/>
      <c r="G231" s="43"/>
      <c r="H231" s="45"/>
      <c r="I231" s="43" t="s">
        <v>567</v>
      </c>
      <c r="J231" s="45"/>
      <c r="K231" s="45"/>
      <c r="L231" s="45"/>
      <c r="M231" s="45"/>
      <c r="N231" s="45"/>
      <c r="O231" s="40"/>
    </row>
    <row r="232" spans="1:27" ht="45.75" x14ac:dyDescent="0.65">
      <c r="A232" s="61"/>
      <c r="B232" s="62"/>
      <c r="C232" s="62"/>
      <c r="D232" s="197"/>
      <c r="E232" s="197"/>
      <c r="F232" s="197"/>
      <c r="G232" s="197"/>
      <c r="H232" s="197"/>
      <c r="I232" s="197"/>
      <c r="J232" s="197"/>
      <c r="K232" s="197"/>
      <c r="L232" s="197"/>
      <c r="M232" s="197"/>
      <c r="N232" s="197"/>
      <c r="O232" s="40"/>
    </row>
    <row r="233" spans="1:27" ht="45.75" x14ac:dyDescent="0.65">
      <c r="A233" s="41"/>
      <c r="B233" s="42"/>
      <c r="C233" s="42"/>
      <c r="D233" s="43" t="s">
        <v>564</v>
      </c>
      <c r="E233" s="44"/>
      <c r="F233" s="44"/>
      <c r="G233" s="43"/>
      <c r="H233" s="45"/>
      <c r="I233" s="43" t="s">
        <v>565</v>
      </c>
      <c r="J233" s="45"/>
      <c r="K233" s="45"/>
      <c r="L233" s="45"/>
      <c r="M233" s="45"/>
      <c r="N233" s="45"/>
      <c r="O233" s="40"/>
    </row>
    <row r="234" spans="1:27" ht="45.75" x14ac:dyDescent="0.65">
      <c r="A234" s="2"/>
      <c r="B234" s="2"/>
      <c r="C234" s="2"/>
      <c r="D234" s="187"/>
      <c r="E234" s="187"/>
      <c r="F234" s="187"/>
      <c r="G234" s="187"/>
      <c r="H234" s="187"/>
      <c r="I234" s="187"/>
      <c r="J234" s="187"/>
      <c r="K234" s="187"/>
      <c r="L234" s="187"/>
      <c r="M234" s="187"/>
      <c r="N234" s="187"/>
      <c r="O234" s="46"/>
    </row>
    <row r="250" spans="5:9" ht="9.75" customHeight="1" x14ac:dyDescent="0.2"/>
    <row r="251" spans="5:9" ht="47.25" hidden="1" thickTop="1" thickBot="1" x14ac:dyDescent="0.25">
      <c r="E251" s="55">
        <f>E219-E211-E209</f>
        <v>3788953874.5699987</v>
      </c>
      <c r="F251" s="55">
        <f>F219-F211-F209</f>
        <v>3730349431.1399994</v>
      </c>
      <c r="I251" s="55">
        <f>I219-I211-I209</f>
        <v>1445945758.54</v>
      </c>
    </row>
    <row r="260" ht="312" customHeight="1" x14ac:dyDescent="0.2"/>
    <row r="261" ht="183" customHeight="1" x14ac:dyDescent="0.2"/>
    <row r="262" ht="228" customHeight="1" x14ac:dyDescent="0.2"/>
    <row r="263" ht="294" customHeight="1" x14ac:dyDescent="0.2"/>
    <row r="264" ht="258" customHeight="1" x14ac:dyDescent="0.2"/>
    <row r="265" ht="180" customHeight="1" x14ac:dyDescent="0.2"/>
    <row r="266" ht="249" customHeight="1" x14ac:dyDescent="0.2"/>
  </sheetData>
  <mergeCells count="112">
    <mergeCell ref="K2:N2"/>
    <mergeCell ref="J3:N3"/>
    <mergeCell ref="A8:B8"/>
    <mergeCell ref="A4:N4"/>
    <mergeCell ref="N10:N12"/>
    <mergeCell ref="E11:E12"/>
    <mergeCell ref="H11:H12"/>
    <mergeCell ref="I11:I12"/>
    <mergeCell ref="J11:J12"/>
    <mergeCell ref="E10:H10"/>
    <mergeCell ref="A10:A12"/>
    <mergeCell ref="B10:B12"/>
    <mergeCell ref="C10:C12"/>
    <mergeCell ref="D10:D12"/>
    <mergeCell ref="M11:M12"/>
    <mergeCell ref="I10:M10"/>
    <mergeCell ref="A5:N5"/>
    <mergeCell ref="A7:B7"/>
    <mergeCell ref="D234:N234"/>
    <mergeCell ref="F11:F12"/>
    <mergeCell ref="G11:G12"/>
    <mergeCell ref="K11:K12"/>
    <mergeCell ref="L193:L194"/>
    <mergeCell ref="M193:M194"/>
    <mergeCell ref="N193:N194"/>
    <mergeCell ref="L28:L29"/>
    <mergeCell ref="M28:M29"/>
    <mergeCell ref="N28:N29"/>
    <mergeCell ref="G28:G29"/>
    <mergeCell ref="I28:I29"/>
    <mergeCell ref="J28:J29"/>
    <mergeCell ref="K28:K29"/>
    <mergeCell ref="A230:N230"/>
    <mergeCell ref="D232:N232"/>
    <mergeCell ref="A28:A29"/>
    <mergeCell ref="B109:B111"/>
    <mergeCell ref="C109:C111"/>
    <mergeCell ref="E99:E101"/>
    <mergeCell ref="K99:K101"/>
    <mergeCell ref="F99:F101"/>
    <mergeCell ref="B28:B29"/>
    <mergeCell ref="C28:C29"/>
    <mergeCell ref="E28:E29"/>
    <mergeCell ref="F28:F29"/>
    <mergeCell ref="N102:N105"/>
    <mergeCell ref="F106:F108"/>
    <mergeCell ref="G106:G108"/>
    <mergeCell ref="O154:P154"/>
    <mergeCell ref="O155:P155"/>
    <mergeCell ref="H99:H101"/>
    <mergeCell ref="H102:H105"/>
    <mergeCell ref="H106:H108"/>
    <mergeCell ref="H109:H111"/>
    <mergeCell ref="N106:N108"/>
    <mergeCell ref="G99:G101"/>
    <mergeCell ref="I99:I101"/>
    <mergeCell ref="J99:J101"/>
    <mergeCell ref="N99:N101"/>
    <mergeCell ref="K109:K111"/>
    <mergeCell ref="N109:N111"/>
    <mergeCell ref="F109:F111"/>
    <mergeCell ref="G109:G111"/>
    <mergeCell ref="F102:F105"/>
    <mergeCell ref="G102:G105"/>
    <mergeCell ref="K106:K108"/>
    <mergeCell ref="K102:K105"/>
    <mergeCell ref="I106:I108"/>
    <mergeCell ref="J106:J108"/>
    <mergeCell ref="I102:I105"/>
    <mergeCell ref="J102:J105"/>
    <mergeCell ref="E109:E111"/>
    <mergeCell ref="I109:I111"/>
    <mergeCell ref="J109:J111"/>
    <mergeCell ref="B99:B101"/>
    <mergeCell ref="C99:C101"/>
    <mergeCell ref="B102:B105"/>
    <mergeCell ref="C102:C105"/>
    <mergeCell ref="B106:B108"/>
    <mergeCell ref="C106:C108"/>
    <mergeCell ref="E102:E105"/>
    <mergeCell ref="E106:E108"/>
    <mergeCell ref="O197:P197"/>
    <mergeCell ref="O204:P204"/>
    <mergeCell ref="O206:P206"/>
    <mergeCell ref="O212:P212"/>
    <mergeCell ref="O159:P159"/>
    <mergeCell ref="O171:P171"/>
    <mergeCell ref="O208:P208"/>
    <mergeCell ref="O185:P185"/>
    <mergeCell ref="B193:B194"/>
    <mergeCell ref="K193:K194"/>
    <mergeCell ref="O188:P188"/>
    <mergeCell ref="C193:C194"/>
    <mergeCell ref="E193:E194"/>
    <mergeCell ref="F193:F194"/>
    <mergeCell ref="G193:G194"/>
    <mergeCell ref="H193:H194"/>
    <mergeCell ref="I193:I194"/>
    <mergeCell ref="J193:J194"/>
    <mergeCell ref="O173:P173"/>
    <mergeCell ref="O227:P227"/>
    <mergeCell ref="O223:P223"/>
    <mergeCell ref="O222:P222"/>
    <mergeCell ref="O221:P221"/>
    <mergeCell ref="O220:P220"/>
    <mergeCell ref="O198:P198"/>
    <mergeCell ref="O210:P210"/>
    <mergeCell ref="O209:P209"/>
    <mergeCell ref="O200:P200"/>
    <mergeCell ref="O225:P225"/>
    <mergeCell ref="O214:P214"/>
    <mergeCell ref="P211:Q211"/>
  </mergeCells>
  <pageMargins left="0.23622047244094491" right="0.27559055118110237" top="0.27559055118110237" bottom="0.15748031496062992" header="0.23622047244094491" footer="0.27559055118110237"/>
  <pageSetup paperSize="9" scale="21" orientation="landscape" r:id="rId1"/>
  <headerFooter alignWithMargins="0">
    <oddFooter>&amp;C&amp;"Times New Roman Cyr,курсив"Сторінка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d2</vt:lpstr>
      <vt:lpstr>'d2'!Заголовки_для_друку</vt:lpstr>
      <vt:lpstr>'d2'!Область_друку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Отрощенко Сергій Володимирович</cp:lastModifiedBy>
  <cp:lastPrinted>2024-01-18T09:05:28Z</cp:lastPrinted>
  <dcterms:created xsi:type="dcterms:W3CDTF">2021-05-18T12:47:38Z</dcterms:created>
  <dcterms:modified xsi:type="dcterms:W3CDTF">2024-02-26T13:29:34Z</dcterms:modified>
</cp:coreProperties>
</file>